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1120" yWindow="1120" windowWidth="24480" windowHeight="14940" tabRatio="654"/>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 Ownership" sheetId="16" r:id="rId14"/>
    <sheet name="3 - Conversion, $ Invested" sheetId="17" r:id="rId15"/>
    <sheet name="4 - Option Pool + Conversion" sheetId="27" r:id="rId16"/>
    <sheet name="5 - Exit Waterfall Distribution" sheetId="20" r:id="rId17"/>
    <sheet name="6 - VC Valuation" sheetId="24" r:id="rId18"/>
    <sheet name="Changelog" sheetId="5" r:id="rId19"/>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8" i="20" l="1"/>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I44" i="24"/>
  <c r="I43" i="24"/>
  <c r="H44" i="24"/>
  <c r="H43" i="24"/>
  <c r="G44" i="24"/>
  <c r="G43" i="24"/>
  <c r="F44" i="24"/>
  <c r="F43" i="24"/>
  <c r="E44" i="24"/>
  <c r="E43" i="24"/>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G39" i="27"/>
  <c r="S39" i="27"/>
  <c r="T8" i="27"/>
  <c r="U8" i="27"/>
  <c r="V8" i="27"/>
  <c r="X8" i="27"/>
  <c r="Y8" i="27"/>
  <c r="Z8" i="27"/>
  <c r="AC8" i="27"/>
  <c r="T9" i="27"/>
  <c r="U9" i="27"/>
  <c r="V9" i="27"/>
  <c r="X9" i="27"/>
  <c r="Y9" i="27"/>
  <c r="Z9" i="27"/>
  <c r="AC9" i="27"/>
  <c r="T10" i="27"/>
  <c r="U10" i="27"/>
  <c r="V10" i="27"/>
  <c r="X10" i="27"/>
  <c r="Y10" i="27"/>
  <c r="Z10" i="27"/>
  <c r="AC10" i="27"/>
  <c r="T11" i="27"/>
  <c r="U11" i="27"/>
  <c r="V11" i="27"/>
  <c r="X11" i="27"/>
  <c r="Y11" i="27"/>
  <c r="Z11" i="27"/>
  <c r="AC11" i="27"/>
  <c r="T12" i="27"/>
  <c r="U12" i="27"/>
  <c r="V12" i="27"/>
  <c r="X12" i="27"/>
  <c r="Y12" i="27"/>
  <c r="Z12" i="27"/>
  <c r="AC12" i="27"/>
  <c r="T19" i="27"/>
  <c r="U19" i="27"/>
  <c r="V19" i="27"/>
  <c r="AC19" i="27"/>
  <c r="T18" i="27"/>
  <c r="U18" i="27"/>
  <c r="V18" i="27"/>
  <c r="AC18" i="27"/>
  <c r="T16" i="27"/>
  <c r="U16" i="27"/>
  <c r="V16" i="27"/>
  <c r="X16" i="27"/>
  <c r="Y16" i="27"/>
  <c r="Z16" i="27"/>
  <c r="AC16" i="27"/>
  <c r="T15" i="27"/>
  <c r="U15" i="27"/>
  <c r="X15" i="27"/>
  <c r="Y15" i="27"/>
  <c r="Z15" i="27"/>
  <c r="AC15" i="27"/>
  <c r="T14" i="27"/>
  <c r="U14" i="27"/>
  <c r="X14" i="27"/>
  <c r="Y14" i="27"/>
  <c r="Z14" i="27"/>
  <c r="AC14" i="27"/>
  <c r="V14" i="27"/>
  <c r="V15" i="27"/>
  <c r="O19" i="27"/>
  <c r="O18" i="27"/>
  <c r="O16" i="27"/>
  <c r="O15" i="27"/>
  <c r="O14" i="27"/>
  <c r="O12" i="27"/>
  <c r="O11" i="27"/>
  <c r="O10" i="27"/>
  <c r="O9" i="27"/>
  <c r="O8" i="27"/>
  <c r="FH6" i="29"/>
  <c r="F12" i="28"/>
  <c r="FH7" i="29"/>
  <c r="F13" i="28"/>
  <c r="FH8" i="29"/>
  <c r="F14" i="28"/>
  <c r="FH9" i="29"/>
  <c r="F15" i="28"/>
  <c r="F16" i="28"/>
  <c r="F17" i="28"/>
  <c r="F18" i="28"/>
  <c r="F19" i="28"/>
  <c r="FH32" i="29"/>
  <c r="F28" i="28"/>
  <c r="F20" i="28"/>
  <c r="FH33" i="29"/>
  <c r="F29" i="28"/>
  <c r="F21" i="28"/>
  <c r="FH27" i="29"/>
  <c r="F22" i="28"/>
  <c r="FH28" i="29"/>
  <c r="F23" i="28"/>
  <c r="F25" i="28"/>
  <c r="G25" i="28"/>
  <c r="K7" i="29"/>
  <c r="K6" i="29"/>
  <c r="K29" i="29"/>
  <c r="R61" i="29"/>
  <c r="Q8" i="29"/>
  <c r="AN8" i="29"/>
  <c r="AL8" i="29"/>
  <c r="AL9" i="29"/>
  <c r="AL10" i="29"/>
  <c r="AL11" i="29"/>
  <c r="AL12" i="29"/>
  <c r="AL13" i="29"/>
  <c r="I60" i="29"/>
  <c r="R60" i="29"/>
  <c r="AM60" i="29"/>
  <c r="BH60" i="29"/>
  <c r="CC60" i="29"/>
  <c r="CX60" i="29"/>
  <c r="DS60" i="29"/>
  <c r="DT26" i="29"/>
  <c r="DQ26" i="29"/>
  <c r="DT25" i="29"/>
  <c r="DQ25" i="29"/>
  <c r="DT24" i="29"/>
  <c r="DQ24" i="29"/>
  <c r="DT23" i="29"/>
  <c r="DQ23" i="29"/>
  <c r="DT22" i="29"/>
  <c r="DQ22" i="29"/>
  <c r="DT21" i="29"/>
  <c r="DQ21" i="29"/>
  <c r="DT20" i="29"/>
  <c r="DQ20" i="29"/>
  <c r="DT19" i="29"/>
  <c r="DQ19" i="29"/>
  <c r="DT18" i="29"/>
  <c r="DQ18" i="29"/>
  <c r="DT17" i="29"/>
  <c r="DQ17" i="29"/>
  <c r="DT16" i="29"/>
  <c r="DQ16" i="29"/>
  <c r="DT15" i="29"/>
  <c r="DQ15" i="29"/>
  <c r="DT14" i="29"/>
  <c r="DQ14" i="29"/>
  <c r="DT13" i="29"/>
  <c r="DQ13" i="29"/>
  <c r="DT12" i="29"/>
  <c r="DQ12" i="29"/>
  <c r="DT11" i="29"/>
  <c r="DQ11" i="29"/>
  <c r="DT10" i="29"/>
  <c r="DQ10" i="29"/>
  <c r="DT9" i="29"/>
  <c r="DQ9" i="29"/>
  <c r="DQ8" i="29"/>
  <c r="DT7" i="29"/>
  <c r="DQ7" i="29"/>
  <c r="DT6" i="29"/>
  <c r="DQ6" i="29"/>
  <c r="CY26" i="29"/>
  <c r="CV26" i="29"/>
  <c r="CY25" i="29"/>
  <c r="CV25" i="29"/>
  <c r="CY24" i="29"/>
  <c r="CV24" i="29"/>
  <c r="CY23" i="29"/>
  <c r="CV23" i="29"/>
  <c r="CY22" i="29"/>
  <c r="CV22" i="29"/>
  <c r="CY21" i="29"/>
  <c r="CV21" i="29"/>
  <c r="CY20" i="29"/>
  <c r="CV20" i="29"/>
  <c r="CY19" i="29"/>
  <c r="CV19" i="29"/>
  <c r="CY18" i="29"/>
  <c r="CV18" i="29"/>
  <c r="CY17" i="29"/>
  <c r="CV17" i="29"/>
  <c r="CY16" i="29"/>
  <c r="CV16" i="29"/>
  <c r="CY15" i="29"/>
  <c r="CV15" i="29"/>
  <c r="CY14" i="29"/>
  <c r="CV14" i="29"/>
  <c r="CY13" i="29"/>
  <c r="CV13" i="29"/>
  <c r="CY12" i="29"/>
  <c r="CV12" i="29"/>
  <c r="CY11" i="29"/>
  <c r="CV11" i="29"/>
  <c r="CY10" i="29"/>
  <c r="CV10" i="29"/>
  <c r="CY9" i="29"/>
  <c r="CV9" i="29"/>
  <c r="CY8" i="29"/>
  <c r="CV8" i="29"/>
  <c r="CY7" i="29"/>
  <c r="CV7" i="29"/>
  <c r="CY6" i="29"/>
  <c r="CV6" i="29"/>
  <c r="CD26" i="29"/>
  <c r="CA26" i="29"/>
  <c r="CD25" i="29"/>
  <c r="CA25" i="29"/>
  <c r="CD24" i="29"/>
  <c r="CA24" i="29"/>
  <c r="CD23" i="29"/>
  <c r="CA23" i="29"/>
  <c r="CD22" i="29"/>
  <c r="CA22" i="29"/>
  <c r="CD21" i="29"/>
  <c r="CA21" i="29"/>
  <c r="CD20" i="29"/>
  <c r="CA20" i="29"/>
  <c r="CD19" i="29"/>
  <c r="CA19" i="29"/>
  <c r="CD18" i="29"/>
  <c r="CA18" i="29"/>
  <c r="CD17" i="29"/>
  <c r="CA17" i="29"/>
  <c r="CD16" i="29"/>
  <c r="CA16" i="29"/>
  <c r="CD15" i="29"/>
  <c r="CA15" i="29"/>
  <c r="CD14" i="29"/>
  <c r="CA14" i="29"/>
  <c r="CD13" i="29"/>
  <c r="CA13" i="29"/>
  <c r="CD12" i="29"/>
  <c r="CA12" i="29"/>
  <c r="CD11" i="29"/>
  <c r="CA11" i="29"/>
  <c r="CD10" i="29"/>
  <c r="CA10" i="29"/>
  <c r="CD9" i="29"/>
  <c r="CA9" i="29"/>
  <c r="CD8" i="29"/>
  <c r="CA8" i="29"/>
  <c r="CD7" i="29"/>
  <c r="CA7" i="29"/>
  <c r="CD6" i="29"/>
  <c r="CA6" i="29"/>
  <c r="BI26" i="29"/>
  <c r="BF26" i="29"/>
  <c r="BI25" i="29"/>
  <c r="BF25" i="29"/>
  <c r="BI24" i="29"/>
  <c r="BF24" i="29"/>
  <c r="BI23" i="29"/>
  <c r="BF23" i="29"/>
  <c r="BI22" i="29"/>
  <c r="BF22" i="29"/>
  <c r="BI21" i="29"/>
  <c r="BF21" i="29"/>
  <c r="BI20" i="29"/>
  <c r="BF20" i="29"/>
  <c r="BI19" i="29"/>
  <c r="BF19" i="29"/>
  <c r="BI18" i="29"/>
  <c r="BF18" i="29"/>
  <c r="BI17" i="29"/>
  <c r="BF17" i="29"/>
  <c r="BI16" i="29"/>
  <c r="BF16" i="29"/>
  <c r="BI15" i="29"/>
  <c r="BF15" i="29"/>
  <c r="BI14" i="29"/>
  <c r="BF14" i="29"/>
  <c r="BI13" i="29"/>
  <c r="BF13" i="29"/>
  <c r="BI12" i="29"/>
  <c r="BF12" i="29"/>
  <c r="BI11" i="29"/>
  <c r="BF11" i="29"/>
  <c r="BI10" i="29"/>
  <c r="BF10" i="29"/>
  <c r="BI9" i="29"/>
  <c r="BF9" i="29"/>
  <c r="BI8" i="29"/>
  <c r="BF8" i="29"/>
  <c r="BI7" i="29"/>
  <c r="BF7" i="29"/>
  <c r="BI6" i="29"/>
  <c r="BF6" i="29"/>
  <c r="AN7" i="29"/>
  <c r="AK7" i="29"/>
  <c r="P8" i="29"/>
  <c r="AK8" i="29"/>
  <c r="AN9" i="29"/>
  <c r="AK9" i="29"/>
  <c r="AN10" i="29"/>
  <c r="AK10" i="29"/>
  <c r="AN11" i="29"/>
  <c r="AK11" i="29"/>
  <c r="AN12" i="29"/>
  <c r="AK12" i="29"/>
  <c r="AN13" i="29"/>
  <c r="AK13" i="29"/>
  <c r="AN14" i="29"/>
  <c r="AK14" i="29"/>
  <c r="AN15" i="29"/>
  <c r="AK15" i="29"/>
  <c r="AN16" i="29"/>
  <c r="AK16" i="29"/>
  <c r="AN17" i="29"/>
  <c r="AK17" i="29"/>
  <c r="AN18" i="29"/>
  <c r="AK18" i="29"/>
  <c r="AN19" i="29"/>
  <c r="AK19" i="29"/>
  <c r="AN20" i="29"/>
  <c r="AK20" i="29"/>
  <c r="AN21" i="29"/>
  <c r="AK21" i="29"/>
  <c r="AN22" i="29"/>
  <c r="AK22" i="29"/>
  <c r="AN23" i="29"/>
  <c r="AK23" i="29"/>
  <c r="AN24" i="29"/>
  <c r="AK24" i="29"/>
  <c r="AN25" i="29"/>
  <c r="AK25" i="29"/>
  <c r="AN26" i="29"/>
  <c r="AK26" i="29"/>
  <c r="AN6" i="29"/>
  <c r="AK6" i="29"/>
  <c r="P6" i="29"/>
  <c r="P7" i="29"/>
  <c r="P9" i="29"/>
  <c r="P10" i="29"/>
  <c r="P11" i="29"/>
  <c r="P12" i="29"/>
  <c r="P13" i="29"/>
  <c r="P14" i="29"/>
  <c r="P15" i="29"/>
  <c r="P16" i="29"/>
  <c r="P17" i="29"/>
  <c r="P18" i="29"/>
  <c r="P19" i="29"/>
  <c r="P20" i="29"/>
  <c r="P21" i="29"/>
  <c r="P22" i="29"/>
  <c r="P23" i="29"/>
  <c r="P24" i="29"/>
  <c r="P25" i="29"/>
  <c r="P26" i="29"/>
  <c r="H7" i="29"/>
  <c r="Q7" i="29"/>
  <c r="H8" i="29"/>
  <c r="H9" i="29"/>
  <c r="Q9" i="29"/>
  <c r="H10" i="29"/>
  <c r="Q10" i="29"/>
  <c r="H11" i="29"/>
  <c r="Q11" i="29"/>
  <c r="H12" i="29"/>
  <c r="Q12" i="29"/>
  <c r="H13" i="29"/>
  <c r="Q13" i="29"/>
  <c r="H14" i="29"/>
  <c r="Q14" i="29"/>
  <c r="H15" i="29"/>
  <c r="Q15" i="29"/>
  <c r="H16" i="29"/>
  <c r="Q16" i="29"/>
  <c r="H17" i="29"/>
  <c r="Q17" i="29"/>
  <c r="H18" i="29"/>
  <c r="Q18" i="29"/>
  <c r="H19" i="29"/>
  <c r="Q19" i="29"/>
  <c r="H20" i="29"/>
  <c r="Q20" i="29"/>
  <c r="H21" i="29"/>
  <c r="Q21" i="29"/>
  <c r="H22" i="29"/>
  <c r="Q22" i="29"/>
  <c r="H23" i="29"/>
  <c r="Q23" i="29"/>
  <c r="H24" i="29"/>
  <c r="Q24" i="29"/>
  <c r="H25" i="29"/>
  <c r="Q25" i="29"/>
  <c r="H26" i="29"/>
  <c r="Q26" i="29"/>
  <c r="H27" i="29"/>
  <c r="Q27" i="29"/>
  <c r="H28" i="29"/>
  <c r="Q28" i="29"/>
  <c r="H6" i="29"/>
  <c r="Q6" i="29"/>
  <c r="AL7" i="29"/>
  <c r="BG7" i="29"/>
  <c r="CB7" i="29"/>
  <c r="CW7" i="29"/>
  <c r="DR7" i="29"/>
  <c r="AD7" i="29"/>
  <c r="AY7" i="29"/>
  <c r="BT7" i="29"/>
  <c r="CO7" i="29"/>
  <c r="DJ7" i="29"/>
  <c r="EE7" i="29"/>
  <c r="AC7" i="29"/>
  <c r="AX7" i="29"/>
  <c r="BS7" i="29"/>
  <c r="CN7" i="29"/>
  <c r="DI7" i="29"/>
  <c r="ED7" i="29"/>
  <c r="EF7" i="29"/>
  <c r="EI7" i="29"/>
  <c r="DX8" i="29"/>
  <c r="DZ8" i="29"/>
  <c r="AQ6" i="29"/>
  <c r="BL6" i="29"/>
  <c r="CG6" i="29"/>
  <c r="DB6" i="29"/>
  <c r="DC6" i="29"/>
  <c r="DE6" i="29"/>
  <c r="CH6" i="29"/>
  <c r="CJ6" i="29"/>
  <c r="BM6" i="29"/>
  <c r="BO6" i="29"/>
  <c r="AR6" i="29"/>
  <c r="AT6" i="29"/>
  <c r="W6" i="29"/>
  <c r="Y6" i="29"/>
  <c r="R74" i="29"/>
  <c r="K8" i="29"/>
  <c r="K9" i="29"/>
  <c r="K10" i="29"/>
  <c r="K11" i="29"/>
  <c r="K12" i="29"/>
  <c r="K13" i="29"/>
  <c r="K14" i="29"/>
  <c r="K15" i="29"/>
  <c r="K16" i="29"/>
  <c r="K17" i="29"/>
  <c r="K18" i="29"/>
  <c r="K19" i="29"/>
  <c r="K20" i="29"/>
  <c r="K21" i="29"/>
  <c r="K22" i="29"/>
  <c r="K23" i="29"/>
  <c r="K24" i="29"/>
  <c r="K25" i="29"/>
  <c r="K26" i="29"/>
  <c r="K27" i="29"/>
  <c r="K28" i="29"/>
  <c r="R62" i="29"/>
  <c r="Z6" i="29"/>
  <c r="AA6" i="29"/>
  <c r="AC6" i="29"/>
  <c r="AD6" i="29"/>
  <c r="AE6" i="29"/>
  <c r="W8" i="29"/>
  <c r="Y8" i="29"/>
  <c r="Z8" i="29"/>
  <c r="AA8" i="29"/>
  <c r="AC8" i="29"/>
  <c r="AD8" i="29"/>
  <c r="AE8" i="29"/>
  <c r="W9" i="29"/>
  <c r="Y9" i="29"/>
  <c r="Z9" i="29"/>
  <c r="AA9" i="29"/>
  <c r="AC9" i="29"/>
  <c r="AD9" i="29"/>
  <c r="AE9" i="29"/>
  <c r="W10" i="29"/>
  <c r="Y10" i="29"/>
  <c r="Z10" i="29"/>
  <c r="AA10" i="29"/>
  <c r="AC10" i="29"/>
  <c r="AD10" i="29"/>
  <c r="AE10" i="29"/>
  <c r="W11" i="29"/>
  <c r="Y11" i="29"/>
  <c r="Z11" i="29"/>
  <c r="AA11" i="29"/>
  <c r="AC11" i="29"/>
  <c r="AD11" i="29"/>
  <c r="AE11" i="29"/>
  <c r="W12" i="29"/>
  <c r="Y12" i="29"/>
  <c r="Z12" i="29"/>
  <c r="AA12" i="29"/>
  <c r="AC12" i="29"/>
  <c r="AD12" i="29"/>
  <c r="AE12" i="29"/>
  <c r="W13" i="29"/>
  <c r="Y13" i="29"/>
  <c r="Z13" i="29"/>
  <c r="AA13" i="29"/>
  <c r="AC13" i="29"/>
  <c r="AD13" i="29"/>
  <c r="AE13" i="29"/>
  <c r="W14" i="29"/>
  <c r="Y14" i="29"/>
  <c r="Z14" i="29"/>
  <c r="AA14" i="29"/>
  <c r="AC14" i="29"/>
  <c r="AD14" i="29"/>
  <c r="AE14" i="29"/>
  <c r="W15" i="29"/>
  <c r="Y15" i="29"/>
  <c r="Z15" i="29"/>
  <c r="AA15" i="29"/>
  <c r="AC15" i="29"/>
  <c r="AD15" i="29"/>
  <c r="AE15" i="29"/>
  <c r="W16" i="29"/>
  <c r="Y16" i="29"/>
  <c r="Z16" i="29"/>
  <c r="AA16" i="29"/>
  <c r="AC16" i="29"/>
  <c r="AD16" i="29"/>
  <c r="AE16" i="29"/>
  <c r="W17" i="29"/>
  <c r="Y17" i="29"/>
  <c r="Z17" i="29"/>
  <c r="AA17" i="29"/>
  <c r="AC17" i="29"/>
  <c r="AD17" i="29"/>
  <c r="AE17" i="29"/>
  <c r="W18" i="29"/>
  <c r="Y18" i="29"/>
  <c r="Z18" i="29"/>
  <c r="AA18" i="29"/>
  <c r="AC18" i="29"/>
  <c r="AD18" i="29"/>
  <c r="AE18" i="29"/>
  <c r="W19" i="29"/>
  <c r="Y19" i="29"/>
  <c r="Z19" i="29"/>
  <c r="AA19" i="29"/>
  <c r="AC19" i="29"/>
  <c r="AD19" i="29"/>
  <c r="AE19" i="29"/>
  <c r="W20" i="29"/>
  <c r="Y20" i="29"/>
  <c r="Z20" i="29"/>
  <c r="AA20" i="29"/>
  <c r="AC20" i="29"/>
  <c r="AD20" i="29"/>
  <c r="AE20" i="29"/>
  <c r="W21" i="29"/>
  <c r="Y21" i="29"/>
  <c r="Z21" i="29"/>
  <c r="AA21" i="29"/>
  <c r="AC21" i="29"/>
  <c r="AD21" i="29"/>
  <c r="AE21" i="29"/>
  <c r="W22" i="29"/>
  <c r="Y22" i="29"/>
  <c r="Z22" i="29"/>
  <c r="AA22" i="29"/>
  <c r="AC22" i="29"/>
  <c r="AD22" i="29"/>
  <c r="AE22" i="29"/>
  <c r="W23" i="29"/>
  <c r="Y23" i="29"/>
  <c r="Z23" i="29"/>
  <c r="AA23" i="29"/>
  <c r="AC23" i="29"/>
  <c r="AD23" i="29"/>
  <c r="AE23" i="29"/>
  <c r="W24" i="29"/>
  <c r="Y24" i="29"/>
  <c r="Z24" i="29"/>
  <c r="AA24" i="29"/>
  <c r="AC24" i="29"/>
  <c r="AD24" i="29"/>
  <c r="AE24" i="29"/>
  <c r="W25" i="29"/>
  <c r="Y25" i="29"/>
  <c r="Z25" i="29"/>
  <c r="AA25" i="29"/>
  <c r="AC25" i="29"/>
  <c r="AD25" i="29"/>
  <c r="AE25" i="29"/>
  <c r="W26" i="29"/>
  <c r="Y26" i="29"/>
  <c r="Z26" i="29"/>
  <c r="AA26" i="29"/>
  <c r="AC26" i="29"/>
  <c r="AD26" i="29"/>
  <c r="AE26" i="29"/>
  <c r="AK27" i="29"/>
  <c r="AK28" i="29"/>
  <c r="AL6" i="29"/>
  <c r="AL14" i="29"/>
  <c r="AL15" i="29"/>
  <c r="AL16" i="29"/>
  <c r="AL17" i="29"/>
  <c r="AL18" i="29"/>
  <c r="AL19" i="29"/>
  <c r="AL20" i="29"/>
  <c r="AL21" i="29"/>
  <c r="AL22" i="29"/>
  <c r="AL23" i="29"/>
  <c r="AL24" i="29"/>
  <c r="AL25" i="29"/>
  <c r="AL26" i="29"/>
  <c r="AB27" i="29"/>
  <c r="Y28" i="29"/>
  <c r="Z28" i="29"/>
  <c r="AA28" i="29"/>
  <c r="AC28" i="29"/>
  <c r="AE7" i="29"/>
  <c r="AD27" i="29"/>
  <c r="Y27" i="29"/>
  <c r="Z27" i="29"/>
  <c r="AA27" i="29"/>
  <c r="AC27" i="29"/>
  <c r="AE27" i="29"/>
  <c r="AM73" i="29"/>
  <c r="AM74" i="29"/>
  <c r="AP6" i="29"/>
  <c r="AO6" i="29"/>
  <c r="AY6" i="29"/>
  <c r="AQ8" i="29"/>
  <c r="AR8" i="29"/>
  <c r="AT8" i="29"/>
  <c r="AP8" i="29"/>
  <c r="AO8" i="29"/>
  <c r="AY8" i="29"/>
  <c r="AQ9" i="29"/>
  <c r="AR9" i="29"/>
  <c r="AT9" i="29"/>
  <c r="AP9" i="29"/>
  <c r="AO9" i="29"/>
  <c r="AY9" i="29"/>
  <c r="AQ10" i="29"/>
  <c r="AR10" i="29"/>
  <c r="AT10" i="29"/>
  <c r="AP10" i="29"/>
  <c r="AO10" i="29"/>
  <c r="AY10" i="29"/>
  <c r="AQ11" i="29"/>
  <c r="AR11" i="29"/>
  <c r="AT11" i="29"/>
  <c r="AP11" i="29"/>
  <c r="AO11" i="29"/>
  <c r="AY11" i="29"/>
  <c r="AQ12" i="29"/>
  <c r="AR12" i="29"/>
  <c r="AT12" i="29"/>
  <c r="AP12" i="29"/>
  <c r="AO12" i="29"/>
  <c r="AY12" i="29"/>
  <c r="AQ13" i="29"/>
  <c r="AR13" i="29"/>
  <c r="AT13" i="29"/>
  <c r="AP13" i="29"/>
  <c r="AO13" i="29"/>
  <c r="AY13" i="29"/>
  <c r="AQ14" i="29"/>
  <c r="AR14" i="29"/>
  <c r="AT14" i="29"/>
  <c r="AP14" i="29"/>
  <c r="AO14" i="29"/>
  <c r="AY14" i="29"/>
  <c r="AQ15" i="29"/>
  <c r="AR15" i="29"/>
  <c r="AT15" i="29"/>
  <c r="AP15" i="29"/>
  <c r="AO15" i="29"/>
  <c r="AY15" i="29"/>
  <c r="AQ16" i="29"/>
  <c r="AR16" i="29"/>
  <c r="AT16" i="29"/>
  <c r="AP16" i="29"/>
  <c r="AO16" i="29"/>
  <c r="AY16" i="29"/>
  <c r="AQ17" i="29"/>
  <c r="AR17" i="29"/>
  <c r="AT17" i="29"/>
  <c r="AP17" i="29"/>
  <c r="AO17" i="29"/>
  <c r="AY17" i="29"/>
  <c r="AQ18" i="29"/>
  <c r="AR18" i="29"/>
  <c r="AT18" i="29"/>
  <c r="AP18" i="29"/>
  <c r="AO18" i="29"/>
  <c r="AY18" i="29"/>
  <c r="AQ19" i="29"/>
  <c r="AR19" i="29"/>
  <c r="AT19" i="29"/>
  <c r="AP19" i="29"/>
  <c r="AO19" i="29"/>
  <c r="AY19" i="29"/>
  <c r="AQ20" i="29"/>
  <c r="AR20" i="29"/>
  <c r="AT20" i="29"/>
  <c r="AP20" i="29"/>
  <c r="AO20" i="29"/>
  <c r="AY20" i="29"/>
  <c r="AQ21" i="29"/>
  <c r="AR21" i="29"/>
  <c r="AT21" i="29"/>
  <c r="AP21" i="29"/>
  <c r="AO21" i="29"/>
  <c r="AY21" i="29"/>
  <c r="AQ22" i="29"/>
  <c r="AR22" i="29"/>
  <c r="AT22" i="29"/>
  <c r="AP22" i="29"/>
  <c r="AO22" i="29"/>
  <c r="AY22" i="29"/>
  <c r="AQ23" i="29"/>
  <c r="AR23" i="29"/>
  <c r="AT23" i="29"/>
  <c r="AP23" i="29"/>
  <c r="AO23" i="29"/>
  <c r="AY23" i="29"/>
  <c r="AQ24" i="29"/>
  <c r="AR24" i="29"/>
  <c r="AT24" i="29"/>
  <c r="AP24" i="29"/>
  <c r="AO24" i="29"/>
  <c r="AY24" i="29"/>
  <c r="AQ25" i="29"/>
  <c r="AR25" i="29"/>
  <c r="AT25" i="29"/>
  <c r="AP25" i="29"/>
  <c r="AO25" i="29"/>
  <c r="AY25" i="29"/>
  <c r="AQ26" i="29"/>
  <c r="AR26" i="29"/>
  <c r="AT26" i="29"/>
  <c r="AP26" i="29"/>
  <c r="AO26" i="29"/>
  <c r="AY26" i="29"/>
  <c r="AN27" i="29"/>
  <c r="AR27" i="29"/>
  <c r="AT27" i="29"/>
  <c r="AN28" i="29"/>
  <c r="AR28" i="29"/>
  <c r="AT28" i="29"/>
  <c r="AZ7" i="29"/>
  <c r="BH74" i="29"/>
  <c r="BK6" i="29"/>
  <c r="BJ6" i="29"/>
  <c r="BT6" i="29"/>
  <c r="BL8" i="29"/>
  <c r="BM8" i="29"/>
  <c r="BO8" i="29"/>
  <c r="BK8" i="29"/>
  <c r="BJ8" i="29"/>
  <c r="BT8" i="29"/>
  <c r="BL9" i="29"/>
  <c r="BM9" i="29"/>
  <c r="BO9" i="29"/>
  <c r="BK9" i="29"/>
  <c r="BJ9" i="29"/>
  <c r="BT9" i="29"/>
  <c r="BL10" i="29"/>
  <c r="BM10" i="29"/>
  <c r="BO10" i="29"/>
  <c r="BK10" i="29"/>
  <c r="BJ10" i="29"/>
  <c r="BT10" i="29"/>
  <c r="BL11" i="29"/>
  <c r="BM11" i="29"/>
  <c r="BO11" i="29"/>
  <c r="BK11" i="29"/>
  <c r="BJ11" i="29"/>
  <c r="BT11" i="29"/>
  <c r="BL12" i="29"/>
  <c r="BM12" i="29"/>
  <c r="BO12" i="29"/>
  <c r="BK12" i="29"/>
  <c r="BJ12" i="29"/>
  <c r="BT12" i="29"/>
  <c r="BL13" i="29"/>
  <c r="BM13" i="29"/>
  <c r="BO13" i="29"/>
  <c r="BK13" i="29"/>
  <c r="BJ13" i="29"/>
  <c r="BT13" i="29"/>
  <c r="BL14" i="29"/>
  <c r="BM14" i="29"/>
  <c r="BO14" i="29"/>
  <c r="BK14" i="29"/>
  <c r="BJ14" i="29"/>
  <c r="BT14" i="29"/>
  <c r="BL15" i="29"/>
  <c r="BM15" i="29"/>
  <c r="BO15" i="29"/>
  <c r="BK15" i="29"/>
  <c r="BJ15" i="29"/>
  <c r="BT15" i="29"/>
  <c r="BL16" i="29"/>
  <c r="BM16" i="29"/>
  <c r="BO16" i="29"/>
  <c r="BK16" i="29"/>
  <c r="BJ16" i="29"/>
  <c r="BT16" i="29"/>
  <c r="BL17" i="29"/>
  <c r="BM17" i="29"/>
  <c r="BO17" i="29"/>
  <c r="BK17" i="29"/>
  <c r="BJ17" i="29"/>
  <c r="BT17" i="29"/>
  <c r="BL18" i="29"/>
  <c r="BM18" i="29"/>
  <c r="BO18" i="29"/>
  <c r="BK18" i="29"/>
  <c r="BJ18" i="29"/>
  <c r="BT18" i="29"/>
  <c r="BL19" i="29"/>
  <c r="BM19" i="29"/>
  <c r="BO19" i="29"/>
  <c r="BK19" i="29"/>
  <c r="BJ19" i="29"/>
  <c r="BT19" i="29"/>
  <c r="BL20" i="29"/>
  <c r="BM20" i="29"/>
  <c r="BO20" i="29"/>
  <c r="BK20" i="29"/>
  <c r="BJ20" i="29"/>
  <c r="BT20" i="29"/>
  <c r="BL21" i="29"/>
  <c r="BM21" i="29"/>
  <c r="BO21" i="29"/>
  <c r="BK21" i="29"/>
  <c r="BJ21" i="29"/>
  <c r="BT21" i="29"/>
  <c r="BL22" i="29"/>
  <c r="BM22" i="29"/>
  <c r="BO22" i="29"/>
  <c r="BK22" i="29"/>
  <c r="BJ22" i="29"/>
  <c r="BT22" i="29"/>
  <c r="BL23" i="29"/>
  <c r="BM23" i="29"/>
  <c r="BO23" i="29"/>
  <c r="BK23" i="29"/>
  <c r="BJ23" i="29"/>
  <c r="BT23" i="29"/>
  <c r="BL24" i="29"/>
  <c r="BM24" i="29"/>
  <c r="BO24" i="29"/>
  <c r="BK24" i="29"/>
  <c r="BJ24" i="29"/>
  <c r="BT24" i="29"/>
  <c r="BL25" i="29"/>
  <c r="BM25" i="29"/>
  <c r="BO25" i="29"/>
  <c r="BK25" i="29"/>
  <c r="BJ25" i="29"/>
  <c r="BT25" i="29"/>
  <c r="BL26" i="29"/>
  <c r="BM26" i="29"/>
  <c r="BO26" i="29"/>
  <c r="BK26" i="29"/>
  <c r="BJ26" i="29"/>
  <c r="BT26" i="29"/>
  <c r="BF27" i="29"/>
  <c r="BI27" i="29"/>
  <c r="BM27" i="29"/>
  <c r="BO27" i="29"/>
  <c r="BG6" i="29"/>
  <c r="BG8" i="29"/>
  <c r="BG9" i="29"/>
  <c r="BG10" i="29"/>
  <c r="BG11" i="29"/>
  <c r="BG12" i="29"/>
  <c r="BG13" i="29"/>
  <c r="BG14" i="29"/>
  <c r="BG15" i="29"/>
  <c r="BG16" i="29"/>
  <c r="BG17" i="29"/>
  <c r="BG18" i="29"/>
  <c r="BG19" i="29"/>
  <c r="BG20" i="29"/>
  <c r="BG21" i="29"/>
  <c r="BG22" i="29"/>
  <c r="BG23" i="29"/>
  <c r="BG24" i="29"/>
  <c r="BG25" i="29"/>
  <c r="BG26" i="29"/>
  <c r="BH73" i="29"/>
  <c r="BF28" i="29"/>
  <c r="BI28" i="29"/>
  <c r="BM28" i="29"/>
  <c r="BO28" i="29"/>
  <c r="BU7" i="29"/>
  <c r="CC29" i="29"/>
  <c r="CC65" i="29"/>
  <c r="CC72" i="29"/>
  <c r="CC74" i="29"/>
  <c r="CF6" i="29"/>
  <c r="CE6" i="29"/>
  <c r="CO6" i="29"/>
  <c r="CG8" i="29"/>
  <c r="CH8" i="29"/>
  <c r="CJ8" i="29"/>
  <c r="CF8" i="29"/>
  <c r="CE8" i="29"/>
  <c r="CO8" i="29"/>
  <c r="CG9" i="29"/>
  <c r="CH9" i="29"/>
  <c r="CJ9" i="29"/>
  <c r="CF9" i="29"/>
  <c r="CE9" i="29"/>
  <c r="CO9" i="29"/>
  <c r="CG10" i="29"/>
  <c r="CH10" i="29"/>
  <c r="CJ10" i="29"/>
  <c r="CF10" i="29"/>
  <c r="CE10" i="29"/>
  <c r="CO10" i="29"/>
  <c r="CG11" i="29"/>
  <c r="CH11" i="29"/>
  <c r="CJ11" i="29"/>
  <c r="CF11" i="29"/>
  <c r="CE11" i="29"/>
  <c r="CO11" i="29"/>
  <c r="CG12" i="29"/>
  <c r="CH12" i="29"/>
  <c r="CJ12" i="29"/>
  <c r="CF12" i="29"/>
  <c r="CE12" i="29"/>
  <c r="CO12" i="29"/>
  <c r="CG13" i="29"/>
  <c r="CH13" i="29"/>
  <c r="CJ13" i="29"/>
  <c r="CF13" i="29"/>
  <c r="CE13" i="29"/>
  <c r="CO13" i="29"/>
  <c r="CG14" i="29"/>
  <c r="CH14" i="29"/>
  <c r="CJ14" i="29"/>
  <c r="CF14" i="29"/>
  <c r="CE14" i="29"/>
  <c r="CO14" i="29"/>
  <c r="CG15" i="29"/>
  <c r="CH15" i="29"/>
  <c r="CJ15" i="29"/>
  <c r="CF15" i="29"/>
  <c r="CE15" i="29"/>
  <c r="CO15" i="29"/>
  <c r="CG16" i="29"/>
  <c r="CH16" i="29"/>
  <c r="CJ16" i="29"/>
  <c r="CF16" i="29"/>
  <c r="CE16" i="29"/>
  <c r="CO16" i="29"/>
  <c r="CG17" i="29"/>
  <c r="CH17" i="29"/>
  <c r="CJ17" i="29"/>
  <c r="CF17" i="29"/>
  <c r="CE17" i="29"/>
  <c r="CO17" i="29"/>
  <c r="CG18" i="29"/>
  <c r="CH18" i="29"/>
  <c r="CJ18" i="29"/>
  <c r="CF18" i="29"/>
  <c r="CE18" i="29"/>
  <c r="CO18" i="29"/>
  <c r="CG19" i="29"/>
  <c r="CH19" i="29"/>
  <c r="CJ19" i="29"/>
  <c r="CF19" i="29"/>
  <c r="CE19" i="29"/>
  <c r="CO19" i="29"/>
  <c r="CG20" i="29"/>
  <c r="CH20" i="29"/>
  <c r="CJ20" i="29"/>
  <c r="CF20" i="29"/>
  <c r="CE20" i="29"/>
  <c r="CO20" i="29"/>
  <c r="CG21" i="29"/>
  <c r="CH21" i="29"/>
  <c r="CJ21" i="29"/>
  <c r="CF21" i="29"/>
  <c r="CE21" i="29"/>
  <c r="CO21" i="29"/>
  <c r="CG22" i="29"/>
  <c r="CH22" i="29"/>
  <c r="CJ22" i="29"/>
  <c r="CF22" i="29"/>
  <c r="CE22" i="29"/>
  <c r="CO22" i="29"/>
  <c r="CG23" i="29"/>
  <c r="CH23" i="29"/>
  <c r="CJ23" i="29"/>
  <c r="CF23" i="29"/>
  <c r="CE23" i="29"/>
  <c r="CO23" i="29"/>
  <c r="CG24" i="29"/>
  <c r="CH24" i="29"/>
  <c r="CJ24" i="29"/>
  <c r="CF24" i="29"/>
  <c r="CE24" i="29"/>
  <c r="CO24" i="29"/>
  <c r="CG25" i="29"/>
  <c r="CH25" i="29"/>
  <c r="CJ25" i="29"/>
  <c r="CF25" i="29"/>
  <c r="CE25" i="29"/>
  <c r="CO25" i="29"/>
  <c r="CG26" i="29"/>
  <c r="CH26" i="29"/>
  <c r="CJ26" i="29"/>
  <c r="CF26" i="29"/>
  <c r="CE26" i="29"/>
  <c r="CO26" i="29"/>
  <c r="CA27" i="29"/>
  <c r="CD27" i="29"/>
  <c r="CH27" i="29"/>
  <c r="CJ27" i="29"/>
  <c r="CB6" i="29"/>
  <c r="CB8" i="29"/>
  <c r="CB9" i="29"/>
  <c r="CB10" i="29"/>
  <c r="CB11" i="29"/>
  <c r="CB12" i="29"/>
  <c r="CB13" i="29"/>
  <c r="CB14" i="29"/>
  <c r="CB15" i="29"/>
  <c r="CB16" i="29"/>
  <c r="CB17" i="29"/>
  <c r="CB18" i="29"/>
  <c r="CB19" i="29"/>
  <c r="CB20" i="29"/>
  <c r="CB21" i="29"/>
  <c r="CB22" i="29"/>
  <c r="CB23" i="29"/>
  <c r="CB24" i="29"/>
  <c r="CB25" i="29"/>
  <c r="CB26" i="29"/>
  <c r="CC73" i="29"/>
  <c r="CA28" i="29"/>
  <c r="CD28" i="29"/>
  <c r="CH28" i="29"/>
  <c r="CJ28" i="29"/>
  <c r="CP7" i="29"/>
  <c r="CX29" i="29"/>
  <c r="CX65" i="29"/>
  <c r="CX72" i="29"/>
  <c r="CX74" i="29"/>
  <c r="DA6" i="29"/>
  <c r="CZ6" i="29"/>
  <c r="DJ6" i="29"/>
  <c r="DB8" i="29"/>
  <c r="DC8" i="29"/>
  <c r="DE8" i="29"/>
  <c r="DA8" i="29"/>
  <c r="CZ8" i="29"/>
  <c r="DJ8" i="29"/>
  <c r="DB9" i="29"/>
  <c r="DC9" i="29"/>
  <c r="DE9" i="29"/>
  <c r="DA9" i="29"/>
  <c r="CZ9" i="29"/>
  <c r="DJ9" i="29"/>
  <c r="DB10" i="29"/>
  <c r="DC10" i="29"/>
  <c r="DE10" i="29"/>
  <c r="DA10" i="29"/>
  <c r="CZ10" i="29"/>
  <c r="DJ10" i="29"/>
  <c r="DB11" i="29"/>
  <c r="DC11" i="29"/>
  <c r="DE11" i="29"/>
  <c r="DA11" i="29"/>
  <c r="CZ11" i="29"/>
  <c r="DJ11" i="29"/>
  <c r="DB12" i="29"/>
  <c r="DC12" i="29"/>
  <c r="DE12" i="29"/>
  <c r="DA12" i="29"/>
  <c r="CZ12" i="29"/>
  <c r="DJ12" i="29"/>
  <c r="DB13" i="29"/>
  <c r="DC13" i="29"/>
  <c r="DE13" i="29"/>
  <c r="DA13" i="29"/>
  <c r="CZ13" i="29"/>
  <c r="DJ13" i="29"/>
  <c r="DB14" i="29"/>
  <c r="DC14" i="29"/>
  <c r="DE14" i="29"/>
  <c r="DA14" i="29"/>
  <c r="CZ14" i="29"/>
  <c r="DJ14" i="29"/>
  <c r="DB15" i="29"/>
  <c r="DC15" i="29"/>
  <c r="DE15" i="29"/>
  <c r="DA15" i="29"/>
  <c r="CZ15" i="29"/>
  <c r="DJ15" i="29"/>
  <c r="DB16" i="29"/>
  <c r="DC16" i="29"/>
  <c r="DE16" i="29"/>
  <c r="DA16" i="29"/>
  <c r="CZ16" i="29"/>
  <c r="DJ16" i="29"/>
  <c r="DB17" i="29"/>
  <c r="DC17" i="29"/>
  <c r="DE17" i="29"/>
  <c r="DA17" i="29"/>
  <c r="CZ17" i="29"/>
  <c r="DJ17" i="29"/>
  <c r="DB18" i="29"/>
  <c r="DC18" i="29"/>
  <c r="DE18" i="29"/>
  <c r="DA18" i="29"/>
  <c r="CZ18" i="29"/>
  <c r="DJ18" i="29"/>
  <c r="DB19" i="29"/>
  <c r="DC19" i="29"/>
  <c r="DE19" i="29"/>
  <c r="DA19" i="29"/>
  <c r="CZ19" i="29"/>
  <c r="DJ19" i="29"/>
  <c r="DB20" i="29"/>
  <c r="DC20" i="29"/>
  <c r="DE20" i="29"/>
  <c r="DA20" i="29"/>
  <c r="CZ20" i="29"/>
  <c r="DJ20" i="29"/>
  <c r="DB21" i="29"/>
  <c r="DC21" i="29"/>
  <c r="DE21" i="29"/>
  <c r="DA21" i="29"/>
  <c r="CZ21" i="29"/>
  <c r="DJ21" i="29"/>
  <c r="DB22" i="29"/>
  <c r="DC22" i="29"/>
  <c r="DE22" i="29"/>
  <c r="DA22" i="29"/>
  <c r="CZ22" i="29"/>
  <c r="DJ22" i="29"/>
  <c r="DB23" i="29"/>
  <c r="DC23" i="29"/>
  <c r="DE23" i="29"/>
  <c r="DA23" i="29"/>
  <c r="CZ23" i="29"/>
  <c r="DJ23" i="29"/>
  <c r="DB24" i="29"/>
  <c r="DC24" i="29"/>
  <c r="DE24" i="29"/>
  <c r="DA24" i="29"/>
  <c r="CZ24" i="29"/>
  <c r="DJ24" i="29"/>
  <c r="DB25" i="29"/>
  <c r="DC25" i="29"/>
  <c r="DE25" i="29"/>
  <c r="DA25" i="29"/>
  <c r="CZ25" i="29"/>
  <c r="DJ25" i="29"/>
  <c r="DB26" i="29"/>
  <c r="DC26" i="29"/>
  <c r="DE26" i="29"/>
  <c r="DA26" i="29"/>
  <c r="CZ26" i="29"/>
  <c r="DJ26" i="29"/>
  <c r="CV27" i="29"/>
  <c r="CY27" i="29"/>
  <c r="DC27" i="29"/>
  <c r="DE27" i="29"/>
  <c r="CW6" i="29"/>
  <c r="CW8" i="29"/>
  <c r="CW9" i="29"/>
  <c r="CW10" i="29"/>
  <c r="CW11" i="29"/>
  <c r="CW12" i="29"/>
  <c r="CW13" i="29"/>
  <c r="CW14" i="29"/>
  <c r="CW15" i="29"/>
  <c r="CW16" i="29"/>
  <c r="CW17" i="29"/>
  <c r="CW18" i="29"/>
  <c r="CW19" i="29"/>
  <c r="CW20" i="29"/>
  <c r="CW21" i="29"/>
  <c r="CW22" i="29"/>
  <c r="CW23" i="29"/>
  <c r="CW24" i="29"/>
  <c r="CW25" i="29"/>
  <c r="CW26" i="29"/>
  <c r="CX73" i="29"/>
  <c r="CV28" i="29"/>
  <c r="CY28" i="29"/>
  <c r="DC28" i="29"/>
  <c r="DE28" i="29"/>
  <c r="DK7" i="29"/>
  <c r="DS29" i="29"/>
  <c r="DS65" i="29"/>
  <c r="DS72" i="29"/>
  <c r="DS74" i="29"/>
  <c r="EE8" i="29"/>
  <c r="DR8" i="29"/>
  <c r="DW9" i="29"/>
  <c r="DX9" i="29"/>
  <c r="DZ9" i="29"/>
  <c r="DV9" i="29"/>
  <c r="DU9" i="29"/>
  <c r="EE9" i="29"/>
  <c r="DR9" i="29"/>
  <c r="DW10" i="29"/>
  <c r="DX10" i="29"/>
  <c r="DZ10" i="29"/>
  <c r="DV10" i="29"/>
  <c r="DU10" i="29"/>
  <c r="EE10" i="29"/>
  <c r="DR10" i="29"/>
  <c r="DW11" i="29"/>
  <c r="DX11" i="29"/>
  <c r="DZ11" i="29"/>
  <c r="DV11" i="29"/>
  <c r="DU11" i="29"/>
  <c r="EE11" i="29"/>
  <c r="DR11" i="29"/>
  <c r="DW12" i="29"/>
  <c r="DX12" i="29"/>
  <c r="DZ12" i="29"/>
  <c r="DV12" i="29"/>
  <c r="DU12" i="29"/>
  <c r="EE12" i="29"/>
  <c r="DR12" i="29"/>
  <c r="DW13" i="29"/>
  <c r="DX13" i="29"/>
  <c r="DZ13" i="29"/>
  <c r="DV13" i="29"/>
  <c r="DU13" i="29"/>
  <c r="EE13" i="29"/>
  <c r="DR13" i="29"/>
  <c r="DW14" i="29"/>
  <c r="DX14" i="29"/>
  <c r="DZ14" i="29"/>
  <c r="DV14" i="29"/>
  <c r="DU14" i="29"/>
  <c r="EE14" i="29"/>
  <c r="DR14" i="29"/>
  <c r="DW15" i="29"/>
  <c r="DX15" i="29"/>
  <c r="DZ15" i="29"/>
  <c r="DV15" i="29"/>
  <c r="DU15" i="29"/>
  <c r="EE15" i="29"/>
  <c r="DR15" i="29"/>
  <c r="DW16" i="29"/>
  <c r="DX16" i="29"/>
  <c r="DZ16" i="29"/>
  <c r="DV16" i="29"/>
  <c r="DU16" i="29"/>
  <c r="EE16" i="29"/>
  <c r="DR16" i="29"/>
  <c r="DW17" i="29"/>
  <c r="DX17" i="29"/>
  <c r="DZ17" i="29"/>
  <c r="DV17" i="29"/>
  <c r="DU17" i="29"/>
  <c r="EE17" i="29"/>
  <c r="DR17" i="29"/>
  <c r="DW18" i="29"/>
  <c r="DX18" i="29"/>
  <c r="DZ18" i="29"/>
  <c r="DV18" i="29"/>
  <c r="DU18" i="29"/>
  <c r="EE18" i="29"/>
  <c r="DR18" i="29"/>
  <c r="DW19" i="29"/>
  <c r="DX19" i="29"/>
  <c r="DZ19" i="29"/>
  <c r="DV19" i="29"/>
  <c r="DU19" i="29"/>
  <c r="EE19" i="29"/>
  <c r="DR19" i="29"/>
  <c r="DW20" i="29"/>
  <c r="DX20" i="29"/>
  <c r="DZ20" i="29"/>
  <c r="DV20" i="29"/>
  <c r="DU20" i="29"/>
  <c r="EE20" i="29"/>
  <c r="DR20" i="29"/>
  <c r="DW21" i="29"/>
  <c r="DX21" i="29"/>
  <c r="DZ21" i="29"/>
  <c r="DV21" i="29"/>
  <c r="DU21" i="29"/>
  <c r="EE21" i="29"/>
  <c r="DR21" i="29"/>
  <c r="DW22" i="29"/>
  <c r="DX22" i="29"/>
  <c r="DZ22" i="29"/>
  <c r="DV22" i="29"/>
  <c r="DU22" i="29"/>
  <c r="EE22" i="29"/>
  <c r="DR22" i="29"/>
  <c r="DW23" i="29"/>
  <c r="DX23" i="29"/>
  <c r="DZ23" i="29"/>
  <c r="DV23" i="29"/>
  <c r="DU23" i="29"/>
  <c r="EE23" i="29"/>
  <c r="DR23" i="29"/>
  <c r="DW24" i="29"/>
  <c r="DX24" i="29"/>
  <c r="DZ24" i="29"/>
  <c r="DV24" i="29"/>
  <c r="DU24" i="29"/>
  <c r="EE24" i="29"/>
  <c r="DR24" i="29"/>
  <c r="DW25" i="29"/>
  <c r="DX25" i="29"/>
  <c r="DZ25" i="29"/>
  <c r="DV25" i="29"/>
  <c r="DU25" i="29"/>
  <c r="EE25" i="29"/>
  <c r="DR25" i="29"/>
  <c r="DW26" i="29"/>
  <c r="DX26" i="29"/>
  <c r="DZ26" i="29"/>
  <c r="DV26" i="29"/>
  <c r="DU26" i="29"/>
  <c r="EE26" i="29"/>
  <c r="DR26" i="29"/>
  <c r="DQ27" i="29"/>
  <c r="DT27" i="29"/>
  <c r="DX27" i="29"/>
  <c r="DZ27" i="29"/>
  <c r="DR6" i="29"/>
  <c r="DS73" i="29"/>
  <c r="DQ28" i="29"/>
  <c r="DT28" i="29"/>
  <c r="DX28" i="29"/>
  <c r="DZ28" i="29"/>
  <c r="DW6" i="29"/>
  <c r="DX6" i="29"/>
  <c r="DZ6" i="29"/>
  <c r="DV6" i="29"/>
  <c r="DU6" i="29"/>
  <c r="EE6" i="29"/>
  <c r="DN7" i="29"/>
  <c r="CS7" i="29"/>
  <c r="BX7" i="29"/>
  <c r="BC7" i="29"/>
  <c r="AH7" i="29"/>
  <c r="AH8" i="29"/>
  <c r="AH9" i="29"/>
  <c r="AH10" i="29"/>
  <c r="AH11" i="29"/>
  <c r="AH12" i="29"/>
  <c r="AH13" i="29"/>
  <c r="AH14" i="29"/>
  <c r="AH15" i="29"/>
  <c r="AH16" i="29"/>
  <c r="AH17" i="29"/>
  <c r="AH18" i="29"/>
  <c r="AH19" i="29"/>
  <c r="AH20" i="29"/>
  <c r="AH21" i="29"/>
  <c r="AH22" i="29"/>
  <c r="AH23" i="29"/>
  <c r="AH24" i="29"/>
  <c r="AH25" i="29"/>
  <c r="AH26" i="29"/>
  <c r="AH27" i="29"/>
  <c r="AH6" i="29"/>
  <c r="P28" i="29"/>
  <c r="P27" i="29"/>
  <c r="G8" i="29"/>
  <c r="E7" i="29"/>
  <c r="E8" i="29"/>
  <c r="E9" i="29"/>
  <c r="E10" i="29"/>
  <c r="E11" i="29"/>
  <c r="E12" i="29"/>
  <c r="E13" i="29"/>
  <c r="E14" i="29"/>
  <c r="E15" i="29"/>
  <c r="E16" i="29"/>
  <c r="E17" i="29"/>
  <c r="E18" i="29"/>
  <c r="E19" i="29"/>
  <c r="E20" i="29"/>
  <c r="E21" i="29"/>
  <c r="E22" i="29"/>
  <c r="E23" i="29"/>
  <c r="E24" i="29"/>
  <c r="E25" i="29"/>
  <c r="E26" i="29"/>
  <c r="E6" i="29"/>
  <c r="AI5" i="29"/>
  <c r="N5" i="29"/>
  <c r="S30" i="27"/>
  <c r="S28" i="27"/>
  <c r="S32" i="27"/>
  <c r="V21" i="27"/>
  <c r="S27" i="27"/>
  <c r="S31" i="27"/>
  <c r="S33" i="27"/>
  <c r="S8" i="27"/>
  <c r="S9" i="27"/>
  <c r="S10" i="27"/>
  <c r="S11" i="27"/>
  <c r="S12" i="27"/>
  <c r="S19" i="27"/>
  <c r="S18" i="27"/>
  <c r="S16" i="27"/>
  <c r="S15" i="27"/>
  <c r="S14" i="27"/>
  <c r="S41" i="27"/>
  <c r="U21" i="27"/>
  <c r="S26" i="27"/>
  <c r="R21" i="27"/>
  <c r="S25" i="27"/>
  <c r="G31" i="27"/>
  <c r="G37" i="27"/>
  <c r="G30" i="17"/>
  <c r="S30" i="17"/>
  <c r="T8" i="17"/>
  <c r="U8" i="17"/>
  <c r="G30" i="27"/>
  <c r="G28" i="27"/>
  <c r="G32" i="27"/>
  <c r="K19" i="27"/>
  <c r="C19" i="27"/>
  <c r="K18" i="27"/>
  <c r="L19" i="27"/>
  <c r="J8" i="27"/>
  <c r="K8" i="27"/>
  <c r="C8" i="27"/>
  <c r="L8" i="27"/>
  <c r="J9" i="27"/>
  <c r="K9" i="27"/>
  <c r="C9" i="27"/>
  <c r="L9" i="27"/>
  <c r="J10" i="27"/>
  <c r="K10" i="27"/>
  <c r="C10" i="27"/>
  <c r="L10" i="27"/>
  <c r="J11" i="27"/>
  <c r="K11" i="27"/>
  <c r="C11" i="27"/>
  <c r="L11" i="27"/>
  <c r="J12" i="27"/>
  <c r="K12" i="27"/>
  <c r="C12" i="27"/>
  <c r="L12" i="27"/>
  <c r="J14" i="27"/>
  <c r="K14" i="27"/>
  <c r="C14" i="27"/>
  <c r="L14" i="27"/>
  <c r="J15" i="27"/>
  <c r="K15" i="27"/>
  <c r="C15" i="27"/>
  <c r="L15" i="27"/>
  <c r="J16" i="27"/>
  <c r="K16" i="27"/>
  <c r="C16" i="27"/>
  <c r="L16" i="27"/>
  <c r="C18" i="27"/>
  <c r="L18" i="27"/>
  <c r="O21" i="27"/>
  <c r="P9" i="27"/>
  <c r="P10" i="27"/>
  <c r="P11" i="27"/>
  <c r="P12" i="27"/>
  <c r="P14" i="27"/>
  <c r="P15" i="27"/>
  <c r="P16" i="27"/>
  <c r="P18" i="27"/>
  <c r="P19" i="27"/>
  <c r="P8" i="27"/>
  <c r="Y18" i="27"/>
  <c r="O19" i="21"/>
  <c r="F21" i="27"/>
  <c r="G25" i="27"/>
  <c r="G33" i="27"/>
  <c r="L21" i="27"/>
  <c r="X18" i="27"/>
  <c r="Z18" i="27"/>
  <c r="X19" i="27"/>
  <c r="P21" i="27"/>
  <c r="O8" i="17"/>
  <c r="O9" i="17"/>
  <c r="O10" i="17"/>
  <c r="O11" i="17"/>
  <c r="O12" i="17"/>
  <c r="O14" i="17"/>
  <c r="O15" i="17"/>
  <c r="O16" i="17"/>
  <c r="O18" i="17"/>
  <c r="P8" i="17"/>
  <c r="P9" i="17"/>
  <c r="P10" i="17"/>
  <c r="P11" i="17"/>
  <c r="P12" i="17"/>
  <c r="P14" i="17"/>
  <c r="P15" i="17"/>
  <c r="P16" i="17"/>
  <c r="P18" i="17"/>
  <c r="T9" i="17"/>
  <c r="U9" i="17"/>
  <c r="T10" i="17"/>
  <c r="U10" i="17"/>
  <c r="T11" i="17"/>
  <c r="U11" i="17"/>
  <c r="T12" i="17"/>
  <c r="U12" i="17"/>
  <c r="T14" i="17"/>
  <c r="U14" i="17"/>
  <c r="T15" i="17"/>
  <c r="U15" i="17"/>
  <c r="T16" i="17"/>
  <c r="U16" i="17"/>
  <c r="U18" i="17"/>
  <c r="S23" i="17"/>
  <c r="X8" i="17"/>
  <c r="X9" i="17"/>
  <c r="X10" i="17"/>
  <c r="X11" i="17"/>
  <c r="X12" i="17"/>
  <c r="X16" i="17"/>
  <c r="G29" i="16"/>
  <c r="S29" i="16"/>
  <c r="T8" i="16"/>
  <c r="U8" i="16"/>
  <c r="T9" i="16"/>
  <c r="U9" i="16"/>
  <c r="T10" i="16"/>
  <c r="U10" i="16"/>
  <c r="T11" i="16"/>
  <c r="U11" i="16"/>
  <c r="T12" i="16"/>
  <c r="U12" i="16"/>
  <c r="T14" i="16"/>
  <c r="U14" i="16"/>
  <c r="T15" i="16"/>
  <c r="U15" i="16"/>
  <c r="T16" i="16"/>
  <c r="U16" i="16"/>
  <c r="X16" i="16"/>
  <c r="X12" i="16"/>
  <c r="X11" i="16"/>
  <c r="X10" i="16"/>
  <c r="X9" i="16"/>
  <c r="X8" i="16"/>
  <c r="P16" i="16"/>
  <c r="P15" i="16"/>
  <c r="P14" i="16"/>
  <c r="P12" i="16"/>
  <c r="P11" i="16"/>
  <c r="P10" i="16"/>
  <c r="P9" i="16"/>
  <c r="P8" i="16"/>
  <c r="P18" i="16"/>
  <c r="O18" i="16"/>
  <c r="O16" i="16"/>
  <c r="O15" i="16"/>
  <c r="O14" i="16"/>
  <c r="O9" i="16"/>
  <c r="O10" i="16"/>
  <c r="O11" i="16"/>
  <c r="O12" i="16"/>
  <c r="O8" i="16"/>
  <c r="O16" i="13"/>
  <c r="O8" i="13"/>
  <c r="O9" i="13"/>
  <c r="O10" i="13"/>
  <c r="O11" i="13"/>
  <c r="O12" i="13"/>
  <c r="O14" i="13"/>
  <c r="O15" i="13"/>
  <c r="O8" i="12"/>
  <c r="O9" i="12"/>
  <c r="O10" i="12"/>
  <c r="O11" i="12"/>
  <c r="O12" i="12"/>
  <c r="O15" i="12"/>
  <c r="O14" i="12"/>
  <c r="O17" i="12"/>
  <c r="P8" i="12"/>
  <c r="P9" i="12"/>
  <c r="P10" i="12"/>
  <c r="P11" i="12"/>
  <c r="P12" i="12"/>
  <c r="P14" i="12"/>
  <c r="P15" i="12"/>
  <c r="P17" i="12"/>
  <c r="P16" i="12"/>
  <c r="G29" i="13"/>
  <c r="S29" i="13"/>
  <c r="T16" i="13"/>
  <c r="U16" i="13"/>
  <c r="X16" i="13"/>
  <c r="Y16" i="13"/>
  <c r="Z16" i="13"/>
  <c r="AC16" i="13"/>
  <c r="T15" i="13"/>
  <c r="U15" i="13"/>
  <c r="X15" i="13"/>
  <c r="Y15" i="13"/>
  <c r="Z15" i="13"/>
  <c r="AC15" i="13"/>
  <c r="T14" i="13"/>
  <c r="U14" i="13"/>
  <c r="X14" i="13"/>
  <c r="Y14" i="13"/>
  <c r="Z14" i="13"/>
  <c r="AC14" i="13"/>
  <c r="T12" i="13"/>
  <c r="U12" i="13"/>
  <c r="X12" i="13"/>
  <c r="Y12" i="13"/>
  <c r="Z12" i="13"/>
  <c r="AC12" i="13"/>
  <c r="T11" i="13"/>
  <c r="U11" i="13"/>
  <c r="X11" i="13"/>
  <c r="Y11" i="13"/>
  <c r="Z11" i="13"/>
  <c r="AC11" i="13"/>
  <c r="T10" i="13"/>
  <c r="U10" i="13"/>
  <c r="X10" i="13"/>
  <c r="Y10" i="13"/>
  <c r="Z10" i="13"/>
  <c r="AC10" i="13"/>
  <c r="T9" i="13"/>
  <c r="U9" i="13"/>
  <c r="X9" i="13"/>
  <c r="Y9" i="13"/>
  <c r="Z9" i="13"/>
  <c r="AC9" i="13"/>
  <c r="T8" i="13"/>
  <c r="U8" i="13"/>
  <c r="X8" i="13"/>
  <c r="Y8" i="13"/>
  <c r="Z8" i="13"/>
  <c r="AC8" i="13"/>
  <c r="AC18" i="13"/>
  <c r="AD8" i="13"/>
  <c r="AD9" i="13"/>
  <c r="AD10" i="13"/>
  <c r="AD11" i="13"/>
  <c r="AD12" i="13"/>
  <c r="AD14" i="13"/>
  <c r="AD15" i="13"/>
  <c r="AD16" i="13"/>
  <c r="AD18" i="13"/>
  <c r="O18" i="13"/>
  <c r="P8" i="13"/>
  <c r="P9" i="13"/>
  <c r="P10" i="13"/>
  <c r="P11" i="13"/>
  <c r="P12" i="13"/>
  <c r="P14" i="13"/>
  <c r="P15" i="13"/>
  <c r="P16" i="13"/>
  <c r="P18" i="13"/>
  <c r="T21" i="27"/>
  <c r="S21" i="27"/>
  <c r="AQ7" i="29"/>
  <c r="BL7" i="29"/>
  <c r="CG7" i="29"/>
  <c r="DB7" i="29"/>
  <c r="DW7" i="29"/>
  <c r="DX7" i="29"/>
  <c r="AO7" i="29"/>
  <c r="BJ7" i="29"/>
  <c r="CE7" i="29"/>
  <c r="CZ7" i="29"/>
  <c r="DU7" i="29"/>
  <c r="DY7" i="29"/>
  <c r="DY8" i="29"/>
  <c r="DY9" i="29"/>
  <c r="DY10" i="29"/>
  <c r="DY11" i="29"/>
  <c r="DY12" i="29"/>
  <c r="DY13" i="29"/>
  <c r="DY14" i="29"/>
  <c r="DY15" i="29"/>
  <c r="DY16" i="29"/>
  <c r="DY17" i="29"/>
  <c r="DY18" i="29"/>
  <c r="DY19" i="29"/>
  <c r="DY20" i="29"/>
  <c r="DY21" i="29"/>
  <c r="DY22" i="29"/>
  <c r="DY23" i="29"/>
  <c r="DY24" i="29"/>
  <c r="DY25" i="29"/>
  <c r="DY26" i="29"/>
  <c r="DY6" i="29"/>
  <c r="B4" i="31"/>
  <c r="B6" i="20"/>
  <c r="D35" i="30"/>
  <c r="H41" i="30"/>
  <c r="I41" i="30"/>
  <c r="J41" i="30"/>
  <c r="K41" i="30"/>
  <c r="L41" i="30"/>
  <c r="B53" i="29"/>
  <c r="EB53" i="29"/>
  <c r="D17" i="30"/>
  <c r="B47" i="29"/>
  <c r="B48" i="29"/>
  <c r="B49" i="29"/>
  <c r="B50" i="29"/>
  <c r="EB50" i="29"/>
  <c r="B51" i="29"/>
  <c r="EB51" i="29"/>
  <c r="B52" i="29"/>
  <c r="EB52" i="29"/>
  <c r="D20" i="30"/>
  <c r="D21" i="30"/>
  <c r="D22" i="30"/>
  <c r="DZ7" i="29"/>
  <c r="DZ29" i="29"/>
  <c r="DX29" i="29"/>
  <c r="DS67" i="29"/>
  <c r="DT29" i="29"/>
  <c r="DS66" i="29"/>
  <c r="L47" i="30"/>
  <c r="I35" i="30"/>
  <c r="H35" i="30"/>
  <c r="G35" i="30"/>
  <c r="F35" i="30"/>
  <c r="E35" i="30"/>
  <c r="DC7" i="29"/>
  <c r="DE7" i="29"/>
  <c r="DE29" i="29"/>
  <c r="DC29" i="29"/>
  <c r="CX67" i="29"/>
  <c r="CY29" i="29"/>
  <c r="CX66" i="29"/>
  <c r="CH7" i="29"/>
  <c r="CJ7" i="29"/>
  <c r="CJ29" i="29"/>
  <c r="CH29" i="29"/>
  <c r="CC67" i="29"/>
  <c r="CD29" i="29"/>
  <c r="CC66" i="29"/>
  <c r="BM7" i="29"/>
  <c r="BO7" i="29"/>
  <c r="BO29" i="29"/>
  <c r="BM29" i="29"/>
  <c r="BH67" i="29"/>
  <c r="BH66" i="29"/>
  <c r="AR7" i="29"/>
  <c r="AT7" i="29"/>
  <c r="AN29" i="29"/>
  <c r="AA29" i="29"/>
  <c r="R98" i="29"/>
  <c r="I22" i="30"/>
  <c r="I27" i="30"/>
  <c r="L117" i="30"/>
  <c r="W7" i="29"/>
  <c r="Y7" i="29"/>
  <c r="Y29" i="29"/>
  <c r="Z29" i="29"/>
  <c r="R76" i="29"/>
  <c r="I30" i="30"/>
  <c r="I31" i="30"/>
  <c r="W29" i="29"/>
  <c r="R67" i="29"/>
  <c r="S29" i="29"/>
  <c r="R66" i="29"/>
  <c r="I34" i="30"/>
  <c r="L115" i="30"/>
  <c r="J23" i="30"/>
  <c r="J27" i="30"/>
  <c r="EX53" i="29"/>
  <c r="K17" i="30"/>
  <c r="EX52" i="29"/>
  <c r="K18" i="30"/>
  <c r="EX51" i="29"/>
  <c r="K19" i="30"/>
  <c r="EW50" i="29"/>
  <c r="K20" i="30"/>
  <c r="EX9" i="29"/>
  <c r="EX49" i="29"/>
  <c r="K21" i="30"/>
  <c r="EX8" i="29"/>
  <c r="EX48" i="29"/>
  <c r="K22" i="30"/>
  <c r="J29" i="29"/>
  <c r="I99" i="29"/>
  <c r="L55" i="30"/>
  <c r="L68" i="30"/>
  <c r="L81" i="30"/>
  <c r="L94" i="30"/>
  <c r="L107" i="30"/>
  <c r="L120" i="30"/>
  <c r="K47" i="30"/>
  <c r="K117" i="30"/>
  <c r="K115" i="30"/>
  <c r="K55" i="30"/>
  <c r="K68" i="30"/>
  <c r="K81" i="30"/>
  <c r="K94" i="30"/>
  <c r="K107" i="30"/>
  <c r="K120" i="30"/>
  <c r="J47" i="30"/>
  <c r="J117" i="30"/>
  <c r="J115" i="30"/>
  <c r="J55" i="30"/>
  <c r="J68" i="30"/>
  <c r="J81" i="30"/>
  <c r="J94" i="30"/>
  <c r="J107" i="30"/>
  <c r="J120" i="30"/>
  <c r="I47" i="30"/>
  <c r="I117" i="30"/>
  <c r="I115" i="30"/>
  <c r="I55" i="30"/>
  <c r="I68" i="30"/>
  <c r="I81" i="30"/>
  <c r="I94" i="30"/>
  <c r="I107" i="30"/>
  <c r="I120" i="30"/>
  <c r="H47" i="30"/>
  <c r="H117" i="30"/>
  <c r="H115" i="30"/>
  <c r="H55" i="30"/>
  <c r="H68" i="30"/>
  <c r="H81" i="30"/>
  <c r="H94" i="30"/>
  <c r="H107" i="30"/>
  <c r="H120" i="30"/>
  <c r="G41" i="30"/>
  <c r="G47" i="30"/>
  <c r="G117" i="30"/>
  <c r="G115" i="30"/>
  <c r="G55" i="30"/>
  <c r="G68" i="30"/>
  <c r="G81" i="30"/>
  <c r="G94" i="30"/>
  <c r="G107" i="30"/>
  <c r="G120" i="30"/>
  <c r="F41" i="30"/>
  <c r="F47" i="30"/>
  <c r="F117" i="30"/>
  <c r="F115" i="30"/>
  <c r="F55" i="30"/>
  <c r="F68" i="30"/>
  <c r="F81" i="30"/>
  <c r="F94" i="30"/>
  <c r="F107" i="30"/>
  <c r="F120" i="30"/>
  <c r="E41" i="30"/>
  <c r="E47" i="30"/>
  <c r="E117" i="30"/>
  <c r="E115" i="30"/>
  <c r="E55" i="30"/>
  <c r="E68" i="30"/>
  <c r="E81" i="30"/>
  <c r="E94" i="30"/>
  <c r="E107" i="30"/>
  <c r="E120" i="30"/>
  <c r="D41" i="30"/>
  <c r="D47" i="30"/>
  <c r="D117" i="30"/>
  <c r="D115" i="30"/>
  <c r="D55" i="30"/>
  <c r="D68" i="30"/>
  <c r="D81" i="30"/>
  <c r="D94" i="30"/>
  <c r="D107" i="30"/>
  <c r="D120"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c r="B206" i="30"/>
  <c r="B205" i="30"/>
  <c r="B22" i="30"/>
  <c r="B204" i="30"/>
  <c r="B21" i="30"/>
  <c r="B203" i="30"/>
  <c r="B20" i="30"/>
  <c r="B202" i="30"/>
  <c r="B19" i="30"/>
  <c r="B201" i="30"/>
  <c r="B18" i="30"/>
  <c r="B200" i="30"/>
  <c r="B17" i="30"/>
  <c r="B199" i="30"/>
  <c r="B194" i="30"/>
  <c r="B193" i="30"/>
  <c r="B192" i="30"/>
  <c r="B191" i="30"/>
  <c r="B190" i="30"/>
  <c r="B189" i="30"/>
  <c r="B188" i="30"/>
  <c r="B187" i="30"/>
  <c r="B181" i="30"/>
  <c r="B180" i="30"/>
  <c r="B179" i="30"/>
  <c r="B178" i="30"/>
  <c r="B177" i="30"/>
  <c r="B176" i="30"/>
  <c r="B175" i="30"/>
  <c r="B174" i="30"/>
  <c r="C169" i="30"/>
  <c r="C168" i="30"/>
  <c r="B168" i="30"/>
  <c r="C167" i="30"/>
  <c r="B167" i="30"/>
  <c r="C166" i="30"/>
  <c r="B166" i="30"/>
  <c r="C165" i="30"/>
  <c r="B165" i="30"/>
  <c r="C164" i="30"/>
  <c r="B164" i="30"/>
  <c r="C163" i="30"/>
  <c r="B163" i="30"/>
  <c r="C162" i="30"/>
  <c r="B162" i="30"/>
  <c r="C161" i="30"/>
  <c r="B161" i="30"/>
  <c r="C156" i="30"/>
  <c r="C155" i="30"/>
  <c r="B155" i="30"/>
  <c r="C154" i="30"/>
  <c r="I16" i="30"/>
  <c r="B111" i="30"/>
  <c r="B154" i="30"/>
  <c r="C153" i="30"/>
  <c r="H16" i="30"/>
  <c r="B98" i="30"/>
  <c r="B153" i="30"/>
  <c r="C152" i="30"/>
  <c r="G16" i="30"/>
  <c r="B85" i="30"/>
  <c r="B152" i="30"/>
  <c r="C151" i="30"/>
  <c r="F16" i="30"/>
  <c r="B72" i="30"/>
  <c r="B151" i="30"/>
  <c r="C150" i="30"/>
  <c r="E16" i="30"/>
  <c r="B59" i="30"/>
  <c r="B150" i="30"/>
  <c r="C149" i="30"/>
  <c r="D16" i="30"/>
  <c r="B46" i="30"/>
  <c r="B149" i="30"/>
  <c r="C146" i="30"/>
  <c r="C145" i="30"/>
  <c r="B145" i="30"/>
  <c r="C144" i="30"/>
  <c r="B144" i="30"/>
  <c r="C143" i="30"/>
  <c r="B143" i="30"/>
  <c r="C142" i="30"/>
  <c r="B142" i="30"/>
  <c r="C141" i="30"/>
  <c r="B141" i="30"/>
  <c r="C140" i="30"/>
  <c r="B140" i="30"/>
  <c r="C139" i="30"/>
  <c r="B139" i="30"/>
  <c r="C135" i="30"/>
  <c r="C133" i="30"/>
  <c r="C132" i="30"/>
  <c r="C131" i="30"/>
  <c r="C127" i="30"/>
  <c r="C125" i="30"/>
  <c r="C122" i="30"/>
  <c r="C121" i="30"/>
  <c r="C120" i="30"/>
  <c r="B117" i="30"/>
  <c r="L116" i="30"/>
  <c r="K116" i="30"/>
  <c r="J116" i="30"/>
  <c r="I116" i="30"/>
  <c r="H116" i="30"/>
  <c r="G116" i="30"/>
  <c r="F116" i="30"/>
  <c r="E116" i="30"/>
  <c r="D116" i="30"/>
  <c r="C116" i="30"/>
  <c r="C115" i="30"/>
  <c r="C114" i="30"/>
  <c r="C112" i="30"/>
  <c r="C109" i="30"/>
  <c r="C108" i="30"/>
  <c r="C107" i="30"/>
  <c r="B104" i="30"/>
  <c r="L103" i="30"/>
  <c r="K103" i="30"/>
  <c r="J103" i="30"/>
  <c r="I103" i="30"/>
  <c r="H103" i="30"/>
  <c r="G103" i="30"/>
  <c r="F103" i="30"/>
  <c r="E103" i="30"/>
  <c r="D103" i="30"/>
  <c r="C103" i="30"/>
  <c r="C102" i="30"/>
  <c r="C101" i="30"/>
  <c r="C99" i="30"/>
  <c r="C96" i="30"/>
  <c r="C95" i="30"/>
  <c r="C94" i="30"/>
  <c r="B91" i="30"/>
  <c r="L90" i="30"/>
  <c r="K90" i="30"/>
  <c r="J90" i="30"/>
  <c r="I90" i="30"/>
  <c r="H90" i="30"/>
  <c r="G90" i="30"/>
  <c r="F90" i="30"/>
  <c r="E90" i="30"/>
  <c r="D90" i="30"/>
  <c r="C90" i="30"/>
  <c r="C89" i="30"/>
  <c r="C88" i="30"/>
  <c r="C86" i="30"/>
  <c r="C83" i="30"/>
  <c r="C82" i="30"/>
  <c r="C81" i="30"/>
  <c r="B78" i="30"/>
  <c r="L77" i="30"/>
  <c r="K77" i="30"/>
  <c r="J77" i="30"/>
  <c r="I77" i="30"/>
  <c r="H77" i="30"/>
  <c r="G77" i="30"/>
  <c r="F77" i="30"/>
  <c r="E77" i="30"/>
  <c r="D77" i="30"/>
  <c r="C77" i="30"/>
  <c r="C76" i="30"/>
  <c r="C75" i="30"/>
  <c r="C73" i="30"/>
  <c r="C70" i="30"/>
  <c r="C69" i="30"/>
  <c r="C68" i="30"/>
  <c r="B65" i="30"/>
  <c r="L64" i="30"/>
  <c r="K64" i="30"/>
  <c r="J64" i="30"/>
  <c r="I64" i="30"/>
  <c r="H64" i="30"/>
  <c r="G64" i="30"/>
  <c r="F64" i="30"/>
  <c r="E64" i="30"/>
  <c r="D64" i="30"/>
  <c r="C64" i="30"/>
  <c r="C63" i="30"/>
  <c r="C62" i="30"/>
  <c r="C60" i="30"/>
  <c r="C57" i="30"/>
  <c r="C56" i="30"/>
  <c r="C55" i="30"/>
  <c r="B52" i="30"/>
  <c r="L51" i="30"/>
  <c r="K51" i="30"/>
  <c r="J51" i="30"/>
  <c r="I51" i="30"/>
  <c r="H51" i="30"/>
  <c r="G51" i="30"/>
  <c r="F51" i="30"/>
  <c r="E51" i="30"/>
  <c r="D51" i="30"/>
  <c r="C51" i="30"/>
  <c r="C50" i="30"/>
  <c r="C49" i="30"/>
  <c r="C47" i="30"/>
  <c r="C44" i="30"/>
  <c r="C41" i="30"/>
  <c r="I36" i="30"/>
  <c r="H36" i="30"/>
  <c r="G36" i="30"/>
  <c r="F36" i="30"/>
  <c r="E36" i="30"/>
  <c r="D36" i="30"/>
  <c r="J34" i="30"/>
  <c r="C34" i="30"/>
  <c r="C31" i="30"/>
  <c r="C30" i="30"/>
  <c r="L17" i="30"/>
  <c r="L22" i="30"/>
  <c r="L23" i="30"/>
  <c r="L25" i="30"/>
  <c r="D9" i="30"/>
  <c r="C8" i="30"/>
  <c r="B7" i="30"/>
  <c r="C6" i="30"/>
  <c r="X246" i="29"/>
  <c r="X247" i="29"/>
  <c r="W246" i="29"/>
  <c r="W247" i="29"/>
  <c r="V246" i="29"/>
  <c r="V247" i="29"/>
  <c r="DQ102" i="29"/>
  <c r="CV102" i="29"/>
  <c r="CA102" i="29"/>
  <c r="BF102" i="29"/>
  <c r="AK102" i="29"/>
  <c r="P102" i="29"/>
  <c r="I100" i="29"/>
  <c r="I101" i="29"/>
  <c r="I102" i="29"/>
  <c r="G102" i="29"/>
  <c r="DQ101" i="29"/>
  <c r="CV101" i="29"/>
  <c r="CA101" i="29"/>
  <c r="BF101" i="29"/>
  <c r="AK101" i="29"/>
  <c r="P101" i="29"/>
  <c r="G101" i="29"/>
  <c r="DQ100" i="29"/>
  <c r="CV100" i="29"/>
  <c r="CA100" i="29"/>
  <c r="BF100" i="29"/>
  <c r="AK100" i="29"/>
  <c r="P100" i="29"/>
  <c r="G100" i="29"/>
  <c r="DQ98" i="29"/>
  <c r="CV98" i="29"/>
  <c r="CA98" i="29"/>
  <c r="BF98" i="29"/>
  <c r="AK98" i="29"/>
  <c r="P98" i="29"/>
  <c r="I29" i="29"/>
  <c r="I98" i="29"/>
  <c r="G98" i="29"/>
  <c r="DQ97" i="29"/>
  <c r="CV97" i="29"/>
  <c r="CA97" i="29"/>
  <c r="BF97" i="29"/>
  <c r="AK97" i="29"/>
  <c r="P97" i="29"/>
  <c r="G97" i="29"/>
  <c r="DQ91" i="29"/>
  <c r="B31" i="29"/>
  <c r="CV91" i="29"/>
  <c r="CA91" i="29"/>
  <c r="BF91" i="29"/>
  <c r="AK91" i="29"/>
  <c r="P91" i="29"/>
  <c r="G91" i="29"/>
  <c r="DQ86" i="29"/>
  <c r="CV86" i="29"/>
  <c r="CA86" i="29"/>
  <c r="BF86" i="29"/>
  <c r="AK86" i="29"/>
  <c r="P86" i="29"/>
  <c r="G86" i="29"/>
  <c r="DQ85" i="29"/>
  <c r="CV85" i="29"/>
  <c r="CA85" i="29"/>
  <c r="BF85" i="29"/>
  <c r="AK85" i="29"/>
  <c r="P85" i="29"/>
  <c r="G85" i="29"/>
  <c r="DQ76" i="29"/>
  <c r="CV76" i="29"/>
  <c r="CA76" i="29"/>
  <c r="BF76" i="29"/>
  <c r="AK76" i="29"/>
  <c r="P76" i="29"/>
  <c r="G76" i="29"/>
  <c r="DY27" i="29"/>
  <c r="DY28" i="29"/>
  <c r="DY29" i="29"/>
  <c r="DS68" i="29"/>
  <c r="DQ75" i="29"/>
  <c r="DD6" i="29"/>
  <c r="DD7" i="29"/>
  <c r="DD8" i="29"/>
  <c r="DD9" i="29"/>
  <c r="DD10" i="29"/>
  <c r="DD11" i="29"/>
  <c r="DD12" i="29"/>
  <c r="DD13" i="29"/>
  <c r="DD14" i="29"/>
  <c r="DD15" i="29"/>
  <c r="DD16" i="29"/>
  <c r="DD17" i="29"/>
  <c r="DD18" i="29"/>
  <c r="DD19" i="29"/>
  <c r="DD20" i="29"/>
  <c r="DD21" i="29"/>
  <c r="DD22" i="29"/>
  <c r="DD23" i="29"/>
  <c r="DD24" i="29"/>
  <c r="DD25" i="29"/>
  <c r="DD26" i="29"/>
  <c r="DD27" i="29"/>
  <c r="DD28" i="29"/>
  <c r="DD29" i="29"/>
  <c r="CX68" i="29"/>
  <c r="CV75" i="29"/>
  <c r="CI6" i="29"/>
  <c r="CI7" i="29"/>
  <c r="CI8" i="29"/>
  <c r="CI9" i="29"/>
  <c r="CI10" i="29"/>
  <c r="CI11" i="29"/>
  <c r="CI12" i="29"/>
  <c r="CI13" i="29"/>
  <c r="CI14" i="29"/>
  <c r="CI15" i="29"/>
  <c r="CI16" i="29"/>
  <c r="CI17" i="29"/>
  <c r="CI18" i="29"/>
  <c r="CI19" i="29"/>
  <c r="CI20" i="29"/>
  <c r="CI21" i="29"/>
  <c r="CI22" i="29"/>
  <c r="CI23" i="29"/>
  <c r="CI24" i="29"/>
  <c r="CI25" i="29"/>
  <c r="CI26" i="29"/>
  <c r="CI27" i="29"/>
  <c r="CI28" i="29"/>
  <c r="CI29" i="29"/>
  <c r="CC68" i="29"/>
  <c r="CA75" i="29"/>
  <c r="BN6" i="29"/>
  <c r="BN7" i="29"/>
  <c r="BN8" i="29"/>
  <c r="BN9" i="29"/>
  <c r="BN10" i="29"/>
  <c r="BN11" i="29"/>
  <c r="BN12" i="29"/>
  <c r="BN13" i="29"/>
  <c r="BN14" i="29"/>
  <c r="BN15" i="29"/>
  <c r="BN16" i="29"/>
  <c r="BN17" i="29"/>
  <c r="BN18" i="29"/>
  <c r="BN19" i="29"/>
  <c r="BN20" i="29"/>
  <c r="BN21" i="29"/>
  <c r="BN22" i="29"/>
  <c r="BN23" i="29"/>
  <c r="BN24" i="29"/>
  <c r="BN25" i="29"/>
  <c r="BN26" i="29"/>
  <c r="BN27" i="29"/>
  <c r="BN28" i="29"/>
  <c r="BN29" i="29"/>
  <c r="BH68" i="29"/>
  <c r="BF75" i="29"/>
  <c r="AS6" i="29"/>
  <c r="AS7" i="29"/>
  <c r="AS8" i="29"/>
  <c r="AS9" i="29"/>
  <c r="AS10" i="29"/>
  <c r="AS11" i="29"/>
  <c r="AS12" i="29"/>
  <c r="AS13" i="29"/>
  <c r="AS14" i="29"/>
  <c r="AS15" i="29"/>
  <c r="AS16" i="29"/>
  <c r="AS17" i="29"/>
  <c r="AS18" i="29"/>
  <c r="AS19" i="29"/>
  <c r="AS20" i="29"/>
  <c r="AS21" i="29"/>
  <c r="AS22" i="29"/>
  <c r="AS23" i="29"/>
  <c r="AS24" i="29"/>
  <c r="AS25" i="29"/>
  <c r="AS26" i="29"/>
  <c r="AS27" i="29"/>
  <c r="AK75" i="29"/>
  <c r="X6" i="29"/>
  <c r="X7" i="29"/>
  <c r="X8" i="29"/>
  <c r="X9" i="29"/>
  <c r="X10" i="29"/>
  <c r="X11" i="29"/>
  <c r="X12" i="29"/>
  <c r="X13" i="29"/>
  <c r="X14" i="29"/>
  <c r="X15" i="29"/>
  <c r="X16" i="29"/>
  <c r="X17" i="29"/>
  <c r="X18" i="29"/>
  <c r="X19" i="29"/>
  <c r="X20" i="29"/>
  <c r="X21" i="29"/>
  <c r="X22" i="29"/>
  <c r="X23" i="29"/>
  <c r="X24" i="29"/>
  <c r="X25" i="29"/>
  <c r="X26" i="29"/>
  <c r="X29" i="29"/>
  <c r="R68" i="29"/>
  <c r="P75" i="29"/>
  <c r="G75" i="29"/>
  <c r="DQ74" i="29"/>
  <c r="CV74" i="29"/>
  <c r="CA74" i="29"/>
  <c r="BF74" i="29"/>
  <c r="AK74" i="29"/>
  <c r="P74" i="29"/>
  <c r="G74" i="29"/>
  <c r="DQ73" i="29"/>
  <c r="CV73" i="29"/>
  <c r="CA73" i="29"/>
  <c r="BF73" i="29"/>
  <c r="AK73" i="29"/>
  <c r="P73" i="29"/>
  <c r="G73" i="29"/>
  <c r="DQ72" i="29"/>
  <c r="CV72" i="29"/>
  <c r="CA72" i="29"/>
  <c r="BF72" i="29"/>
  <c r="AK72" i="29"/>
  <c r="P72" i="29"/>
  <c r="G72" i="29"/>
  <c r="DQ69" i="29"/>
  <c r="CV69" i="29"/>
  <c r="CA69" i="29"/>
  <c r="BF69" i="29"/>
  <c r="AK69" i="29"/>
  <c r="P69" i="29"/>
  <c r="G69" i="29"/>
  <c r="DQ68" i="29"/>
  <c r="CV68" i="29"/>
  <c r="CA68" i="29"/>
  <c r="BF68" i="29"/>
  <c r="AK68" i="29"/>
  <c r="P68" i="29"/>
  <c r="G68" i="29"/>
  <c r="DQ67" i="29"/>
  <c r="CV67" i="29"/>
  <c r="CA67" i="29"/>
  <c r="BF67" i="29"/>
  <c r="AK67" i="29"/>
  <c r="P67" i="29"/>
  <c r="G67" i="29"/>
  <c r="DQ66" i="29"/>
  <c r="CV66" i="29"/>
  <c r="CA66" i="29"/>
  <c r="BF66" i="29"/>
  <c r="AK66" i="29"/>
  <c r="P66" i="29"/>
  <c r="G66" i="29"/>
  <c r="DQ65" i="29"/>
  <c r="CV65" i="29"/>
  <c r="CA65" i="29"/>
  <c r="BH29" i="29"/>
  <c r="BH65" i="29"/>
  <c r="BF65" i="29"/>
  <c r="AM29" i="29"/>
  <c r="AM65" i="29"/>
  <c r="AK65" i="29"/>
  <c r="R29" i="29"/>
  <c r="R65" i="29"/>
  <c r="P65" i="29"/>
  <c r="G65" i="29"/>
  <c r="DQ61" i="29"/>
  <c r="CV61" i="29"/>
  <c r="CA61" i="29"/>
  <c r="BF61" i="29"/>
  <c r="AK61" i="29"/>
  <c r="P61" i="29"/>
  <c r="G61" i="29"/>
  <c r="FK4" i="29"/>
  <c r="G4" i="29"/>
  <c r="P4" i="29"/>
  <c r="AK4" i="29"/>
  <c r="BF4" i="29"/>
  <c r="CA4" i="29"/>
  <c r="CV4" i="29"/>
  <c r="DQ4" i="29"/>
  <c r="FM55" i="29"/>
  <c r="FL55" i="29"/>
  <c r="FK55" i="29"/>
  <c r="FF4" i="29"/>
  <c r="M6" i="29"/>
  <c r="M7" i="29"/>
  <c r="M47" i="29"/>
  <c r="M8" i="29"/>
  <c r="M48" i="29"/>
  <c r="M9" i="29"/>
  <c r="M49" i="29"/>
  <c r="M50" i="29"/>
  <c r="M51" i="29"/>
  <c r="M52" i="29"/>
  <c r="M53" i="29"/>
  <c r="M10" i="29"/>
  <c r="M11" i="29"/>
  <c r="M12" i="29"/>
  <c r="M13" i="29"/>
  <c r="M14" i="29"/>
  <c r="M15" i="29"/>
  <c r="M16" i="29"/>
  <c r="M17" i="29"/>
  <c r="M18" i="29"/>
  <c r="M19" i="29"/>
  <c r="M20" i="29"/>
  <c r="M21" i="29"/>
  <c r="M22" i="29"/>
  <c r="M23" i="29"/>
  <c r="M24" i="29"/>
  <c r="M25" i="29"/>
  <c r="M26" i="29"/>
  <c r="M27" i="29"/>
  <c r="M28" i="29"/>
  <c r="M54" i="29"/>
  <c r="M55" i="29"/>
  <c r="M29" i="29"/>
  <c r="N55" i="29"/>
  <c r="FH55" i="29"/>
  <c r="J47" i="29"/>
  <c r="J48" i="29"/>
  <c r="J49" i="29"/>
  <c r="J50" i="29"/>
  <c r="J51" i="29"/>
  <c r="J52" i="29"/>
  <c r="J53" i="29"/>
  <c r="J54" i="29"/>
  <c r="J55" i="29"/>
  <c r="K47" i="29"/>
  <c r="K48" i="29"/>
  <c r="K49" i="29"/>
  <c r="K50" i="29"/>
  <c r="K51" i="29"/>
  <c r="K52" i="29"/>
  <c r="K53" i="29"/>
  <c r="K54" i="29"/>
  <c r="K55" i="29"/>
  <c r="FG55" i="29"/>
  <c r="I47" i="29"/>
  <c r="I48" i="29"/>
  <c r="I49" i="29"/>
  <c r="I50" i="29"/>
  <c r="I51" i="29"/>
  <c r="I52" i="29"/>
  <c r="I53" i="29"/>
  <c r="I54" i="29"/>
  <c r="I55" i="29"/>
  <c r="FF55" i="29"/>
  <c r="FB7" i="29"/>
  <c r="FB50" i="29"/>
  <c r="FB51" i="29"/>
  <c r="FB52" i="29"/>
  <c r="FB53" i="29"/>
  <c r="FA50" i="29"/>
  <c r="FA51" i="29"/>
  <c r="FA52" i="29"/>
  <c r="FA53" i="29"/>
  <c r="EY7" i="29"/>
  <c r="EY50" i="29"/>
  <c r="EY51" i="29"/>
  <c r="EY52" i="29"/>
  <c r="EY53" i="29"/>
  <c r="EX6" i="29"/>
  <c r="EX7" i="29"/>
  <c r="EX47" i="29"/>
  <c r="EX50" i="29"/>
  <c r="EX10" i="29"/>
  <c r="EX11" i="29"/>
  <c r="EX12" i="29"/>
  <c r="EX13" i="29"/>
  <c r="EX14" i="29"/>
  <c r="EX15" i="29"/>
  <c r="EX16" i="29"/>
  <c r="EX17" i="29"/>
  <c r="EX18" i="29"/>
  <c r="EX19" i="29"/>
  <c r="EX20" i="29"/>
  <c r="EX21" i="29"/>
  <c r="EX22" i="29"/>
  <c r="EX23" i="29"/>
  <c r="EX24" i="29"/>
  <c r="EX25" i="29"/>
  <c r="EX26" i="29"/>
  <c r="EW7" i="29"/>
  <c r="EW51" i="29"/>
  <c r="EW52" i="29"/>
  <c r="EW53" i="29"/>
  <c r="EV6" i="29"/>
  <c r="EV7" i="29"/>
  <c r="EV47" i="29"/>
  <c r="EV8" i="29"/>
  <c r="EV48" i="29"/>
  <c r="EV9" i="29"/>
  <c r="EV49" i="29"/>
  <c r="EV50" i="29"/>
  <c r="EV51" i="29"/>
  <c r="EV52" i="29"/>
  <c r="EV53" i="29"/>
  <c r="EV10" i="29"/>
  <c r="EV11" i="29"/>
  <c r="EV12" i="29"/>
  <c r="EV13" i="29"/>
  <c r="EV14" i="29"/>
  <c r="EV15" i="29"/>
  <c r="EV16" i="29"/>
  <c r="EV17" i="29"/>
  <c r="EV18" i="29"/>
  <c r="EV19" i="29"/>
  <c r="EV20" i="29"/>
  <c r="EV21" i="29"/>
  <c r="EV22" i="29"/>
  <c r="EV23" i="29"/>
  <c r="EV24" i="29"/>
  <c r="EV25" i="29"/>
  <c r="EV26" i="29"/>
  <c r="EU7" i="29"/>
  <c r="EU50" i="29"/>
  <c r="EU51" i="29"/>
  <c r="EU52" i="29"/>
  <c r="EU53" i="29"/>
  <c r="ES6" i="29"/>
  <c r="ES7" i="29"/>
  <c r="ES47" i="29"/>
  <c r="ES8" i="29"/>
  <c r="ES48" i="29"/>
  <c r="ES9" i="29"/>
  <c r="ES49" i="29"/>
  <c r="ES50" i="29"/>
  <c r="ES51" i="29"/>
  <c r="ES52" i="29"/>
  <c r="ES53" i="29"/>
  <c r="ES10" i="29"/>
  <c r="ES11" i="29"/>
  <c r="ES12" i="29"/>
  <c r="ES13" i="29"/>
  <c r="ES14" i="29"/>
  <c r="ES15" i="29"/>
  <c r="ES16" i="29"/>
  <c r="ES17" i="29"/>
  <c r="ES18" i="29"/>
  <c r="ES19" i="29"/>
  <c r="ES20" i="29"/>
  <c r="ES21" i="29"/>
  <c r="ES22" i="29"/>
  <c r="ES23" i="29"/>
  <c r="ES24" i="29"/>
  <c r="ES25" i="29"/>
  <c r="ES26" i="29"/>
  <c r="ES27" i="29"/>
  <c r="ER6" i="29"/>
  <c r="ER7" i="29"/>
  <c r="ER47" i="29"/>
  <c r="ER8" i="29"/>
  <c r="ER48" i="29"/>
  <c r="ER9" i="29"/>
  <c r="ER49" i="29"/>
  <c r="ER50" i="29"/>
  <c r="ER51" i="29"/>
  <c r="ER52" i="29"/>
  <c r="ER53" i="29"/>
  <c r="ER10" i="29"/>
  <c r="ER11" i="29"/>
  <c r="ER12" i="29"/>
  <c r="ER13" i="29"/>
  <c r="ER14" i="29"/>
  <c r="ER15" i="29"/>
  <c r="ER16" i="29"/>
  <c r="ER17" i="29"/>
  <c r="ER18" i="29"/>
  <c r="ER19" i="29"/>
  <c r="ER20" i="29"/>
  <c r="ER21" i="29"/>
  <c r="ER22" i="29"/>
  <c r="ER23" i="29"/>
  <c r="ER24" i="29"/>
  <c r="ER25" i="29"/>
  <c r="ER26" i="29"/>
  <c r="ER27" i="29"/>
  <c r="EQ6" i="29"/>
  <c r="EQ7" i="29"/>
  <c r="EQ47" i="29"/>
  <c r="EQ8" i="29"/>
  <c r="EQ48" i="29"/>
  <c r="EQ9" i="29"/>
  <c r="EQ49" i="29"/>
  <c r="EQ50" i="29"/>
  <c r="EQ51" i="29"/>
  <c r="EQ52" i="29"/>
  <c r="EQ53" i="29"/>
  <c r="EQ10" i="29"/>
  <c r="EQ11" i="29"/>
  <c r="EQ12" i="29"/>
  <c r="EQ13" i="29"/>
  <c r="EQ14" i="29"/>
  <c r="EQ15" i="29"/>
  <c r="EQ16" i="29"/>
  <c r="EQ17" i="29"/>
  <c r="EQ18" i="29"/>
  <c r="EQ19" i="29"/>
  <c r="EQ20" i="29"/>
  <c r="EQ21" i="29"/>
  <c r="EQ22" i="29"/>
  <c r="EQ23" i="29"/>
  <c r="EQ24" i="29"/>
  <c r="EQ25" i="29"/>
  <c r="EQ26" i="29"/>
  <c r="EQ27" i="29"/>
  <c r="EM6" i="29"/>
  <c r="EM7" i="29"/>
  <c r="EM47" i="29"/>
  <c r="EM8" i="29"/>
  <c r="EM48" i="29"/>
  <c r="EM9" i="29"/>
  <c r="EM49" i="29"/>
  <c r="EM50" i="29"/>
  <c r="EM51" i="29"/>
  <c r="EM52" i="29"/>
  <c r="EM53" i="29"/>
  <c r="EM10" i="29"/>
  <c r="EM11" i="29"/>
  <c r="EM12" i="29"/>
  <c r="EM13" i="29"/>
  <c r="EM14" i="29"/>
  <c r="EM15" i="29"/>
  <c r="EM16" i="29"/>
  <c r="EM17" i="29"/>
  <c r="EM18" i="29"/>
  <c r="EM19" i="29"/>
  <c r="EM20" i="29"/>
  <c r="EM21" i="29"/>
  <c r="EM22" i="29"/>
  <c r="EM23" i="29"/>
  <c r="EM24" i="29"/>
  <c r="EM25" i="29"/>
  <c r="EM26" i="29"/>
  <c r="EM27" i="29"/>
  <c r="EM28" i="29"/>
  <c r="EM54" i="29"/>
  <c r="EM55" i="29"/>
  <c r="EL6" i="29"/>
  <c r="EL7" i="29"/>
  <c r="EL47" i="29"/>
  <c r="EL8" i="29"/>
  <c r="EL48" i="29"/>
  <c r="EL9" i="29"/>
  <c r="EL49" i="29"/>
  <c r="EL50" i="29"/>
  <c r="EL51" i="29"/>
  <c r="EL52" i="29"/>
  <c r="EL53" i="29"/>
  <c r="EL10" i="29"/>
  <c r="EL11" i="29"/>
  <c r="EL12" i="29"/>
  <c r="EL13" i="29"/>
  <c r="EL14" i="29"/>
  <c r="EL15" i="29"/>
  <c r="EL16" i="29"/>
  <c r="EL17" i="29"/>
  <c r="EL18" i="29"/>
  <c r="EL19" i="29"/>
  <c r="EL20" i="29"/>
  <c r="EL21" i="29"/>
  <c r="EL22" i="29"/>
  <c r="EL23" i="29"/>
  <c r="EL24" i="29"/>
  <c r="EL25" i="29"/>
  <c r="EL26" i="29"/>
  <c r="EL27" i="29"/>
  <c r="EL28" i="29"/>
  <c r="EL54" i="29"/>
  <c r="EL55" i="29"/>
  <c r="EI50" i="29"/>
  <c r="EI51" i="29"/>
  <c r="EI52" i="29"/>
  <c r="EI53" i="29"/>
  <c r="EH50" i="29"/>
  <c r="EH51" i="29"/>
  <c r="EH52" i="29"/>
  <c r="EH53" i="29"/>
  <c r="EF50" i="29"/>
  <c r="EF51" i="29"/>
  <c r="EF52" i="29"/>
  <c r="EF53" i="29"/>
  <c r="EE47" i="29"/>
  <c r="EE48" i="29"/>
  <c r="EE49" i="29"/>
  <c r="EE50" i="29"/>
  <c r="EE51" i="29"/>
  <c r="EE52" i="29"/>
  <c r="EE53" i="29"/>
  <c r="ED50" i="29"/>
  <c r="ED51" i="29"/>
  <c r="ED52" i="29"/>
  <c r="ED53" i="29"/>
  <c r="EC47" i="29"/>
  <c r="EC48" i="29"/>
  <c r="EC49" i="29"/>
  <c r="EC50" i="29"/>
  <c r="EC51" i="29"/>
  <c r="EC52" i="29"/>
  <c r="EC53" i="29"/>
  <c r="DZ47" i="29"/>
  <c r="DZ48" i="29"/>
  <c r="DZ49" i="29"/>
  <c r="DZ50" i="29"/>
  <c r="DZ51" i="29"/>
  <c r="DZ52" i="29"/>
  <c r="DZ53" i="29"/>
  <c r="DZ54" i="29"/>
  <c r="DZ55" i="29"/>
  <c r="DY47" i="29"/>
  <c r="DY48" i="29"/>
  <c r="DY49" i="29"/>
  <c r="DY50" i="29"/>
  <c r="DY51" i="29"/>
  <c r="DY52" i="29"/>
  <c r="DY53" i="29"/>
  <c r="DY54" i="29"/>
  <c r="DY55" i="29"/>
  <c r="DX47" i="29"/>
  <c r="DX48" i="29"/>
  <c r="DX49" i="29"/>
  <c r="DX50" i="29"/>
  <c r="DX51" i="29"/>
  <c r="DX52" i="29"/>
  <c r="DX53" i="29"/>
  <c r="DX54" i="29"/>
  <c r="DX55" i="29"/>
  <c r="DT47" i="29"/>
  <c r="DT48" i="29"/>
  <c r="DT49" i="29"/>
  <c r="DT50" i="29"/>
  <c r="DT51" i="29"/>
  <c r="DT52" i="29"/>
  <c r="DT53" i="29"/>
  <c r="DT54" i="29"/>
  <c r="DT55" i="29"/>
  <c r="DS47" i="29"/>
  <c r="DS48" i="29"/>
  <c r="DS49" i="29"/>
  <c r="DS50" i="29"/>
  <c r="DS51" i="29"/>
  <c r="DS52" i="29"/>
  <c r="DS53" i="29"/>
  <c r="DS54" i="29"/>
  <c r="DS55" i="29"/>
  <c r="DN50" i="29"/>
  <c r="DN51" i="29"/>
  <c r="DN52" i="29"/>
  <c r="DN53" i="29"/>
  <c r="DM50" i="29"/>
  <c r="DM51" i="29"/>
  <c r="DM52" i="29"/>
  <c r="DM53" i="29"/>
  <c r="DK50" i="29"/>
  <c r="DK51" i="29"/>
  <c r="DK52" i="29"/>
  <c r="DK53" i="29"/>
  <c r="DJ47" i="29"/>
  <c r="DJ48" i="29"/>
  <c r="DJ49" i="29"/>
  <c r="DJ50" i="29"/>
  <c r="DJ51" i="29"/>
  <c r="DJ52" i="29"/>
  <c r="DJ53" i="29"/>
  <c r="DI50" i="29"/>
  <c r="DI51" i="29"/>
  <c r="DI52" i="29"/>
  <c r="DI53" i="29"/>
  <c r="DH47" i="29"/>
  <c r="DH48" i="29"/>
  <c r="DH49" i="29"/>
  <c r="DH50" i="29"/>
  <c r="DH51" i="29"/>
  <c r="DH52" i="29"/>
  <c r="DH53" i="29"/>
  <c r="DG50" i="29"/>
  <c r="DG51" i="29"/>
  <c r="DG52" i="29"/>
  <c r="DG53" i="29"/>
  <c r="DE47" i="29"/>
  <c r="DE48" i="29"/>
  <c r="DE49" i="29"/>
  <c r="DE50" i="29"/>
  <c r="DE51" i="29"/>
  <c r="DE52" i="29"/>
  <c r="DE53" i="29"/>
  <c r="DE54" i="29"/>
  <c r="DE55" i="29"/>
  <c r="DD47" i="29"/>
  <c r="DD48" i="29"/>
  <c r="DD49" i="29"/>
  <c r="DD50" i="29"/>
  <c r="DD51" i="29"/>
  <c r="DD52" i="29"/>
  <c r="DD53" i="29"/>
  <c r="DD54" i="29"/>
  <c r="DD55" i="29"/>
  <c r="DC47" i="29"/>
  <c r="DC48" i="29"/>
  <c r="DC49" i="29"/>
  <c r="DC50" i="29"/>
  <c r="DC51" i="29"/>
  <c r="DC52" i="29"/>
  <c r="DC53" i="29"/>
  <c r="DC54" i="29"/>
  <c r="DC55" i="29"/>
  <c r="CY47" i="29"/>
  <c r="CY48" i="29"/>
  <c r="CY49" i="29"/>
  <c r="CY50" i="29"/>
  <c r="CY51" i="29"/>
  <c r="CY52" i="29"/>
  <c r="CY53" i="29"/>
  <c r="CY54" i="29"/>
  <c r="CY55" i="29"/>
  <c r="CX47" i="29"/>
  <c r="CX48" i="29"/>
  <c r="CX49" i="29"/>
  <c r="CX50" i="29"/>
  <c r="CX51" i="29"/>
  <c r="CX52" i="29"/>
  <c r="CX53" i="29"/>
  <c r="CX54" i="29"/>
  <c r="CX55" i="29"/>
  <c r="CS50" i="29"/>
  <c r="CS51" i="29"/>
  <c r="CS52" i="29"/>
  <c r="CS53" i="29"/>
  <c r="CR50" i="29"/>
  <c r="CR51" i="29"/>
  <c r="CR52" i="29"/>
  <c r="CR53" i="29"/>
  <c r="CP50" i="29"/>
  <c r="CP51" i="29"/>
  <c r="CP52" i="29"/>
  <c r="CP53" i="29"/>
  <c r="CO47" i="29"/>
  <c r="CO48" i="29"/>
  <c r="CO49" i="29"/>
  <c r="CO50" i="29"/>
  <c r="CO51" i="29"/>
  <c r="CO52" i="29"/>
  <c r="CO53" i="29"/>
  <c r="CN50" i="29"/>
  <c r="CN51" i="29"/>
  <c r="CN52" i="29"/>
  <c r="CN53" i="29"/>
  <c r="CM47" i="29"/>
  <c r="CM48" i="29"/>
  <c r="CM49" i="29"/>
  <c r="CM50" i="29"/>
  <c r="CM51" i="29"/>
  <c r="CM52" i="29"/>
  <c r="CM53" i="29"/>
  <c r="CL50" i="29"/>
  <c r="CL51" i="29"/>
  <c r="CL52" i="29"/>
  <c r="CL53" i="29"/>
  <c r="CJ47" i="29"/>
  <c r="CJ48" i="29"/>
  <c r="CJ49" i="29"/>
  <c r="CJ50" i="29"/>
  <c r="CJ51" i="29"/>
  <c r="CJ52" i="29"/>
  <c r="CJ53" i="29"/>
  <c r="CJ54" i="29"/>
  <c r="CJ55" i="29"/>
  <c r="CI47" i="29"/>
  <c r="CI48" i="29"/>
  <c r="CI49" i="29"/>
  <c r="CI50" i="29"/>
  <c r="CI51" i="29"/>
  <c r="CI52" i="29"/>
  <c r="CI53" i="29"/>
  <c r="CI54" i="29"/>
  <c r="CI55" i="29"/>
  <c r="CH47" i="29"/>
  <c r="CH48" i="29"/>
  <c r="CH49" i="29"/>
  <c r="CH50" i="29"/>
  <c r="CH51" i="29"/>
  <c r="CH52" i="29"/>
  <c r="CH53" i="29"/>
  <c r="CH54" i="29"/>
  <c r="CH55" i="29"/>
  <c r="CD47" i="29"/>
  <c r="CD48" i="29"/>
  <c r="CD49" i="29"/>
  <c r="CD50" i="29"/>
  <c r="CD51" i="29"/>
  <c r="CD52" i="29"/>
  <c r="CD53" i="29"/>
  <c r="CD54" i="29"/>
  <c r="CD55" i="29"/>
  <c r="CC47" i="29"/>
  <c r="CC48" i="29"/>
  <c r="CC49" i="29"/>
  <c r="CC50" i="29"/>
  <c r="CC51" i="29"/>
  <c r="CC52" i="29"/>
  <c r="CC53" i="29"/>
  <c r="CC54" i="29"/>
  <c r="CC55" i="29"/>
  <c r="BX50" i="29"/>
  <c r="BX51" i="29"/>
  <c r="BX52" i="29"/>
  <c r="BX53" i="29"/>
  <c r="BW50" i="29"/>
  <c r="BW51" i="29"/>
  <c r="BW52" i="29"/>
  <c r="BW53" i="29"/>
  <c r="BU50" i="29"/>
  <c r="BU51" i="29"/>
  <c r="BU52" i="29"/>
  <c r="BU53" i="29"/>
  <c r="BT47" i="29"/>
  <c r="BT48" i="29"/>
  <c r="BT49" i="29"/>
  <c r="BT50" i="29"/>
  <c r="BT51" i="29"/>
  <c r="BT52" i="29"/>
  <c r="BT53" i="29"/>
  <c r="BS50" i="29"/>
  <c r="BS51" i="29"/>
  <c r="BS52" i="29"/>
  <c r="BS53" i="29"/>
  <c r="BR47" i="29"/>
  <c r="BR48" i="29"/>
  <c r="BR49" i="29"/>
  <c r="BR50" i="29"/>
  <c r="BR51" i="29"/>
  <c r="BR52" i="29"/>
  <c r="BR53" i="29"/>
  <c r="BQ50" i="29"/>
  <c r="BQ51" i="29"/>
  <c r="BQ52" i="29"/>
  <c r="BQ53" i="29"/>
  <c r="BO47" i="29"/>
  <c r="BO48" i="29"/>
  <c r="BO49" i="29"/>
  <c r="BO50" i="29"/>
  <c r="BO51" i="29"/>
  <c r="BO52" i="29"/>
  <c r="BO53" i="29"/>
  <c r="BO54" i="29"/>
  <c r="BO55" i="29"/>
  <c r="BN47" i="29"/>
  <c r="BN48" i="29"/>
  <c r="BN49" i="29"/>
  <c r="BN50" i="29"/>
  <c r="BN51" i="29"/>
  <c r="BN52" i="29"/>
  <c r="BN53" i="29"/>
  <c r="BN54" i="29"/>
  <c r="BN55" i="29"/>
  <c r="BM47" i="29"/>
  <c r="BM48" i="29"/>
  <c r="BM49" i="29"/>
  <c r="BM50" i="29"/>
  <c r="BM51" i="29"/>
  <c r="BM52" i="29"/>
  <c r="BM53" i="29"/>
  <c r="BM54" i="29"/>
  <c r="BM55" i="29"/>
  <c r="BI47" i="29"/>
  <c r="BI48" i="29"/>
  <c r="BI49" i="29"/>
  <c r="BI50" i="29"/>
  <c r="BI51" i="29"/>
  <c r="BI52" i="29"/>
  <c r="BI53" i="29"/>
  <c r="BI54" i="29"/>
  <c r="BI55" i="29"/>
  <c r="BH47" i="29"/>
  <c r="BH48" i="29"/>
  <c r="BH49" i="29"/>
  <c r="BH50" i="29"/>
  <c r="BH51" i="29"/>
  <c r="BH52" i="29"/>
  <c r="BH53" i="29"/>
  <c r="BH54" i="29"/>
  <c r="BH55" i="29"/>
  <c r="BC50" i="29"/>
  <c r="BC51" i="29"/>
  <c r="BC52" i="29"/>
  <c r="BC53" i="29"/>
  <c r="BB50" i="29"/>
  <c r="BB51" i="29"/>
  <c r="BB52" i="29"/>
  <c r="BB53" i="29"/>
  <c r="AZ50" i="29"/>
  <c r="AZ51" i="29"/>
  <c r="AZ52" i="29"/>
  <c r="AZ53" i="29"/>
  <c r="AY47" i="29"/>
  <c r="AY48" i="29"/>
  <c r="AY49" i="29"/>
  <c r="AY50" i="29"/>
  <c r="AY51" i="29"/>
  <c r="AY52" i="29"/>
  <c r="AY53" i="29"/>
  <c r="AX50" i="29"/>
  <c r="AX51" i="29"/>
  <c r="AX52" i="29"/>
  <c r="AX53" i="29"/>
  <c r="AW47" i="29"/>
  <c r="AW48" i="29"/>
  <c r="AW49" i="29"/>
  <c r="AW50" i="29"/>
  <c r="AW51" i="29"/>
  <c r="AW52" i="29"/>
  <c r="AW53" i="29"/>
  <c r="AV50" i="29"/>
  <c r="AV51" i="29"/>
  <c r="AV52" i="29"/>
  <c r="AV53" i="29"/>
  <c r="AT47" i="29"/>
  <c r="AT48" i="29"/>
  <c r="AT49" i="29"/>
  <c r="AT50" i="29"/>
  <c r="AT51" i="29"/>
  <c r="AT52" i="29"/>
  <c r="AT53" i="29"/>
  <c r="AS47" i="29"/>
  <c r="AS48" i="29"/>
  <c r="AS49" i="29"/>
  <c r="AS50" i="29"/>
  <c r="AS51" i="29"/>
  <c r="AS52" i="29"/>
  <c r="AS53" i="29"/>
  <c r="AR47" i="29"/>
  <c r="AR48" i="29"/>
  <c r="AR49" i="29"/>
  <c r="AR50" i="29"/>
  <c r="AR51" i="29"/>
  <c r="AR52" i="29"/>
  <c r="AR53" i="29"/>
  <c r="AN47" i="29"/>
  <c r="AN48" i="29"/>
  <c r="AN49" i="29"/>
  <c r="AN50" i="29"/>
  <c r="AN51" i="29"/>
  <c r="AN52" i="29"/>
  <c r="AN53" i="29"/>
  <c r="AN54" i="29"/>
  <c r="AN55" i="29"/>
  <c r="AM47" i="29"/>
  <c r="AM48" i="29"/>
  <c r="AM49" i="29"/>
  <c r="AM50" i="29"/>
  <c r="AM51" i="29"/>
  <c r="AM52" i="29"/>
  <c r="AM53" i="29"/>
  <c r="AM54" i="29"/>
  <c r="AM55" i="29"/>
  <c r="AH47" i="29"/>
  <c r="AH48" i="29"/>
  <c r="AH49" i="29"/>
  <c r="AH50" i="29"/>
  <c r="AH51" i="29"/>
  <c r="AH52" i="29"/>
  <c r="AH53" i="29"/>
  <c r="AG6" i="29"/>
  <c r="AG7" i="29"/>
  <c r="AG47" i="29"/>
  <c r="AG8" i="29"/>
  <c r="AG48" i="29"/>
  <c r="AG9" i="29"/>
  <c r="AG49" i="29"/>
  <c r="AG50" i="29"/>
  <c r="AG51" i="29"/>
  <c r="AG52" i="29"/>
  <c r="AG53" i="29"/>
  <c r="AG10" i="29"/>
  <c r="AG11" i="29"/>
  <c r="AG12" i="29"/>
  <c r="AG13" i="29"/>
  <c r="AG14" i="29"/>
  <c r="AG15" i="29"/>
  <c r="AG16" i="29"/>
  <c r="AG17" i="29"/>
  <c r="AG18" i="29"/>
  <c r="AG19" i="29"/>
  <c r="AG20" i="29"/>
  <c r="AG21" i="29"/>
  <c r="AG22" i="29"/>
  <c r="AG23" i="29"/>
  <c r="AG24" i="29"/>
  <c r="AG25" i="29"/>
  <c r="AG26" i="29"/>
  <c r="AG27" i="29"/>
  <c r="AE47" i="29"/>
  <c r="AE48" i="29"/>
  <c r="AE49" i="29"/>
  <c r="AE50" i="29"/>
  <c r="AE51" i="29"/>
  <c r="AE52" i="29"/>
  <c r="AE53" i="29"/>
  <c r="AD47" i="29"/>
  <c r="AD48" i="29"/>
  <c r="AD49" i="29"/>
  <c r="AD50" i="29"/>
  <c r="AD51" i="29"/>
  <c r="AD52" i="29"/>
  <c r="AD53" i="29"/>
  <c r="AC47" i="29"/>
  <c r="AC48" i="29"/>
  <c r="AC49" i="29"/>
  <c r="AC50" i="29"/>
  <c r="AC51" i="29"/>
  <c r="AC52" i="29"/>
  <c r="AC53" i="29"/>
  <c r="AC54" i="29"/>
  <c r="AC55" i="29"/>
  <c r="AB47" i="29"/>
  <c r="AB48" i="29"/>
  <c r="AB49" i="29"/>
  <c r="AB50" i="29"/>
  <c r="AB51" i="29"/>
  <c r="AB52" i="29"/>
  <c r="AB53" i="29"/>
  <c r="AA47" i="29"/>
  <c r="AA48" i="29"/>
  <c r="AA49" i="29"/>
  <c r="AA50" i="29"/>
  <c r="AA51" i="29"/>
  <c r="AA52" i="29"/>
  <c r="AA53" i="29"/>
  <c r="AA54" i="29"/>
  <c r="AA55" i="29"/>
  <c r="Y47" i="29"/>
  <c r="Y48" i="29"/>
  <c r="Y49" i="29"/>
  <c r="Y50" i="29"/>
  <c r="Y51" i="29"/>
  <c r="Y52" i="29"/>
  <c r="Y53" i="29"/>
  <c r="Y54" i="29"/>
  <c r="Y55" i="29"/>
  <c r="Z55" i="29"/>
  <c r="X47" i="29"/>
  <c r="X48" i="29"/>
  <c r="X49" i="29"/>
  <c r="X50" i="29"/>
  <c r="X51" i="29"/>
  <c r="X52" i="29"/>
  <c r="X53" i="29"/>
  <c r="X54" i="29"/>
  <c r="X55" i="29"/>
  <c r="W47" i="29"/>
  <c r="W48" i="29"/>
  <c r="W49" i="29"/>
  <c r="W50" i="29"/>
  <c r="W51" i="29"/>
  <c r="W52" i="29"/>
  <c r="W53" i="29"/>
  <c r="W54" i="29"/>
  <c r="W55" i="29"/>
  <c r="S47" i="29"/>
  <c r="S48" i="29"/>
  <c r="S49" i="29"/>
  <c r="S50" i="29"/>
  <c r="S51" i="29"/>
  <c r="S52" i="29"/>
  <c r="S53" i="29"/>
  <c r="S54" i="29"/>
  <c r="S55" i="29"/>
  <c r="R47" i="29"/>
  <c r="R48" i="29"/>
  <c r="R49" i="29"/>
  <c r="R50" i="29"/>
  <c r="R51" i="29"/>
  <c r="R52" i="29"/>
  <c r="R53" i="29"/>
  <c r="R54" i="29"/>
  <c r="R55" i="29"/>
  <c r="L55" i="29"/>
  <c r="FM54" i="29"/>
  <c r="FL54" i="29"/>
  <c r="FK54" i="29"/>
  <c r="N54" i="29"/>
  <c r="FH54" i="29"/>
  <c r="FG54" i="29"/>
  <c r="FF54" i="29"/>
  <c r="Z54" i="29"/>
  <c r="L54" i="29"/>
  <c r="D54" i="29"/>
  <c r="FM53" i="29"/>
  <c r="FL53" i="29"/>
  <c r="FK53" i="29"/>
  <c r="N53" i="29"/>
  <c r="FH53" i="29"/>
  <c r="FG53" i="29"/>
  <c r="FF53" i="29"/>
  <c r="ET53" i="29"/>
  <c r="EA53" i="29"/>
  <c r="DF53" i="29"/>
  <c r="CK53" i="29"/>
  <c r="BP53" i="29"/>
  <c r="AU53" i="29"/>
  <c r="Z53" i="29"/>
  <c r="L53" i="29"/>
  <c r="D53" i="29"/>
  <c r="FM52" i="29"/>
  <c r="FL52" i="29"/>
  <c r="FK52" i="29"/>
  <c r="N52" i="29"/>
  <c r="FH52" i="29"/>
  <c r="FG52" i="29"/>
  <c r="FF52" i="29"/>
  <c r="ET52" i="29"/>
  <c r="EA52" i="29"/>
  <c r="DF52" i="29"/>
  <c r="CK52" i="29"/>
  <c r="BP52" i="29"/>
  <c r="AU52" i="29"/>
  <c r="Z52" i="29"/>
  <c r="L52" i="29"/>
  <c r="D52" i="29"/>
  <c r="FM51" i="29"/>
  <c r="FL51" i="29"/>
  <c r="FK51" i="29"/>
  <c r="N51" i="29"/>
  <c r="FH51" i="29"/>
  <c r="FG51" i="29"/>
  <c r="FF51" i="29"/>
  <c r="ET51" i="29"/>
  <c r="EA51" i="29"/>
  <c r="DF51" i="29"/>
  <c r="CK51" i="29"/>
  <c r="BP51" i="29"/>
  <c r="AU51" i="29"/>
  <c r="Z51" i="29"/>
  <c r="L51" i="29"/>
  <c r="D51" i="29"/>
  <c r="FM50" i="29"/>
  <c r="FL50" i="29"/>
  <c r="FK50" i="29"/>
  <c r="N50" i="29"/>
  <c r="FH50" i="29"/>
  <c r="FG50" i="29"/>
  <c r="FF50" i="29"/>
  <c r="ET50" i="29"/>
  <c r="EA50" i="29"/>
  <c r="DF50" i="29"/>
  <c r="CK50" i="29"/>
  <c r="BP50" i="29"/>
  <c r="AU50" i="29"/>
  <c r="Z50" i="29"/>
  <c r="L50" i="29"/>
  <c r="D50" i="29"/>
  <c r="FM49" i="29"/>
  <c r="FL49" i="29"/>
  <c r="FK49" i="29"/>
  <c r="N49" i="29"/>
  <c r="FH49" i="29"/>
  <c r="FG49" i="29"/>
  <c r="FF49" i="29"/>
  <c r="Z49" i="29"/>
  <c r="L49" i="29"/>
  <c r="D49" i="29"/>
  <c r="FM48" i="29"/>
  <c r="FL48" i="29"/>
  <c r="FK48" i="29"/>
  <c r="N48" i="29"/>
  <c r="FH48" i="29"/>
  <c r="FG48" i="29"/>
  <c r="FF48" i="29"/>
  <c r="Z48" i="29"/>
  <c r="L48" i="29"/>
  <c r="D48" i="29"/>
  <c r="FM47" i="29"/>
  <c r="FL47" i="29"/>
  <c r="FK47" i="29"/>
  <c r="N47" i="29"/>
  <c r="FH47" i="29"/>
  <c r="FG47" i="29"/>
  <c r="FF47" i="29"/>
  <c r="Z47" i="29"/>
  <c r="L47" i="29"/>
  <c r="D47" i="29"/>
  <c r="CX44" i="29"/>
  <c r="CS44" i="29"/>
  <c r="CR44" i="29"/>
  <c r="CP44" i="29"/>
  <c r="CO44" i="29"/>
  <c r="CM44" i="29"/>
  <c r="CL44" i="29"/>
  <c r="CJ44" i="29"/>
  <c r="CI44" i="29"/>
  <c r="CH44" i="29"/>
  <c r="CD44" i="29"/>
  <c r="CC44" i="29"/>
  <c r="BX44" i="29"/>
  <c r="BW44" i="29"/>
  <c r="BU44" i="29"/>
  <c r="BT44" i="29"/>
  <c r="BS44" i="29"/>
  <c r="BR44" i="29"/>
  <c r="BQ44" i="29"/>
  <c r="BO44" i="29"/>
  <c r="BN44" i="29"/>
  <c r="BM44" i="29"/>
  <c r="BI44" i="29"/>
  <c r="BH44" i="29"/>
  <c r="BC44" i="29"/>
  <c r="BB44" i="29"/>
  <c r="AZ44" i="29"/>
  <c r="AY44" i="29"/>
  <c r="AX44" i="29"/>
  <c r="AW44" i="29"/>
  <c r="AV44" i="29"/>
  <c r="AU44" i="29"/>
  <c r="AT44" i="29"/>
  <c r="AS44" i="29"/>
  <c r="AR44" i="29"/>
  <c r="AN44" i="29"/>
  <c r="AM44" i="29"/>
  <c r="AH40" i="29"/>
  <c r="AH41" i="29"/>
  <c r="AH42" i="29"/>
  <c r="AH43" i="29"/>
  <c r="AG40" i="29"/>
  <c r="AG41" i="29"/>
  <c r="AG42" i="29"/>
  <c r="AG43" i="29"/>
  <c r="AE40" i="29"/>
  <c r="AE41" i="29"/>
  <c r="AE42" i="29"/>
  <c r="AE43" i="29"/>
  <c r="AD40" i="29"/>
  <c r="AD41" i="29"/>
  <c r="AD42" i="29"/>
  <c r="AD43" i="29"/>
  <c r="AC39" i="29"/>
  <c r="AC40" i="29"/>
  <c r="AC41" i="29"/>
  <c r="AC42" i="29"/>
  <c r="AC43" i="29"/>
  <c r="AC44" i="29"/>
  <c r="AB40" i="29"/>
  <c r="AB41" i="29"/>
  <c r="AB42" i="29"/>
  <c r="AB43" i="29"/>
  <c r="AA39" i="29"/>
  <c r="AA40" i="29"/>
  <c r="AA41" i="29"/>
  <c r="AA42" i="29"/>
  <c r="AA43" i="29"/>
  <c r="AA44" i="29"/>
  <c r="Y39" i="29"/>
  <c r="Y40" i="29"/>
  <c r="Y41" i="29"/>
  <c r="Y42" i="29"/>
  <c r="Y43" i="29"/>
  <c r="Y44" i="29"/>
  <c r="X39" i="29"/>
  <c r="X40" i="29"/>
  <c r="X41" i="29"/>
  <c r="X42" i="29"/>
  <c r="X43" i="29"/>
  <c r="X44" i="29"/>
  <c r="W39" i="29"/>
  <c r="W40" i="29"/>
  <c r="W41" i="29"/>
  <c r="W42" i="29"/>
  <c r="W43" i="29"/>
  <c r="W44" i="29"/>
  <c r="S39" i="29"/>
  <c r="S40" i="29"/>
  <c r="S41" i="29"/>
  <c r="S42" i="29"/>
  <c r="S43" i="29"/>
  <c r="S44" i="29"/>
  <c r="R39" i="29"/>
  <c r="R40" i="29"/>
  <c r="R41" i="29"/>
  <c r="R42" i="29"/>
  <c r="R43" i="29"/>
  <c r="R44" i="29"/>
  <c r="M39" i="29"/>
  <c r="M40" i="29"/>
  <c r="M41" i="29"/>
  <c r="M42" i="29"/>
  <c r="M43" i="29"/>
  <c r="M44" i="29"/>
  <c r="N44" i="29"/>
  <c r="K39" i="29"/>
  <c r="K40" i="29"/>
  <c r="K41" i="29"/>
  <c r="K42" i="29"/>
  <c r="K43" i="29"/>
  <c r="K44" i="29"/>
  <c r="L44" i="29"/>
  <c r="J39" i="29"/>
  <c r="J40" i="29"/>
  <c r="J41" i="29"/>
  <c r="J42" i="29"/>
  <c r="J43" i="29"/>
  <c r="J44" i="29"/>
  <c r="I39" i="29"/>
  <c r="I40" i="29"/>
  <c r="I41" i="29"/>
  <c r="I42" i="29"/>
  <c r="I43" i="29"/>
  <c r="I44" i="29"/>
  <c r="FM43" i="29"/>
  <c r="FL43" i="29"/>
  <c r="FK43" i="29"/>
  <c r="N43" i="29"/>
  <c r="FH43" i="29"/>
  <c r="FG43" i="29"/>
  <c r="FF43" i="29"/>
  <c r="EI43" i="29"/>
  <c r="EH43" i="29"/>
  <c r="EF43" i="29"/>
  <c r="EE43" i="29"/>
  <c r="ED43" i="29"/>
  <c r="EC43" i="29"/>
  <c r="EB43" i="29"/>
  <c r="DZ43" i="29"/>
  <c r="EA43" i="29"/>
  <c r="DY43" i="29"/>
  <c r="DX43" i="29"/>
  <c r="DT43" i="29"/>
  <c r="DS43" i="29"/>
  <c r="DN43" i="29"/>
  <c r="DM43" i="29"/>
  <c r="DK43" i="29"/>
  <c r="DJ43" i="29"/>
  <c r="DI43" i="29"/>
  <c r="DH43" i="29"/>
  <c r="DG43" i="29"/>
  <c r="DE43" i="29"/>
  <c r="DF43" i="29"/>
  <c r="DD43" i="29"/>
  <c r="DC43" i="29"/>
  <c r="CY43" i="29"/>
  <c r="CX43" i="29"/>
  <c r="CS43" i="29"/>
  <c r="CR43" i="29"/>
  <c r="CP43" i="29"/>
  <c r="CO43" i="29"/>
  <c r="CM43" i="29"/>
  <c r="CL43" i="29"/>
  <c r="CJ43" i="29"/>
  <c r="CK43" i="29"/>
  <c r="CI43" i="29"/>
  <c r="CH43" i="29"/>
  <c r="CD43" i="29"/>
  <c r="CC43" i="29"/>
  <c r="BX43" i="29"/>
  <c r="BW43" i="29"/>
  <c r="BU43" i="29"/>
  <c r="BT43" i="29"/>
  <c r="BS43" i="29"/>
  <c r="BR43" i="29"/>
  <c r="BQ43" i="29"/>
  <c r="BO43" i="29"/>
  <c r="BP43" i="29"/>
  <c r="BN43" i="29"/>
  <c r="BM43" i="29"/>
  <c r="BI43" i="29"/>
  <c r="BH43" i="29"/>
  <c r="BC43" i="29"/>
  <c r="BB43" i="29"/>
  <c r="AZ43" i="29"/>
  <c r="AY43" i="29"/>
  <c r="AX43" i="29"/>
  <c r="AW43" i="29"/>
  <c r="AV43" i="29"/>
  <c r="AT43" i="29"/>
  <c r="AU43" i="29"/>
  <c r="AS43" i="29"/>
  <c r="AR43" i="29"/>
  <c r="AN43" i="29"/>
  <c r="AM43" i="29"/>
  <c r="Z43" i="29"/>
  <c r="L43" i="29"/>
  <c r="FM42" i="29"/>
  <c r="FL42" i="29"/>
  <c r="FK42" i="29"/>
  <c r="N42" i="29"/>
  <c r="FH42" i="29"/>
  <c r="FG42" i="29"/>
  <c r="FF42" i="29"/>
  <c r="EI42" i="29"/>
  <c r="EH42" i="29"/>
  <c r="EF42" i="29"/>
  <c r="EE42" i="29"/>
  <c r="ED42" i="29"/>
  <c r="EC42" i="29"/>
  <c r="EB42" i="29"/>
  <c r="DZ42" i="29"/>
  <c r="EA42" i="29"/>
  <c r="DY42" i="29"/>
  <c r="DX42" i="29"/>
  <c r="DT42" i="29"/>
  <c r="DS42" i="29"/>
  <c r="DN42" i="29"/>
  <c r="DM42" i="29"/>
  <c r="DK42" i="29"/>
  <c r="DJ42" i="29"/>
  <c r="DI42" i="29"/>
  <c r="DH42" i="29"/>
  <c r="DG42" i="29"/>
  <c r="DE42" i="29"/>
  <c r="DF42" i="29"/>
  <c r="DD42" i="29"/>
  <c r="DC42" i="29"/>
  <c r="CY42" i="29"/>
  <c r="CX42" i="29"/>
  <c r="CS42" i="29"/>
  <c r="CR42" i="29"/>
  <c r="CP42" i="29"/>
  <c r="CO42" i="29"/>
  <c r="CM42" i="29"/>
  <c r="CL42" i="29"/>
  <c r="CJ42" i="29"/>
  <c r="CK42" i="29"/>
  <c r="CI42" i="29"/>
  <c r="CH42" i="29"/>
  <c r="CD42" i="29"/>
  <c r="CC42" i="29"/>
  <c r="BX42" i="29"/>
  <c r="BW42" i="29"/>
  <c r="BU42" i="29"/>
  <c r="BT42" i="29"/>
  <c r="BS42" i="29"/>
  <c r="BR42" i="29"/>
  <c r="BQ42" i="29"/>
  <c r="BO42" i="29"/>
  <c r="BP42" i="29"/>
  <c r="BN42" i="29"/>
  <c r="BM42" i="29"/>
  <c r="BI42" i="29"/>
  <c r="BH42" i="29"/>
  <c r="BC42" i="29"/>
  <c r="BB42" i="29"/>
  <c r="AZ42" i="29"/>
  <c r="AY42" i="29"/>
  <c r="AX42" i="29"/>
  <c r="AW42" i="29"/>
  <c r="AV42" i="29"/>
  <c r="AT42" i="29"/>
  <c r="AU42" i="29"/>
  <c r="AS42" i="29"/>
  <c r="AR42" i="29"/>
  <c r="AN42" i="29"/>
  <c r="AM42" i="29"/>
  <c r="Z42" i="29"/>
  <c r="L42" i="29"/>
  <c r="FM41" i="29"/>
  <c r="FL41" i="29"/>
  <c r="FK41" i="29"/>
  <c r="N41" i="29"/>
  <c r="FH41" i="29"/>
  <c r="FG41" i="29"/>
  <c r="FF41" i="29"/>
  <c r="EI41" i="29"/>
  <c r="EH41" i="29"/>
  <c r="EF41" i="29"/>
  <c r="EE41" i="29"/>
  <c r="ED41" i="29"/>
  <c r="EC41" i="29"/>
  <c r="EB41" i="29"/>
  <c r="DZ41" i="29"/>
  <c r="EA41" i="29"/>
  <c r="DY41" i="29"/>
  <c r="DX41" i="29"/>
  <c r="DT41" i="29"/>
  <c r="DS41" i="29"/>
  <c r="DN41" i="29"/>
  <c r="DM41" i="29"/>
  <c r="DK41" i="29"/>
  <c r="DJ41" i="29"/>
  <c r="DI41" i="29"/>
  <c r="DH41" i="29"/>
  <c r="DG41" i="29"/>
  <c r="DE41" i="29"/>
  <c r="DF41" i="29"/>
  <c r="DD41" i="29"/>
  <c r="DC41" i="29"/>
  <c r="CY41" i="29"/>
  <c r="CX41" i="29"/>
  <c r="CS41" i="29"/>
  <c r="CR41" i="29"/>
  <c r="CP41" i="29"/>
  <c r="CO41" i="29"/>
  <c r="CM41" i="29"/>
  <c r="CL41" i="29"/>
  <c r="CJ41" i="29"/>
  <c r="CK41" i="29"/>
  <c r="CI41" i="29"/>
  <c r="CH41" i="29"/>
  <c r="CD41" i="29"/>
  <c r="CC41" i="29"/>
  <c r="BX41" i="29"/>
  <c r="BW41" i="29"/>
  <c r="BU41" i="29"/>
  <c r="BT41" i="29"/>
  <c r="BS41" i="29"/>
  <c r="BR41" i="29"/>
  <c r="BQ41" i="29"/>
  <c r="BO41" i="29"/>
  <c r="BP41" i="29"/>
  <c r="BN41" i="29"/>
  <c r="BM41" i="29"/>
  <c r="BI41" i="29"/>
  <c r="BH41" i="29"/>
  <c r="BC41" i="29"/>
  <c r="BB41" i="29"/>
  <c r="AZ41" i="29"/>
  <c r="AY41" i="29"/>
  <c r="AX41" i="29"/>
  <c r="AW41" i="29"/>
  <c r="AV41" i="29"/>
  <c r="AT41" i="29"/>
  <c r="AU41" i="29"/>
  <c r="AS41" i="29"/>
  <c r="AR41" i="29"/>
  <c r="AN41" i="29"/>
  <c r="AM41" i="29"/>
  <c r="Z41" i="29"/>
  <c r="L41" i="29"/>
  <c r="FM40" i="29"/>
  <c r="FL40" i="29"/>
  <c r="FK40" i="29"/>
  <c r="N40" i="29"/>
  <c r="FH40" i="29"/>
  <c r="FG40" i="29"/>
  <c r="FF40" i="29"/>
  <c r="EE40" i="29"/>
  <c r="EC40" i="29"/>
  <c r="DZ40" i="29"/>
  <c r="DY40" i="29"/>
  <c r="DX40" i="29"/>
  <c r="DT40" i="29"/>
  <c r="DS40" i="29"/>
  <c r="DJ40" i="29"/>
  <c r="DH40" i="29"/>
  <c r="DE40" i="29"/>
  <c r="DD40" i="29"/>
  <c r="DC40" i="29"/>
  <c r="CY40" i="29"/>
  <c r="CX40" i="29"/>
  <c r="CO40" i="29"/>
  <c r="CM40" i="29"/>
  <c r="CJ40" i="29"/>
  <c r="CI40" i="29"/>
  <c r="CH40" i="29"/>
  <c r="CD40" i="29"/>
  <c r="CC40" i="29"/>
  <c r="BT40" i="29"/>
  <c r="BR40" i="29"/>
  <c r="BO40" i="29"/>
  <c r="BN40" i="29"/>
  <c r="BM40" i="29"/>
  <c r="BI40" i="29"/>
  <c r="BH40" i="29"/>
  <c r="AY40" i="29"/>
  <c r="AW40" i="29"/>
  <c r="AT40" i="29"/>
  <c r="AS40" i="29"/>
  <c r="AR40" i="29"/>
  <c r="AN40" i="29"/>
  <c r="AM40" i="29"/>
  <c r="Z40" i="29"/>
  <c r="L40" i="29"/>
  <c r="FM39" i="29"/>
  <c r="FL39" i="29"/>
  <c r="FK39" i="29"/>
  <c r="N39" i="29"/>
  <c r="FH39" i="29"/>
  <c r="FG39" i="29"/>
  <c r="FF39" i="29"/>
  <c r="DZ39" i="29"/>
  <c r="DY39" i="29"/>
  <c r="DX39" i="29"/>
  <c r="DT39" i="29"/>
  <c r="DS39" i="29"/>
  <c r="DE39" i="29"/>
  <c r="DD39" i="29"/>
  <c r="DC39" i="29"/>
  <c r="CY39" i="29"/>
  <c r="CX39" i="29"/>
  <c r="CJ39" i="29"/>
  <c r="CI39" i="29"/>
  <c r="CH39" i="29"/>
  <c r="CD39" i="29"/>
  <c r="CC39" i="29"/>
  <c r="BO39" i="29"/>
  <c r="BN39" i="29"/>
  <c r="BM39" i="29"/>
  <c r="BI39" i="29"/>
  <c r="BH39" i="29"/>
  <c r="AN39" i="29"/>
  <c r="AM39" i="29"/>
  <c r="Z39" i="29"/>
  <c r="L39" i="29"/>
  <c r="FM32" i="29"/>
  <c r="FM33" i="29"/>
  <c r="FM34" i="29"/>
  <c r="FM35" i="29"/>
  <c r="FM36" i="29"/>
  <c r="FL32" i="29"/>
  <c r="FL33" i="29"/>
  <c r="FL34" i="29"/>
  <c r="FL35" i="29"/>
  <c r="FL36" i="29"/>
  <c r="FK32" i="29"/>
  <c r="FK33" i="29"/>
  <c r="FK34" i="29"/>
  <c r="FK35" i="29"/>
  <c r="FK36" i="29"/>
  <c r="M32" i="29"/>
  <c r="N32" i="29"/>
  <c r="M33" i="29"/>
  <c r="N33" i="29"/>
  <c r="M34" i="29"/>
  <c r="N34" i="29"/>
  <c r="FH34" i="29"/>
  <c r="M35" i="29"/>
  <c r="N35" i="29"/>
  <c r="FH35" i="29"/>
  <c r="FH36" i="29"/>
  <c r="J32" i="29"/>
  <c r="K32" i="29"/>
  <c r="FG32" i="29"/>
  <c r="J33" i="29"/>
  <c r="K33" i="29"/>
  <c r="FG33" i="29"/>
  <c r="J34" i="29"/>
  <c r="K34" i="29"/>
  <c r="FG34" i="29"/>
  <c r="J35" i="29"/>
  <c r="K35" i="29"/>
  <c r="FG35" i="29"/>
  <c r="FG36" i="29"/>
  <c r="I32" i="29"/>
  <c r="FF32" i="29"/>
  <c r="I33" i="29"/>
  <c r="FF33" i="29"/>
  <c r="I34" i="29"/>
  <c r="FF34" i="29"/>
  <c r="I35" i="29"/>
  <c r="FF35" i="29"/>
  <c r="FF36" i="29"/>
  <c r="FB33" i="29"/>
  <c r="FB35" i="29"/>
  <c r="FA33" i="29"/>
  <c r="FA35" i="29"/>
  <c r="EY33" i="29"/>
  <c r="EY35" i="29"/>
  <c r="EX32" i="29"/>
  <c r="EX33" i="29"/>
  <c r="EX35" i="29"/>
  <c r="EW33" i="29"/>
  <c r="EW35" i="29"/>
  <c r="EV32" i="29"/>
  <c r="EV33" i="29"/>
  <c r="EV35" i="29"/>
  <c r="EU33" i="29"/>
  <c r="EU35" i="29"/>
  <c r="ES32" i="29"/>
  <c r="ES33" i="29"/>
  <c r="ES35" i="29"/>
  <c r="ER32" i="29"/>
  <c r="ER33" i="29"/>
  <c r="ER35" i="29"/>
  <c r="EQ32" i="29"/>
  <c r="EQ33" i="29"/>
  <c r="EQ35" i="29"/>
  <c r="EM32" i="29"/>
  <c r="EM33" i="29"/>
  <c r="EM34" i="29"/>
  <c r="EM35" i="29"/>
  <c r="EM36" i="29"/>
  <c r="EL32" i="29"/>
  <c r="EL33" i="29"/>
  <c r="EL34" i="29"/>
  <c r="EL35" i="29"/>
  <c r="EL36" i="29"/>
  <c r="EI33" i="29"/>
  <c r="EI35" i="29"/>
  <c r="EH33" i="29"/>
  <c r="EH35" i="29"/>
  <c r="EF33" i="29"/>
  <c r="EF35" i="29"/>
  <c r="EE32" i="29"/>
  <c r="EE33" i="29"/>
  <c r="EE35" i="29"/>
  <c r="ED33" i="29"/>
  <c r="ED35" i="29"/>
  <c r="EC32" i="29"/>
  <c r="EC33" i="29"/>
  <c r="EC35" i="29"/>
  <c r="EB33" i="29"/>
  <c r="EB35" i="29"/>
  <c r="DZ32" i="29"/>
  <c r="DZ33" i="29"/>
  <c r="DZ34" i="29"/>
  <c r="DZ35" i="29"/>
  <c r="DZ36" i="29"/>
  <c r="DY32" i="29"/>
  <c r="DY33" i="29"/>
  <c r="DY34" i="29"/>
  <c r="DY35" i="29"/>
  <c r="DY36" i="29"/>
  <c r="DX32" i="29"/>
  <c r="DX33" i="29"/>
  <c r="DX34" i="29"/>
  <c r="DX35" i="29"/>
  <c r="DX36" i="29"/>
  <c r="DT32" i="29"/>
  <c r="DT33" i="29"/>
  <c r="DT34" i="29"/>
  <c r="DT35" i="29"/>
  <c r="DT36" i="29"/>
  <c r="DS32" i="29"/>
  <c r="DS33" i="29"/>
  <c r="DS34" i="29"/>
  <c r="DS35" i="29"/>
  <c r="DS36" i="29"/>
  <c r="DN33" i="29"/>
  <c r="DN35" i="29"/>
  <c r="DM33" i="29"/>
  <c r="DM35" i="29"/>
  <c r="DK33" i="29"/>
  <c r="DK35" i="29"/>
  <c r="DJ32" i="29"/>
  <c r="DJ33" i="29"/>
  <c r="DJ35" i="29"/>
  <c r="DI33" i="29"/>
  <c r="DI35" i="29"/>
  <c r="DH32" i="29"/>
  <c r="DH33" i="29"/>
  <c r="DH35" i="29"/>
  <c r="DG33" i="29"/>
  <c r="DG35" i="29"/>
  <c r="DE32" i="29"/>
  <c r="DE33" i="29"/>
  <c r="DE34" i="29"/>
  <c r="DE35" i="29"/>
  <c r="DE36" i="29"/>
  <c r="DD32" i="29"/>
  <c r="DD33" i="29"/>
  <c r="DD34" i="29"/>
  <c r="DD35" i="29"/>
  <c r="DD36" i="29"/>
  <c r="DC32" i="29"/>
  <c r="DC33" i="29"/>
  <c r="DC34" i="29"/>
  <c r="DC35" i="29"/>
  <c r="DC36" i="29"/>
  <c r="CY32" i="29"/>
  <c r="CY33" i="29"/>
  <c r="CY34" i="29"/>
  <c r="CY35" i="29"/>
  <c r="CY36" i="29"/>
  <c r="CX32" i="29"/>
  <c r="CX33" i="29"/>
  <c r="CX34" i="29"/>
  <c r="CX35" i="29"/>
  <c r="CX36" i="29"/>
  <c r="CS33" i="29"/>
  <c r="CS35" i="29"/>
  <c r="CR33" i="29"/>
  <c r="CR35" i="29"/>
  <c r="CP33" i="29"/>
  <c r="CP35" i="29"/>
  <c r="CO32" i="29"/>
  <c r="CO33" i="29"/>
  <c r="CO35" i="29"/>
  <c r="CN33" i="29"/>
  <c r="CN35" i="29"/>
  <c r="CM32" i="29"/>
  <c r="CM33" i="29"/>
  <c r="CM35" i="29"/>
  <c r="CL33" i="29"/>
  <c r="CL35" i="29"/>
  <c r="CJ32" i="29"/>
  <c r="CJ33" i="29"/>
  <c r="CJ34" i="29"/>
  <c r="CJ35" i="29"/>
  <c r="CJ36" i="29"/>
  <c r="CI32" i="29"/>
  <c r="CI33" i="29"/>
  <c r="CI34" i="29"/>
  <c r="CI35" i="29"/>
  <c r="CI36" i="29"/>
  <c r="CH32" i="29"/>
  <c r="CH33" i="29"/>
  <c r="CH34" i="29"/>
  <c r="CH35" i="29"/>
  <c r="CH36" i="29"/>
  <c r="CD32" i="29"/>
  <c r="CD33" i="29"/>
  <c r="CD34" i="29"/>
  <c r="CD35" i="29"/>
  <c r="CD36" i="29"/>
  <c r="CC32" i="29"/>
  <c r="CC33" i="29"/>
  <c r="CC34" i="29"/>
  <c r="CC35" i="29"/>
  <c r="CC36" i="29"/>
  <c r="BX33" i="29"/>
  <c r="BX35" i="29"/>
  <c r="BW33" i="29"/>
  <c r="BW35" i="29"/>
  <c r="BU33" i="29"/>
  <c r="BU35" i="29"/>
  <c r="BT32" i="29"/>
  <c r="BT33" i="29"/>
  <c r="BT35" i="29"/>
  <c r="BS33" i="29"/>
  <c r="BS35" i="29"/>
  <c r="BR32" i="29"/>
  <c r="BR33" i="29"/>
  <c r="BR35" i="29"/>
  <c r="BQ33" i="29"/>
  <c r="BQ35" i="29"/>
  <c r="BO32" i="29"/>
  <c r="BO33" i="29"/>
  <c r="BO34" i="29"/>
  <c r="BO35" i="29"/>
  <c r="BO36" i="29"/>
  <c r="BN32" i="29"/>
  <c r="BN33" i="29"/>
  <c r="BN34" i="29"/>
  <c r="BN35" i="29"/>
  <c r="BN36" i="29"/>
  <c r="BM32" i="29"/>
  <c r="BM33" i="29"/>
  <c r="BM34" i="29"/>
  <c r="BM35" i="29"/>
  <c r="BM36" i="29"/>
  <c r="BI32" i="29"/>
  <c r="BI33" i="29"/>
  <c r="BI34" i="29"/>
  <c r="BI35" i="29"/>
  <c r="BI36" i="29"/>
  <c r="BH32" i="29"/>
  <c r="BH33" i="29"/>
  <c r="BH34" i="29"/>
  <c r="BH35" i="29"/>
  <c r="BH36" i="29"/>
  <c r="BC33" i="29"/>
  <c r="BC35" i="29"/>
  <c r="BB33" i="29"/>
  <c r="BB35" i="29"/>
  <c r="AZ33" i="29"/>
  <c r="AZ35" i="29"/>
  <c r="AY32" i="29"/>
  <c r="AY33" i="29"/>
  <c r="AY35" i="29"/>
  <c r="AX33" i="29"/>
  <c r="AX35" i="29"/>
  <c r="AW32" i="29"/>
  <c r="AW33" i="29"/>
  <c r="AW35" i="29"/>
  <c r="AV33" i="29"/>
  <c r="AV35" i="29"/>
  <c r="AT32" i="29"/>
  <c r="AT33" i="29"/>
  <c r="AT35" i="29"/>
  <c r="AS32" i="29"/>
  <c r="AS33" i="29"/>
  <c r="AS35" i="29"/>
  <c r="AR32" i="29"/>
  <c r="AR33" i="29"/>
  <c r="AR35" i="29"/>
  <c r="AN32" i="29"/>
  <c r="AN33" i="29"/>
  <c r="AN34" i="29"/>
  <c r="AN35" i="29"/>
  <c r="AN36" i="29"/>
  <c r="AM32" i="29"/>
  <c r="AM33" i="29"/>
  <c r="AM34" i="29"/>
  <c r="AM35" i="29"/>
  <c r="AM36" i="29"/>
  <c r="AH32" i="29"/>
  <c r="AH33" i="29"/>
  <c r="AH35" i="29"/>
  <c r="AG32" i="29"/>
  <c r="AG33" i="29"/>
  <c r="AG35" i="29"/>
  <c r="AE32" i="29"/>
  <c r="AE33" i="29"/>
  <c r="AE35" i="29"/>
  <c r="AD32" i="29"/>
  <c r="AD33" i="29"/>
  <c r="AD35" i="29"/>
  <c r="AC32" i="29"/>
  <c r="AC33" i="29"/>
  <c r="AC34" i="29"/>
  <c r="AC35" i="29"/>
  <c r="AC36" i="29"/>
  <c r="AB32" i="29"/>
  <c r="AB33" i="29"/>
  <c r="AB35" i="29"/>
  <c r="AA32" i="29"/>
  <c r="AA33" i="29"/>
  <c r="AA34" i="29"/>
  <c r="AA35" i="29"/>
  <c r="AA36" i="29"/>
  <c r="Y32" i="29"/>
  <c r="Y33" i="29"/>
  <c r="Y34" i="29"/>
  <c r="Y35" i="29"/>
  <c r="Y36" i="29"/>
  <c r="Z36" i="29"/>
  <c r="X32" i="29"/>
  <c r="X33" i="29"/>
  <c r="X34" i="29"/>
  <c r="X35" i="29"/>
  <c r="X36" i="29"/>
  <c r="W32" i="29"/>
  <c r="W33" i="29"/>
  <c r="W34" i="29"/>
  <c r="W35" i="29"/>
  <c r="W36" i="29"/>
  <c r="S32" i="29"/>
  <c r="S33" i="29"/>
  <c r="S34" i="29"/>
  <c r="S35" i="29"/>
  <c r="S36" i="29"/>
  <c r="R32" i="29"/>
  <c r="R33" i="29"/>
  <c r="R34" i="29"/>
  <c r="R35" i="29"/>
  <c r="R36" i="29"/>
  <c r="M36" i="29"/>
  <c r="N36" i="29"/>
  <c r="K36" i="29"/>
  <c r="L36" i="29"/>
  <c r="J36" i="29"/>
  <c r="I36" i="29"/>
  <c r="ET35" i="29"/>
  <c r="EA35" i="29"/>
  <c r="DF35" i="29"/>
  <c r="CK35" i="29"/>
  <c r="BP35" i="29"/>
  <c r="AU35" i="29"/>
  <c r="Z35" i="29"/>
  <c r="L35" i="29"/>
  <c r="E35" i="29"/>
  <c r="Z34" i="29"/>
  <c r="L34" i="29"/>
  <c r="E34" i="29"/>
  <c r="ET33" i="29"/>
  <c r="EA33" i="29"/>
  <c r="DF33" i="29"/>
  <c r="CK33" i="29"/>
  <c r="BP33" i="29"/>
  <c r="AU33" i="29"/>
  <c r="Z33" i="29"/>
  <c r="L33" i="29"/>
  <c r="E33" i="29"/>
  <c r="Z32" i="29"/>
  <c r="L32" i="29"/>
  <c r="E32" i="29"/>
  <c r="FM6" i="29"/>
  <c r="FM7" i="29"/>
  <c r="FM8" i="29"/>
  <c r="FM9" i="29"/>
  <c r="FM10" i="29"/>
  <c r="FM11" i="29"/>
  <c r="FM12" i="29"/>
  <c r="FM13" i="29"/>
  <c r="FM14" i="29"/>
  <c r="FM15" i="29"/>
  <c r="FM16" i="29"/>
  <c r="FM17" i="29"/>
  <c r="FM18" i="29"/>
  <c r="FM19" i="29"/>
  <c r="FM20" i="29"/>
  <c r="FM21" i="29"/>
  <c r="FM22" i="29"/>
  <c r="FM23" i="29"/>
  <c r="FM24" i="29"/>
  <c r="FM25" i="29"/>
  <c r="FM26" i="29"/>
  <c r="FM27" i="29"/>
  <c r="FM28" i="29"/>
  <c r="FM29" i="29"/>
  <c r="FL6" i="29"/>
  <c r="FL7" i="29"/>
  <c r="FL8" i="29"/>
  <c r="FL9" i="29"/>
  <c r="FL10" i="29"/>
  <c r="FL11" i="29"/>
  <c r="FL12" i="29"/>
  <c r="FL13" i="29"/>
  <c r="FL14" i="29"/>
  <c r="FL15" i="29"/>
  <c r="FL16" i="29"/>
  <c r="FL17" i="29"/>
  <c r="FL18" i="29"/>
  <c r="FL19" i="29"/>
  <c r="FL20" i="29"/>
  <c r="FL21" i="29"/>
  <c r="FL22" i="29"/>
  <c r="FL23" i="29"/>
  <c r="FL24" i="29"/>
  <c r="FL25" i="29"/>
  <c r="FL26" i="29"/>
  <c r="FL27" i="29"/>
  <c r="FL28" i="29"/>
  <c r="FL29" i="29"/>
  <c r="FK6" i="29"/>
  <c r="FK7" i="29"/>
  <c r="FK8" i="29"/>
  <c r="FK9" i="29"/>
  <c r="FK10" i="29"/>
  <c r="FK11" i="29"/>
  <c r="FK12" i="29"/>
  <c r="FK13" i="29"/>
  <c r="FK14" i="29"/>
  <c r="FK15" i="29"/>
  <c r="FK16" i="29"/>
  <c r="FK17" i="29"/>
  <c r="FK18" i="29"/>
  <c r="FK19" i="29"/>
  <c r="FK20" i="29"/>
  <c r="FK21" i="29"/>
  <c r="FK22" i="29"/>
  <c r="FK23" i="29"/>
  <c r="FK24" i="29"/>
  <c r="FK25" i="29"/>
  <c r="FK26" i="29"/>
  <c r="FK27" i="29"/>
  <c r="FK28" i="29"/>
  <c r="FK29" i="29"/>
  <c r="N6" i="29"/>
  <c r="N7" i="29"/>
  <c r="N8" i="29"/>
  <c r="N9" i="29"/>
  <c r="N10" i="29"/>
  <c r="FH10" i="29"/>
  <c r="N11" i="29"/>
  <c r="FH11" i="29"/>
  <c r="N12" i="29"/>
  <c r="FH12" i="29"/>
  <c r="N13" i="29"/>
  <c r="FH13" i="29"/>
  <c r="N14" i="29"/>
  <c r="FH14" i="29"/>
  <c r="N15" i="29"/>
  <c r="FH15" i="29"/>
  <c r="N16" i="29"/>
  <c r="FH16" i="29"/>
  <c r="N17" i="29"/>
  <c r="FH17" i="29"/>
  <c r="N18" i="29"/>
  <c r="FH18" i="29"/>
  <c r="N19" i="29"/>
  <c r="FH19" i="29"/>
  <c r="N20" i="29"/>
  <c r="FH20" i="29"/>
  <c r="N21" i="29"/>
  <c r="FH21" i="29"/>
  <c r="N22" i="29"/>
  <c r="FH22" i="29"/>
  <c r="N23" i="29"/>
  <c r="FH23" i="29"/>
  <c r="N24" i="29"/>
  <c r="FH24" i="29"/>
  <c r="N25" i="29"/>
  <c r="FH25" i="29"/>
  <c r="N26" i="29"/>
  <c r="FH26" i="29"/>
  <c r="N27" i="29"/>
  <c r="N28" i="29"/>
  <c r="FH29" i="29"/>
  <c r="FG6" i="29"/>
  <c r="FG7" i="29"/>
  <c r="FG8" i="29"/>
  <c r="FG9" i="29"/>
  <c r="FG10" i="29"/>
  <c r="FG11" i="29"/>
  <c r="FG12" i="29"/>
  <c r="FG13" i="29"/>
  <c r="FG14" i="29"/>
  <c r="FG15" i="29"/>
  <c r="FG16" i="29"/>
  <c r="FG17" i="29"/>
  <c r="FG18" i="29"/>
  <c r="FG19" i="29"/>
  <c r="FG20" i="29"/>
  <c r="FG21" i="29"/>
  <c r="FG22" i="29"/>
  <c r="FG23" i="29"/>
  <c r="FG24" i="29"/>
  <c r="FG25" i="29"/>
  <c r="FG26" i="29"/>
  <c r="FG27" i="29"/>
  <c r="FG28" i="29"/>
  <c r="FG29" i="29"/>
  <c r="FF6" i="29"/>
  <c r="FF7" i="29"/>
  <c r="FF8" i="29"/>
  <c r="FF9" i="29"/>
  <c r="FF10" i="29"/>
  <c r="FF11" i="29"/>
  <c r="FF12" i="29"/>
  <c r="FF13" i="29"/>
  <c r="FF14" i="29"/>
  <c r="FF15" i="29"/>
  <c r="FF16" i="29"/>
  <c r="FF17" i="29"/>
  <c r="FF18" i="29"/>
  <c r="FF19" i="29"/>
  <c r="FF20" i="29"/>
  <c r="FF21" i="29"/>
  <c r="FF22" i="29"/>
  <c r="FF23" i="29"/>
  <c r="FF24" i="29"/>
  <c r="FF25" i="29"/>
  <c r="FF26" i="29"/>
  <c r="FF27" i="29"/>
  <c r="FF28" i="29"/>
  <c r="FF29" i="29"/>
  <c r="EM29" i="29"/>
  <c r="EL29" i="29"/>
  <c r="BI29" i="29"/>
  <c r="AC29" i="29"/>
  <c r="N29" i="29"/>
  <c r="L6" i="29"/>
  <c r="L7" i="29"/>
  <c r="L8" i="29"/>
  <c r="L9" i="29"/>
  <c r="L10" i="29"/>
  <c r="L11" i="29"/>
  <c r="L12" i="29"/>
  <c r="L13" i="29"/>
  <c r="L14" i="29"/>
  <c r="L15" i="29"/>
  <c r="L16" i="29"/>
  <c r="L17" i="29"/>
  <c r="L18" i="29"/>
  <c r="L19" i="29"/>
  <c r="L20" i="29"/>
  <c r="L21" i="29"/>
  <c r="L22" i="29"/>
  <c r="L23" i="29"/>
  <c r="L24" i="29"/>
  <c r="L25" i="29"/>
  <c r="L26" i="29"/>
  <c r="L27" i="29"/>
  <c r="L28" i="29"/>
  <c r="L29" i="29"/>
  <c r="FJ28" i="29"/>
  <c r="FE28" i="29"/>
  <c r="G28" i="29"/>
  <c r="FJ27" i="29"/>
  <c r="FE27" i="29"/>
  <c r="G27" i="29"/>
  <c r="FJ26" i="29"/>
  <c r="FE26" i="29"/>
  <c r="G26" i="29"/>
  <c r="FJ25" i="29"/>
  <c r="FE25" i="29"/>
  <c r="G25" i="29"/>
  <c r="FJ24" i="29"/>
  <c r="FE24" i="29"/>
  <c r="G24" i="29"/>
  <c r="FJ23" i="29"/>
  <c r="FE23" i="29"/>
  <c r="G23" i="29"/>
  <c r="FJ22" i="29"/>
  <c r="FE22" i="29"/>
  <c r="G22" i="29"/>
  <c r="FJ21" i="29"/>
  <c r="FE21" i="29"/>
  <c r="G21" i="29"/>
  <c r="FJ20" i="29"/>
  <c r="FE20" i="29"/>
  <c r="G20" i="29"/>
  <c r="FJ19" i="29"/>
  <c r="FE19" i="29"/>
  <c r="G19" i="29"/>
  <c r="FJ18" i="29"/>
  <c r="FE18" i="29"/>
  <c r="G18" i="29"/>
  <c r="FJ17" i="29"/>
  <c r="FE17" i="29"/>
  <c r="G17" i="29"/>
  <c r="FJ16" i="29"/>
  <c r="FE16" i="29"/>
  <c r="G16" i="29"/>
  <c r="FJ15" i="29"/>
  <c r="FE15" i="29"/>
  <c r="G15" i="29"/>
  <c r="FJ14" i="29"/>
  <c r="FE14" i="29"/>
  <c r="G14" i="29"/>
  <c r="FJ13" i="29"/>
  <c r="FE13" i="29"/>
  <c r="G13" i="29"/>
  <c r="FJ12" i="29"/>
  <c r="FE12" i="29"/>
  <c r="G12" i="29"/>
  <c r="FJ11" i="29"/>
  <c r="FE11" i="29"/>
  <c r="G11" i="29"/>
  <c r="FJ10" i="29"/>
  <c r="FE10" i="29"/>
  <c r="G10" i="29"/>
  <c r="FJ9" i="29"/>
  <c r="FE9" i="29"/>
  <c r="G9" i="29"/>
  <c r="FJ8" i="29"/>
  <c r="FE8" i="29"/>
  <c r="FJ7" i="29"/>
  <c r="FE7" i="29"/>
  <c r="ET7" i="29"/>
  <c r="AP7" i="29"/>
  <c r="BK7" i="29"/>
  <c r="CF7" i="29"/>
  <c r="DA7" i="29"/>
  <c r="DV7" i="29"/>
  <c r="Z7" i="29"/>
  <c r="G7" i="29"/>
  <c r="FJ6" i="29"/>
  <c r="FE6" i="29"/>
  <c r="G6" i="29"/>
  <c r="FL5" i="29"/>
  <c r="FF5" i="29"/>
  <c r="FK5" i="29"/>
  <c r="E5" i="29"/>
  <c r="FE5" i="29"/>
  <c r="FJ5" i="29"/>
  <c r="FC5" i="29"/>
  <c r="EZ5" i="29"/>
  <c r="EW5" i="29"/>
  <c r="EU5" i="29"/>
  <c r="ET5" i="29"/>
  <c r="EJ5" i="29"/>
  <c r="EG5" i="29"/>
  <c r="ED5" i="29"/>
  <c r="EB5" i="29"/>
  <c r="EA5" i="29"/>
  <c r="DO5" i="29"/>
  <c r="DL5" i="29"/>
  <c r="DI5" i="29"/>
  <c r="DG5" i="29"/>
  <c r="DF5" i="29"/>
  <c r="CT5" i="29"/>
  <c r="CQ5" i="29"/>
  <c r="CN5" i="29"/>
  <c r="CL5" i="29"/>
  <c r="CK5" i="29"/>
  <c r="BY5" i="29"/>
  <c r="BV5" i="29"/>
  <c r="BS5" i="29"/>
  <c r="BQ5" i="29"/>
  <c r="BP5" i="29"/>
  <c r="BD5" i="29"/>
  <c r="BA5" i="29"/>
  <c r="AX5" i="29"/>
  <c r="AV5" i="29"/>
  <c r="AU5" i="29"/>
  <c r="AC5" i="29"/>
  <c r="AA5" i="29"/>
  <c r="Z5" i="29"/>
  <c r="I5" i="29"/>
  <c r="B5" i="29"/>
  <c r="L32" i="28"/>
  <c r="K32" i="28"/>
  <c r="J32" i="28"/>
  <c r="I32" i="28"/>
  <c r="F30" i="28"/>
  <c r="F32" i="28"/>
  <c r="B12" i="28"/>
  <c r="B13" i="28"/>
  <c r="B14" i="28"/>
  <c r="B15" i="28"/>
  <c r="B16" i="28"/>
  <c r="B17" i="28"/>
  <c r="B18" i="28"/>
  <c r="B19" i="28"/>
  <c r="B28" i="28"/>
  <c r="C12" i="28"/>
  <c r="C13" i="28"/>
  <c r="C14" i="28"/>
  <c r="C15" i="28"/>
  <c r="C16" i="28"/>
  <c r="C17" i="28"/>
  <c r="C18" i="28"/>
  <c r="C19" i="28"/>
  <c r="B29" i="28"/>
  <c r="B22" i="28"/>
  <c r="B23" i="28"/>
  <c r="G32" i="28"/>
  <c r="E28" i="28"/>
  <c r="E29" i="28"/>
  <c r="E30" i="28"/>
  <c r="E32" i="28"/>
  <c r="D28" i="28"/>
  <c r="D29" i="28"/>
  <c r="D30" i="28"/>
  <c r="D32" i="28"/>
  <c r="L31" i="28"/>
  <c r="K31" i="28"/>
  <c r="J31" i="28"/>
  <c r="I31" i="28"/>
  <c r="F31" i="28"/>
  <c r="G31" i="28"/>
  <c r="E31" i="28"/>
  <c r="D31" i="28"/>
  <c r="B31" i="28"/>
  <c r="L30" i="28"/>
  <c r="K30" i="28"/>
  <c r="J30" i="28"/>
  <c r="I30" i="28"/>
  <c r="G30" i="28"/>
  <c r="B30" i="28"/>
  <c r="L29" i="28"/>
  <c r="K29" i="28"/>
  <c r="J29" i="28"/>
  <c r="I29" i="28"/>
  <c r="G29" i="28"/>
  <c r="L28" i="28"/>
  <c r="K28" i="28"/>
  <c r="J28" i="28"/>
  <c r="I28" i="28"/>
  <c r="G28" i="28"/>
  <c r="B27" i="28"/>
  <c r="L25" i="28"/>
  <c r="K25" i="28"/>
  <c r="J25" i="28"/>
  <c r="I25" i="28"/>
  <c r="E12" i="28"/>
  <c r="E13" i="28"/>
  <c r="E14" i="28"/>
  <c r="E15" i="28"/>
  <c r="E16" i="28"/>
  <c r="E17" i="28"/>
  <c r="E18" i="28"/>
  <c r="E19" i="28"/>
  <c r="E20" i="28"/>
  <c r="E21" i="28"/>
  <c r="E22" i="28"/>
  <c r="E23" i="28"/>
  <c r="E25" i="28"/>
  <c r="D12" i="28"/>
  <c r="D13" i="28"/>
  <c r="D14" i="28"/>
  <c r="D15" i="28"/>
  <c r="D16" i="28"/>
  <c r="D17" i="28"/>
  <c r="D18" i="28"/>
  <c r="D19" i="28"/>
  <c r="D20" i="28"/>
  <c r="D21" i="28"/>
  <c r="D22" i="28"/>
  <c r="D23" i="28"/>
  <c r="D25" i="28"/>
  <c r="L23" i="28"/>
  <c r="K23" i="28"/>
  <c r="J23" i="28"/>
  <c r="I23" i="28"/>
  <c r="G23" i="28"/>
  <c r="C23" i="28"/>
  <c r="L22" i="28"/>
  <c r="K22" i="28"/>
  <c r="J22" i="28"/>
  <c r="I22" i="28"/>
  <c r="G22" i="28"/>
  <c r="C22" i="28"/>
  <c r="L21" i="28"/>
  <c r="K21" i="28"/>
  <c r="J21" i="28"/>
  <c r="I21" i="28"/>
  <c r="G21" i="28"/>
  <c r="C21" i="28"/>
  <c r="B21" i="28"/>
  <c r="L20" i="28"/>
  <c r="K20" i="28"/>
  <c r="J20" i="28"/>
  <c r="I20" i="28"/>
  <c r="G20" i="28"/>
  <c r="C20" i="28"/>
  <c r="B20" i="28"/>
  <c r="L19" i="28"/>
  <c r="K19" i="28"/>
  <c r="J19" i="28"/>
  <c r="I19" i="28"/>
  <c r="G19" i="28"/>
  <c r="L18" i="28"/>
  <c r="K18" i="28"/>
  <c r="J18" i="28"/>
  <c r="I18" i="28"/>
  <c r="G18" i="28"/>
  <c r="L17" i="28"/>
  <c r="K17" i="28"/>
  <c r="J17" i="28"/>
  <c r="I17" i="28"/>
  <c r="G17" i="28"/>
  <c r="L16" i="28"/>
  <c r="K16" i="28"/>
  <c r="J16" i="28"/>
  <c r="I16" i="28"/>
  <c r="G16" i="28"/>
  <c r="L15" i="28"/>
  <c r="K15" i="28"/>
  <c r="J15" i="28"/>
  <c r="I15" i="28"/>
  <c r="G15" i="28"/>
  <c r="L14" i="28"/>
  <c r="K14" i="28"/>
  <c r="J14" i="28"/>
  <c r="I14" i="28"/>
  <c r="G14" i="28"/>
  <c r="L13" i="28"/>
  <c r="K13" i="28"/>
  <c r="J13" i="28"/>
  <c r="I13" i="28"/>
  <c r="G13" i="28"/>
  <c r="L12" i="28"/>
  <c r="K12" i="28"/>
  <c r="J12" i="28"/>
  <c r="I12" i="28"/>
  <c r="G12" i="28"/>
  <c r="L10" i="28"/>
  <c r="K10" i="28"/>
  <c r="J10" i="28"/>
  <c r="I10" i="28"/>
  <c r="D10" i="28"/>
  <c r="C10" i="28"/>
  <c r="B10" i="28"/>
  <c r="J8" i="28"/>
  <c r="E8" i="28"/>
  <c r="E48" i="20"/>
  <c r="E52" i="20"/>
  <c r="E59" i="20"/>
  <c r="E53" i="20"/>
  <c r="E60" i="20"/>
  <c r="E61" i="20"/>
  <c r="E93" i="20"/>
  <c r="F48" i="20"/>
  <c r="F52" i="20"/>
  <c r="F54" i="20"/>
  <c r="F59" i="20"/>
  <c r="F53" i="20"/>
  <c r="F60" i="20"/>
  <c r="F61" i="20"/>
  <c r="F93" i="20"/>
  <c r="G48" i="20"/>
  <c r="G52" i="20"/>
  <c r="G54" i="20"/>
  <c r="G59" i="20"/>
  <c r="G53" i="20"/>
  <c r="G60" i="20"/>
  <c r="G61" i="20"/>
  <c r="G93" i="20"/>
  <c r="H48" i="20"/>
  <c r="H52" i="20"/>
  <c r="H54" i="20"/>
  <c r="H59" i="20"/>
  <c r="H53" i="20"/>
  <c r="H60" i="20"/>
  <c r="H61" i="20"/>
  <c r="H93" i="20"/>
  <c r="D48" i="20"/>
  <c r="D52" i="20"/>
  <c r="D59" i="20"/>
  <c r="D53" i="20"/>
  <c r="D60" i="20"/>
  <c r="D61" i="20"/>
  <c r="D93" i="20"/>
  <c r="E50" i="20"/>
  <c r="E54" i="20"/>
  <c r="E92" i="20"/>
  <c r="F50" i="20"/>
  <c r="F92" i="20"/>
  <c r="G50" i="20"/>
  <c r="G92" i="20"/>
  <c r="H50" i="20"/>
  <c r="H92" i="20"/>
  <c r="D50" i="20"/>
  <c r="D54" i="20"/>
  <c r="D92" i="20"/>
  <c r="H95" i="20"/>
  <c r="G63" i="20"/>
  <c r="F63" i="20"/>
  <c r="E63" i="20"/>
  <c r="D63" i="20"/>
  <c r="N8" i="27"/>
  <c r="N9" i="27"/>
  <c r="N10" i="27"/>
  <c r="N11" i="27"/>
  <c r="N12" i="27"/>
  <c r="N14" i="27"/>
  <c r="N15" i="27"/>
  <c r="N16" i="27"/>
  <c r="N18" i="27"/>
  <c r="N19" i="27"/>
  <c r="N21" i="27"/>
  <c r="M8" i="27"/>
  <c r="M9" i="27"/>
  <c r="M10" i="27"/>
  <c r="M11" i="27"/>
  <c r="M12" i="27"/>
  <c r="M14" i="27"/>
  <c r="M15" i="27"/>
  <c r="M16" i="27"/>
  <c r="M18" i="27"/>
  <c r="M19" i="27"/>
  <c r="M21" i="27"/>
  <c r="K21" i="27"/>
  <c r="D21" i="27"/>
  <c r="J19" i="27"/>
  <c r="J18" i="27"/>
  <c r="H63" i="20"/>
  <c r="Z18" i="13"/>
  <c r="AA8" i="13"/>
  <c r="AA9" i="13"/>
  <c r="AA10" i="13"/>
  <c r="AA11" i="13"/>
  <c r="AA12" i="13"/>
  <c r="AA14" i="13"/>
  <c r="AA15" i="13"/>
  <c r="AA16" i="13"/>
  <c r="AA18" i="13"/>
  <c r="I46" i="24"/>
  <c r="I48" i="24"/>
  <c r="I47" i="24"/>
  <c r="H29" i="24"/>
  <c r="H48" i="24"/>
  <c r="H47" i="24"/>
  <c r="I41" i="24"/>
  <c r="H46" i="24"/>
  <c r="G29" i="24"/>
  <c r="G48" i="24"/>
  <c r="G47" i="24"/>
  <c r="H41" i="24"/>
  <c r="G46" i="24"/>
  <c r="F29" i="24"/>
  <c r="F48" i="24"/>
  <c r="F47" i="24"/>
  <c r="G41" i="24"/>
  <c r="F46" i="24"/>
  <c r="E29" i="24"/>
  <c r="E48" i="24"/>
  <c r="E47" i="24"/>
  <c r="F41" i="24"/>
  <c r="E46" i="24"/>
  <c r="E41" i="24"/>
  <c r="D46" i="24"/>
  <c r="D29" i="24"/>
  <c r="D48" i="24"/>
  <c r="D47" i="24"/>
  <c r="E16" i="24"/>
  <c r="F16" i="24"/>
  <c r="G16" i="24"/>
  <c r="H16" i="24"/>
  <c r="I16" i="24"/>
  <c r="E15" i="24"/>
  <c r="F15" i="24"/>
  <c r="G15" i="24"/>
  <c r="H15" i="24"/>
  <c r="I15" i="24"/>
  <c r="D41" i="24"/>
  <c r="B31" i="24"/>
  <c r="D18" i="24"/>
  <c r="D23" i="24"/>
  <c r="D19" i="24"/>
  <c r="D22" i="24"/>
  <c r="E18" i="24"/>
  <c r="E23" i="24"/>
  <c r="E19" i="24"/>
  <c r="E22" i="24"/>
  <c r="F18" i="24"/>
  <c r="F23" i="24"/>
  <c r="F19" i="24"/>
  <c r="F22" i="24"/>
  <c r="G18" i="24"/>
  <c r="G23" i="24"/>
  <c r="G19" i="24"/>
  <c r="G22" i="24"/>
  <c r="H18" i="24"/>
  <c r="H23" i="24"/>
  <c r="H19" i="24"/>
  <c r="H22" i="24"/>
  <c r="I18" i="24"/>
  <c r="I23" i="24"/>
  <c r="I36" i="24"/>
  <c r="H36" i="24"/>
  <c r="G36" i="24"/>
  <c r="F36" i="24"/>
  <c r="E36" i="24"/>
  <c r="D36" i="24"/>
  <c r="B30" i="24"/>
  <c r="D68" i="24"/>
  <c r="E68" i="24"/>
  <c r="F68" i="24"/>
  <c r="G68" i="24"/>
  <c r="H68" i="24"/>
  <c r="I68" i="24"/>
  <c r="B69" i="24"/>
  <c r="D53" i="24"/>
  <c r="D54" i="24"/>
  <c r="D69" i="24"/>
  <c r="E14" i="24"/>
  <c r="E69" i="24"/>
  <c r="F14" i="24"/>
  <c r="F69" i="24"/>
  <c r="G14" i="24"/>
  <c r="G69" i="24"/>
  <c r="H14" i="24"/>
  <c r="H69" i="24"/>
  <c r="I14" i="24"/>
  <c r="I69" i="24"/>
  <c r="I53" i="24"/>
  <c r="I54" i="24"/>
  <c r="B74" i="24"/>
  <c r="E53" i="24"/>
  <c r="E54" i="24"/>
  <c r="F53" i="24"/>
  <c r="F54" i="24"/>
  <c r="G53" i="24"/>
  <c r="G54" i="24"/>
  <c r="H53" i="24"/>
  <c r="H54" i="24"/>
  <c r="I74" i="24"/>
  <c r="I82" i="24"/>
  <c r="B73" i="24"/>
  <c r="I73" i="24"/>
  <c r="I81" i="24"/>
  <c r="H74" i="24"/>
  <c r="H82" i="24"/>
  <c r="G74" i="24"/>
  <c r="G82" i="24"/>
  <c r="F74" i="24"/>
  <c r="F82" i="24"/>
  <c r="E74" i="24"/>
  <c r="E82" i="24"/>
  <c r="D74" i="24"/>
  <c r="D82" i="24"/>
  <c r="H73" i="24"/>
  <c r="H81" i="24"/>
  <c r="G73" i="24"/>
  <c r="G81" i="24"/>
  <c r="F73" i="24"/>
  <c r="F81" i="24"/>
  <c r="E73" i="24"/>
  <c r="E81" i="24"/>
  <c r="D73" i="24"/>
  <c r="D81" i="24"/>
  <c r="B72" i="24"/>
  <c r="I72" i="24"/>
  <c r="I80" i="24"/>
  <c r="H72" i="24"/>
  <c r="H80" i="24"/>
  <c r="G72" i="24"/>
  <c r="G80" i="24"/>
  <c r="F72" i="24"/>
  <c r="F80" i="24"/>
  <c r="E72" i="24"/>
  <c r="E80" i="24"/>
  <c r="D72" i="24"/>
  <c r="D80" i="24"/>
  <c r="B71" i="24"/>
  <c r="I71" i="24"/>
  <c r="I79" i="24"/>
  <c r="H71" i="24"/>
  <c r="H79" i="24"/>
  <c r="G71" i="24"/>
  <c r="G79" i="24"/>
  <c r="F71" i="24"/>
  <c r="F79" i="24"/>
  <c r="E71" i="24"/>
  <c r="E79" i="24"/>
  <c r="D71" i="24"/>
  <c r="D79" i="24"/>
  <c r="B70" i="24"/>
  <c r="I70" i="24"/>
  <c r="I78" i="24"/>
  <c r="H70" i="24"/>
  <c r="H78" i="24"/>
  <c r="G70" i="24"/>
  <c r="G78" i="24"/>
  <c r="F70" i="24"/>
  <c r="F78" i="24"/>
  <c r="E70" i="24"/>
  <c r="E78" i="24"/>
  <c r="D70" i="24"/>
  <c r="D78" i="24"/>
  <c r="I77" i="24"/>
  <c r="H77" i="24"/>
  <c r="G77" i="24"/>
  <c r="F77" i="24"/>
  <c r="E77" i="24"/>
  <c r="D77" i="24"/>
  <c r="D55" i="24"/>
  <c r="D57" i="24"/>
  <c r="D59" i="24"/>
  <c r="I76" i="24"/>
  <c r="H76" i="24"/>
  <c r="G76" i="24"/>
  <c r="F76" i="24"/>
  <c r="E76" i="24"/>
  <c r="D76" i="24"/>
  <c r="D108" i="24"/>
  <c r="B124" i="24"/>
  <c r="D124" i="24"/>
  <c r="E108" i="24"/>
  <c r="E124" i="24"/>
  <c r="F108" i="24"/>
  <c r="F124" i="24"/>
  <c r="G108" i="24"/>
  <c r="G124" i="24"/>
  <c r="H108" i="24"/>
  <c r="H124" i="24"/>
  <c r="I108" i="24"/>
  <c r="I124" i="24"/>
  <c r="E33" i="24"/>
  <c r="F33" i="24"/>
  <c r="G33" i="24"/>
  <c r="H33" i="24"/>
  <c r="I33" i="24"/>
  <c r="I34" i="24"/>
  <c r="O108" i="24"/>
  <c r="F34" i="24"/>
  <c r="L108" i="24"/>
  <c r="H34" i="24"/>
  <c r="N108" i="24"/>
  <c r="D34" i="24"/>
  <c r="J108" i="24"/>
  <c r="E34" i="24"/>
  <c r="K108" i="24"/>
  <c r="G34" i="24"/>
  <c r="M108" i="24"/>
  <c r="P124" i="24"/>
  <c r="E87" i="24"/>
  <c r="B131" i="24"/>
  <c r="D131" i="24"/>
  <c r="E131" i="24"/>
  <c r="F131" i="24"/>
  <c r="G131" i="24"/>
  <c r="H131" i="24"/>
  <c r="I131" i="24"/>
  <c r="P131" i="24"/>
  <c r="E88" i="24"/>
  <c r="B138" i="24"/>
  <c r="D138" i="24"/>
  <c r="E138" i="24"/>
  <c r="F138" i="24"/>
  <c r="G138" i="24"/>
  <c r="H138" i="24"/>
  <c r="I138" i="24"/>
  <c r="P138" i="24"/>
  <c r="E89" i="24"/>
  <c r="B145" i="24"/>
  <c r="D145" i="24"/>
  <c r="E145" i="24"/>
  <c r="F145" i="24"/>
  <c r="G145" i="24"/>
  <c r="H145" i="24"/>
  <c r="I145" i="24"/>
  <c r="P145" i="24"/>
  <c r="E90" i="24"/>
  <c r="B110" i="24"/>
  <c r="D110" i="24"/>
  <c r="E110" i="24"/>
  <c r="F110" i="24"/>
  <c r="G110" i="24"/>
  <c r="H110" i="24"/>
  <c r="I110" i="24"/>
  <c r="K107" i="24"/>
  <c r="K110" i="24"/>
  <c r="P110" i="24"/>
  <c r="E85" i="24"/>
  <c r="B114" i="24"/>
  <c r="D114" i="24"/>
  <c r="E114" i="24"/>
  <c r="F114" i="24"/>
  <c r="G114" i="24"/>
  <c r="H114" i="24"/>
  <c r="I114" i="24"/>
  <c r="O107" i="24"/>
  <c r="O114" i="24"/>
  <c r="P114" i="24"/>
  <c r="I85" i="24"/>
  <c r="B113" i="24"/>
  <c r="D113" i="24"/>
  <c r="E113" i="24"/>
  <c r="F113" i="24"/>
  <c r="G113" i="24"/>
  <c r="H113" i="24"/>
  <c r="I113" i="24"/>
  <c r="N107" i="24"/>
  <c r="N113" i="24"/>
  <c r="P113" i="24"/>
  <c r="H85" i="24"/>
  <c r="B112" i="24"/>
  <c r="D112" i="24"/>
  <c r="E112" i="24"/>
  <c r="F112" i="24"/>
  <c r="G112" i="24"/>
  <c r="H112" i="24"/>
  <c r="I112" i="24"/>
  <c r="M107" i="24"/>
  <c r="M112" i="24"/>
  <c r="P112" i="24"/>
  <c r="G85" i="24"/>
  <c r="B111" i="24"/>
  <c r="D111" i="24"/>
  <c r="E111" i="24"/>
  <c r="F111" i="24"/>
  <c r="G111" i="24"/>
  <c r="H111" i="24"/>
  <c r="I111" i="24"/>
  <c r="L107" i="24"/>
  <c r="L111" i="24"/>
  <c r="P111" i="24"/>
  <c r="F85" i="24"/>
  <c r="B109" i="24"/>
  <c r="D109" i="24"/>
  <c r="E109" i="24"/>
  <c r="F109" i="24"/>
  <c r="G109" i="24"/>
  <c r="H109" i="24"/>
  <c r="I109" i="24"/>
  <c r="J107" i="24"/>
  <c r="J109" i="24"/>
  <c r="P109" i="24"/>
  <c r="D85" i="24"/>
  <c r="B123" i="24"/>
  <c r="D123" i="24"/>
  <c r="E123" i="24"/>
  <c r="F123" i="24"/>
  <c r="G123" i="24"/>
  <c r="H123" i="24"/>
  <c r="I123" i="24"/>
  <c r="P123" i="24"/>
  <c r="D87" i="24"/>
  <c r="B130" i="24"/>
  <c r="D130" i="24"/>
  <c r="E130" i="24"/>
  <c r="F130" i="24"/>
  <c r="G130" i="24"/>
  <c r="H130" i="24"/>
  <c r="I130" i="24"/>
  <c r="P130" i="24"/>
  <c r="D88" i="24"/>
  <c r="B137" i="24"/>
  <c r="D137" i="24"/>
  <c r="E137" i="24"/>
  <c r="F137" i="24"/>
  <c r="G137" i="24"/>
  <c r="H137" i="24"/>
  <c r="I137" i="24"/>
  <c r="P137" i="24"/>
  <c r="D89" i="24"/>
  <c r="B144" i="24"/>
  <c r="D144" i="24"/>
  <c r="E144" i="24"/>
  <c r="F144" i="24"/>
  <c r="G144" i="24"/>
  <c r="H144" i="24"/>
  <c r="I144" i="24"/>
  <c r="P144" i="24"/>
  <c r="D90" i="24"/>
  <c r="B125" i="24"/>
  <c r="D125" i="24"/>
  <c r="E125" i="24"/>
  <c r="F125" i="24"/>
  <c r="G125" i="24"/>
  <c r="H125" i="24"/>
  <c r="I125" i="24"/>
  <c r="L125" i="24"/>
  <c r="P125" i="24"/>
  <c r="F87" i="24"/>
  <c r="B117" i="24"/>
  <c r="D117" i="24"/>
  <c r="E117" i="24"/>
  <c r="F117" i="24"/>
  <c r="G117" i="24"/>
  <c r="H117" i="24"/>
  <c r="I117" i="24"/>
  <c r="K117" i="24"/>
  <c r="P117" i="24"/>
  <c r="E86" i="24"/>
  <c r="D60" i="24"/>
  <c r="B82" i="24"/>
  <c r="B81" i="24"/>
  <c r="B80" i="24"/>
  <c r="B79" i="24"/>
  <c r="B78" i="24"/>
  <c r="B77" i="24"/>
  <c r="B133" i="24"/>
  <c r="D133" i="24"/>
  <c r="E133" i="24"/>
  <c r="F133" i="24"/>
  <c r="G133" i="24"/>
  <c r="H133" i="24"/>
  <c r="I133" i="24"/>
  <c r="M133" i="24"/>
  <c r="P133" i="24"/>
  <c r="G88" i="24"/>
  <c r="G55" i="24"/>
  <c r="G57" i="24"/>
  <c r="F55" i="24"/>
  <c r="F57" i="24"/>
  <c r="E55" i="24"/>
  <c r="E57" i="24"/>
  <c r="F60" i="24"/>
  <c r="G60" i="24"/>
  <c r="H55" i="24"/>
  <c r="H57" i="24"/>
  <c r="H60" i="24"/>
  <c r="I55" i="24"/>
  <c r="I57" i="24"/>
  <c r="I60" i="24"/>
  <c r="E60" i="24"/>
  <c r="F59" i="24"/>
  <c r="G59" i="24"/>
  <c r="H59" i="24"/>
  <c r="I59" i="24"/>
  <c r="E59" i="24"/>
  <c r="D30" i="24"/>
  <c r="D97" i="24"/>
  <c r="D96" i="24"/>
  <c r="O149" i="24"/>
  <c r="O142" i="24"/>
  <c r="N141" i="24"/>
  <c r="O135" i="24"/>
  <c r="N134" i="24"/>
  <c r="O128" i="24"/>
  <c r="N127" i="24"/>
  <c r="M126" i="24"/>
  <c r="O121" i="24"/>
  <c r="N120" i="24"/>
  <c r="M119" i="24"/>
  <c r="L118" i="24"/>
  <c r="B149" i="24"/>
  <c r="D149" i="24"/>
  <c r="E149" i="24"/>
  <c r="F149" i="24"/>
  <c r="G149" i="24"/>
  <c r="H149" i="24"/>
  <c r="I149" i="24"/>
  <c r="P149" i="24"/>
  <c r="I90" i="24"/>
  <c r="B141" i="24"/>
  <c r="D141" i="24"/>
  <c r="E141" i="24"/>
  <c r="F141" i="24"/>
  <c r="G141" i="24"/>
  <c r="H141" i="24"/>
  <c r="I141" i="24"/>
  <c r="P141" i="24"/>
  <c r="H89" i="24"/>
  <c r="B90" i="24"/>
  <c r="B89" i="24"/>
  <c r="B88" i="24"/>
  <c r="B87" i="24"/>
  <c r="B86" i="24"/>
  <c r="B85" i="24"/>
  <c r="I84" i="24"/>
  <c r="H84" i="24"/>
  <c r="G84" i="24"/>
  <c r="F84" i="24"/>
  <c r="E84" i="24"/>
  <c r="D84" i="24"/>
  <c r="B118" i="24"/>
  <c r="D118" i="24"/>
  <c r="E118" i="24"/>
  <c r="F118" i="24"/>
  <c r="G118" i="24"/>
  <c r="H118" i="24"/>
  <c r="I118" i="24"/>
  <c r="P118" i="24"/>
  <c r="F86" i="24"/>
  <c r="B119" i="24"/>
  <c r="D119" i="24"/>
  <c r="E119" i="24"/>
  <c r="F119" i="24"/>
  <c r="G119" i="24"/>
  <c r="H119" i="24"/>
  <c r="I119" i="24"/>
  <c r="P119" i="24"/>
  <c r="G86" i="24"/>
  <c r="B120" i="24"/>
  <c r="D120" i="24"/>
  <c r="E120" i="24"/>
  <c r="F120" i="24"/>
  <c r="G120" i="24"/>
  <c r="H120" i="24"/>
  <c r="I120" i="24"/>
  <c r="P120" i="24"/>
  <c r="H86" i="24"/>
  <c r="B121" i="24"/>
  <c r="D121" i="24"/>
  <c r="E121" i="24"/>
  <c r="F121" i="24"/>
  <c r="G121" i="24"/>
  <c r="H121" i="24"/>
  <c r="I121" i="24"/>
  <c r="P121" i="24"/>
  <c r="I86" i="24"/>
  <c r="B126" i="24"/>
  <c r="D126" i="24"/>
  <c r="E126" i="24"/>
  <c r="F126" i="24"/>
  <c r="G126" i="24"/>
  <c r="H126" i="24"/>
  <c r="I126" i="24"/>
  <c r="P126" i="24"/>
  <c r="G87" i="24"/>
  <c r="B127" i="24"/>
  <c r="D127" i="24"/>
  <c r="E127" i="24"/>
  <c r="F127" i="24"/>
  <c r="G127" i="24"/>
  <c r="H127" i="24"/>
  <c r="I127" i="24"/>
  <c r="P127" i="24"/>
  <c r="H87" i="24"/>
  <c r="B128" i="24"/>
  <c r="D128" i="24"/>
  <c r="E128" i="24"/>
  <c r="F128" i="24"/>
  <c r="G128" i="24"/>
  <c r="H128" i="24"/>
  <c r="I128" i="24"/>
  <c r="P128" i="24"/>
  <c r="I87" i="24"/>
  <c r="B132" i="24"/>
  <c r="D132" i="24"/>
  <c r="E132" i="24"/>
  <c r="F132" i="24"/>
  <c r="G132" i="24"/>
  <c r="H132" i="24"/>
  <c r="I132" i="24"/>
  <c r="P132" i="24"/>
  <c r="F88" i="24"/>
  <c r="B134" i="24"/>
  <c r="D134" i="24"/>
  <c r="E134" i="24"/>
  <c r="F134" i="24"/>
  <c r="G134" i="24"/>
  <c r="H134" i="24"/>
  <c r="I134" i="24"/>
  <c r="P134" i="24"/>
  <c r="H88" i="24"/>
  <c r="B135" i="24"/>
  <c r="D135" i="24"/>
  <c r="E135" i="24"/>
  <c r="F135" i="24"/>
  <c r="G135" i="24"/>
  <c r="H135" i="24"/>
  <c r="I135" i="24"/>
  <c r="P135" i="24"/>
  <c r="I88" i="24"/>
  <c r="B139" i="24"/>
  <c r="D139" i="24"/>
  <c r="E139" i="24"/>
  <c r="F139" i="24"/>
  <c r="G139" i="24"/>
  <c r="H139" i="24"/>
  <c r="I139" i="24"/>
  <c r="P139" i="24"/>
  <c r="F89" i="24"/>
  <c r="B140" i="24"/>
  <c r="D140" i="24"/>
  <c r="E140" i="24"/>
  <c r="F140" i="24"/>
  <c r="G140" i="24"/>
  <c r="H140" i="24"/>
  <c r="I140" i="24"/>
  <c r="P140" i="24"/>
  <c r="G89" i="24"/>
  <c r="B142" i="24"/>
  <c r="D142" i="24"/>
  <c r="E142" i="24"/>
  <c r="F142" i="24"/>
  <c r="G142" i="24"/>
  <c r="H142" i="24"/>
  <c r="I142" i="24"/>
  <c r="P142" i="24"/>
  <c r="I89" i="24"/>
  <c r="B146" i="24"/>
  <c r="D146" i="24"/>
  <c r="E146" i="24"/>
  <c r="F146" i="24"/>
  <c r="G146" i="24"/>
  <c r="H146" i="24"/>
  <c r="I146" i="24"/>
  <c r="P146" i="24"/>
  <c r="F90" i="24"/>
  <c r="B147" i="24"/>
  <c r="D147" i="24"/>
  <c r="E147" i="24"/>
  <c r="F147" i="24"/>
  <c r="G147" i="24"/>
  <c r="H147" i="24"/>
  <c r="I147" i="24"/>
  <c r="P147" i="24"/>
  <c r="G90" i="24"/>
  <c r="B148" i="24"/>
  <c r="D148" i="24"/>
  <c r="E148" i="24"/>
  <c r="F148" i="24"/>
  <c r="G148" i="24"/>
  <c r="H148" i="24"/>
  <c r="I148" i="24"/>
  <c r="P148" i="24"/>
  <c r="H90" i="24"/>
  <c r="B116" i="24"/>
  <c r="D116" i="24"/>
  <c r="E116" i="24"/>
  <c r="F116" i="24"/>
  <c r="G116" i="24"/>
  <c r="H116" i="24"/>
  <c r="I116" i="24"/>
  <c r="P116" i="24"/>
  <c r="D86" i="24"/>
  <c r="D24" i="24"/>
  <c r="D37" i="24"/>
  <c r="D10" i="24"/>
  <c r="D8" i="20"/>
  <c r="N36" i="21"/>
  <c r="G36" i="21"/>
  <c r="B23" i="20"/>
  <c r="B22" i="20"/>
  <c r="B21" i="20"/>
  <c r="B20" i="20"/>
  <c r="B19" i="20"/>
  <c r="B18" i="20"/>
  <c r="B17" i="20"/>
  <c r="B16" i="20"/>
  <c r="E30" i="24"/>
  <c r="E24" i="24"/>
  <c r="E37" i="24"/>
  <c r="F30" i="24"/>
  <c r="F24" i="24"/>
  <c r="F37" i="24"/>
  <c r="G30" i="24"/>
  <c r="G24" i="24"/>
  <c r="G37" i="24"/>
  <c r="H30" i="24"/>
  <c r="H24" i="24"/>
  <c r="H37" i="24"/>
  <c r="I30" i="24"/>
  <c r="I19" i="24"/>
  <c r="I24" i="24"/>
  <c r="I37" i="24"/>
  <c r="E10" i="24"/>
  <c r="F10" i="24"/>
  <c r="G10" i="24"/>
  <c r="H10" i="24"/>
  <c r="I10" i="24"/>
  <c r="I22" i="24"/>
  <c r="I56" i="24"/>
  <c r="H56" i="24"/>
  <c r="G56" i="24"/>
  <c r="F56" i="24"/>
  <c r="E56" i="24"/>
  <c r="D56" i="24"/>
  <c r="I17" i="24"/>
  <c r="H17" i="24"/>
  <c r="G17" i="24"/>
  <c r="F17" i="24"/>
  <c r="E17" i="24"/>
  <c r="D17" i="24"/>
  <c r="I21" i="24"/>
  <c r="H21" i="24"/>
  <c r="G21" i="24"/>
  <c r="F21" i="24"/>
  <c r="E21" i="24"/>
  <c r="D21" i="24"/>
  <c r="I25" i="24"/>
  <c r="H25" i="24"/>
  <c r="G25" i="24"/>
  <c r="F25" i="24"/>
  <c r="E25" i="24"/>
  <c r="D25" i="24"/>
  <c r="B10" i="24"/>
  <c r="B120" i="20"/>
  <c r="B119" i="20"/>
  <c r="B118" i="20"/>
  <c r="B117" i="20"/>
  <c r="B116" i="20"/>
  <c r="B115" i="20"/>
  <c r="B114" i="20"/>
  <c r="B113" i="20"/>
  <c r="F40" i="20"/>
  <c r="G40" i="20"/>
  <c r="H40" i="20"/>
  <c r="H46" i="20"/>
  <c r="G26" i="21"/>
  <c r="G29" i="21"/>
  <c r="G8" i="21"/>
  <c r="H8" i="21"/>
  <c r="I8" i="21"/>
  <c r="G9" i="21"/>
  <c r="H9" i="21"/>
  <c r="I9" i="21"/>
  <c r="G10" i="21"/>
  <c r="H10" i="21"/>
  <c r="I10" i="21"/>
  <c r="G11" i="21"/>
  <c r="H11" i="21"/>
  <c r="I11" i="21"/>
  <c r="G12" i="21"/>
  <c r="H12" i="21"/>
  <c r="I12" i="21"/>
  <c r="G14" i="21"/>
  <c r="H14" i="21"/>
  <c r="I14" i="21"/>
  <c r="G15" i="21"/>
  <c r="H15" i="21"/>
  <c r="I15" i="21"/>
  <c r="G16" i="21"/>
  <c r="H16" i="21"/>
  <c r="I16" i="21"/>
  <c r="G34" i="21"/>
  <c r="H19" i="21"/>
  <c r="I19" i="21"/>
  <c r="I21" i="21"/>
  <c r="N29" i="21"/>
  <c r="D29" i="20"/>
  <c r="N16" i="21"/>
  <c r="O16" i="21"/>
  <c r="D16" i="20"/>
  <c r="N14" i="21"/>
  <c r="O14" i="21"/>
  <c r="D17" i="20"/>
  <c r="N15" i="21"/>
  <c r="O15" i="21"/>
  <c r="D18" i="20"/>
  <c r="D26" i="20"/>
  <c r="D30" i="20"/>
  <c r="D33" i="20"/>
  <c r="G46" i="20"/>
  <c r="F46" i="20"/>
  <c r="E40" i="20"/>
  <c r="E46" i="20"/>
  <c r="D40" i="20"/>
  <c r="D46" i="20"/>
  <c r="E29" i="20"/>
  <c r="E16" i="20"/>
  <c r="E17" i="20"/>
  <c r="E18" i="20"/>
  <c r="E26" i="20"/>
  <c r="E30" i="20"/>
  <c r="E33" i="20"/>
  <c r="H62" i="20"/>
  <c r="G62" i="20"/>
  <c r="F62" i="20"/>
  <c r="E62" i="20"/>
  <c r="D62" i="20"/>
  <c r="H49" i="20"/>
  <c r="G49" i="20"/>
  <c r="F49" i="20"/>
  <c r="E49" i="20"/>
  <c r="D49" i="20"/>
  <c r="B94" i="20"/>
  <c r="B88" i="20"/>
  <c r="B93" i="20"/>
  <c r="B92" i="20"/>
  <c r="V33" i="20"/>
  <c r="H16" i="20"/>
  <c r="H17" i="20"/>
  <c r="N12" i="21"/>
  <c r="O12" i="21"/>
  <c r="F18" i="20"/>
  <c r="H18" i="20"/>
  <c r="N8" i="21"/>
  <c r="O8" i="21"/>
  <c r="P8" i="21"/>
  <c r="F19" i="20"/>
  <c r="H19" i="20"/>
  <c r="N9" i="21"/>
  <c r="O9" i="21"/>
  <c r="P9" i="21"/>
  <c r="F20" i="20"/>
  <c r="H20" i="20"/>
  <c r="N10" i="21"/>
  <c r="O10" i="21"/>
  <c r="P10" i="21"/>
  <c r="F21" i="20"/>
  <c r="H21" i="20"/>
  <c r="N11" i="21"/>
  <c r="O11" i="21"/>
  <c r="P11" i="21"/>
  <c r="F22" i="20"/>
  <c r="H22" i="20"/>
  <c r="O18" i="21"/>
  <c r="P18" i="21"/>
  <c r="G23" i="20"/>
  <c r="H23" i="20"/>
  <c r="H24" i="20"/>
  <c r="H26" i="20"/>
  <c r="D6" i="20"/>
  <c r="F41" i="20"/>
  <c r="F51" i="20"/>
  <c r="H33" i="20"/>
  <c r="F47" i="20"/>
  <c r="F64" i="20"/>
  <c r="F26" i="20"/>
  <c r="G26" i="20"/>
  <c r="F75" i="20"/>
  <c r="D41" i="20"/>
  <c r="D51" i="20"/>
  <c r="D47" i="20"/>
  <c r="D64" i="20"/>
  <c r="D75" i="20"/>
  <c r="E41" i="20"/>
  <c r="E51" i="20"/>
  <c r="E47" i="20"/>
  <c r="E64" i="20"/>
  <c r="E75" i="20"/>
  <c r="H41" i="20"/>
  <c r="H51" i="20"/>
  <c r="H47" i="20"/>
  <c r="H64" i="20"/>
  <c r="H75" i="20"/>
  <c r="G41" i="20"/>
  <c r="G51" i="20"/>
  <c r="G47" i="20"/>
  <c r="G64" i="20"/>
  <c r="G75" i="20"/>
  <c r="F30" i="20"/>
  <c r="G30" i="20"/>
  <c r="H30" i="20"/>
  <c r="B106" i="20"/>
  <c r="B105" i="20"/>
  <c r="B104" i="20"/>
  <c r="B103" i="20"/>
  <c r="B102" i="20"/>
  <c r="B101" i="20"/>
  <c r="B100" i="20"/>
  <c r="H42" i="20"/>
  <c r="G42" i="20"/>
  <c r="F42" i="20"/>
  <c r="E42" i="20"/>
  <c r="D42" i="20"/>
  <c r="B87" i="20"/>
  <c r="B86" i="20"/>
  <c r="U18" i="16"/>
  <c r="S23" i="16"/>
  <c r="H43" i="20"/>
  <c r="G43" i="20"/>
  <c r="F43" i="20"/>
  <c r="E43" i="20"/>
  <c r="D43" i="20"/>
  <c r="B107" i="20"/>
  <c r="B64" i="20"/>
  <c r="B51" i="20"/>
  <c r="H27" i="20"/>
  <c r="G27" i="20"/>
  <c r="F27" i="20"/>
  <c r="E27" i="20"/>
  <c r="D27" i="20"/>
  <c r="M21" i="21"/>
  <c r="N25" i="21"/>
  <c r="N28" i="21"/>
  <c r="N26" i="21"/>
  <c r="C12" i="21"/>
  <c r="C10" i="21"/>
  <c r="P12" i="21"/>
  <c r="B24" i="20"/>
  <c r="P14" i="21"/>
  <c r="P15" i="21"/>
  <c r="P16" i="21"/>
  <c r="N34" i="21"/>
  <c r="P19" i="21"/>
  <c r="P21" i="21"/>
  <c r="C19" i="21"/>
  <c r="H18" i="21"/>
  <c r="I18" i="21"/>
  <c r="R8" i="21"/>
  <c r="R9" i="21"/>
  <c r="R10" i="21"/>
  <c r="R11" i="21"/>
  <c r="R12" i="21"/>
  <c r="R14" i="21"/>
  <c r="R15" i="21"/>
  <c r="R16" i="21"/>
  <c r="N18" i="21"/>
  <c r="R18" i="21"/>
  <c r="R19" i="21"/>
  <c r="R21" i="21"/>
  <c r="Q8" i="21"/>
  <c r="Q9" i="21"/>
  <c r="Q10" i="21"/>
  <c r="Q11" i="21"/>
  <c r="Q12" i="21"/>
  <c r="Q14" i="21"/>
  <c r="Q15" i="21"/>
  <c r="Q16" i="21"/>
  <c r="Q18" i="21"/>
  <c r="Q19" i="21"/>
  <c r="Q21" i="21"/>
  <c r="O21" i="21"/>
  <c r="K18" i="21"/>
  <c r="K19" i="21"/>
  <c r="K10" i="21"/>
  <c r="K11" i="21"/>
  <c r="K12" i="21"/>
  <c r="K14" i="21"/>
  <c r="K15" i="21"/>
  <c r="K8" i="21"/>
  <c r="K9" i="21"/>
  <c r="K16" i="21"/>
  <c r="K21" i="21"/>
  <c r="J8" i="21"/>
  <c r="J9" i="21"/>
  <c r="J10" i="21"/>
  <c r="J11" i="21"/>
  <c r="J12" i="21"/>
  <c r="J14" i="21"/>
  <c r="J15" i="21"/>
  <c r="J16" i="21"/>
  <c r="J18" i="21"/>
  <c r="J19" i="21"/>
  <c r="J21" i="21"/>
  <c r="H21" i="21"/>
  <c r="D21" i="21"/>
  <c r="F21" i="21"/>
  <c r="G25" i="21"/>
  <c r="G28" i="21"/>
  <c r="N30" i="21"/>
  <c r="N19" i="21"/>
  <c r="G18" i="21"/>
  <c r="G17" i="15"/>
  <c r="G17" i="14"/>
  <c r="G19" i="21"/>
  <c r="C18" i="21"/>
  <c r="C16" i="21"/>
  <c r="G30" i="21"/>
  <c r="C8" i="21"/>
  <c r="C9" i="21"/>
  <c r="C11" i="21"/>
  <c r="C14" i="21"/>
  <c r="C15" i="21"/>
  <c r="D7" i="20"/>
  <c r="G31" i="15"/>
  <c r="S28" i="17"/>
  <c r="S27" i="17"/>
  <c r="S27" i="16"/>
  <c r="S8" i="13"/>
  <c r="S9" i="13"/>
  <c r="S10" i="13"/>
  <c r="S11" i="13"/>
  <c r="S12" i="13"/>
  <c r="S14" i="13"/>
  <c r="S15" i="13"/>
  <c r="S16" i="13"/>
  <c r="U18" i="13"/>
  <c r="S23" i="13"/>
  <c r="R18" i="13"/>
  <c r="S22" i="13"/>
  <c r="S26" i="13"/>
  <c r="G28" i="13"/>
  <c r="J8" i="13"/>
  <c r="K8" i="13"/>
  <c r="C8" i="13"/>
  <c r="L8" i="13"/>
  <c r="J9" i="13"/>
  <c r="K9" i="13"/>
  <c r="C9" i="13"/>
  <c r="L9" i="13"/>
  <c r="J10" i="13"/>
  <c r="K10" i="13"/>
  <c r="C10" i="13"/>
  <c r="L10" i="13"/>
  <c r="J11" i="13"/>
  <c r="K11" i="13"/>
  <c r="C11" i="13"/>
  <c r="L11" i="13"/>
  <c r="J12" i="13"/>
  <c r="K12" i="13"/>
  <c r="C12" i="13"/>
  <c r="L12" i="13"/>
  <c r="J14" i="13"/>
  <c r="K14" i="13"/>
  <c r="C14" i="13"/>
  <c r="L14" i="13"/>
  <c r="J15" i="13"/>
  <c r="K15" i="13"/>
  <c r="C15" i="13"/>
  <c r="L15" i="13"/>
  <c r="J16" i="13"/>
  <c r="K16" i="13"/>
  <c r="C16" i="13"/>
  <c r="L16" i="13"/>
  <c r="L18" i="13"/>
  <c r="S28" i="13"/>
  <c r="V8" i="13"/>
  <c r="V9" i="13"/>
  <c r="V10" i="13"/>
  <c r="V11" i="13"/>
  <c r="V12" i="13"/>
  <c r="V14" i="13"/>
  <c r="V15" i="13"/>
  <c r="V16" i="13"/>
  <c r="V18" i="13"/>
  <c r="S24" i="13"/>
  <c r="S27" i="13"/>
  <c r="G26" i="13"/>
  <c r="G27" i="13"/>
  <c r="G26" i="16"/>
  <c r="G27" i="16"/>
  <c r="G27" i="17"/>
  <c r="G28" i="17"/>
  <c r="S8" i="17"/>
  <c r="S9" i="17"/>
  <c r="S10" i="17"/>
  <c r="S11" i="17"/>
  <c r="S12" i="17"/>
  <c r="S14" i="17"/>
  <c r="S15" i="17"/>
  <c r="S16" i="17"/>
  <c r="R18" i="17"/>
  <c r="S22" i="17"/>
  <c r="F18" i="17"/>
  <c r="G22" i="17"/>
  <c r="G29" i="17"/>
  <c r="T18" i="17"/>
  <c r="S18" i="17"/>
  <c r="J8" i="17"/>
  <c r="K8" i="17"/>
  <c r="C8" i="17"/>
  <c r="L8" i="17"/>
  <c r="N8" i="17"/>
  <c r="J9" i="17"/>
  <c r="K9" i="17"/>
  <c r="C9" i="17"/>
  <c r="L9" i="17"/>
  <c r="N9" i="17"/>
  <c r="J10" i="17"/>
  <c r="K10" i="17"/>
  <c r="C10" i="17"/>
  <c r="L10" i="17"/>
  <c r="N10" i="17"/>
  <c r="J11" i="17"/>
  <c r="K11" i="17"/>
  <c r="C11" i="17"/>
  <c r="L11" i="17"/>
  <c r="N11" i="17"/>
  <c r="J12" i="17"/>
  <c r="K12" i="17"/>
  <c r="C12" i="17"/>
  <c r="L12" i="17"/>
  <c r="N12" i="17"/>
  <c r="J14" i="17"/>
  <c r="K14" i="17"/>
  <c r="C14" i="17"/>
  <c r="L14" i="17"/>
  <c r="N14" i="17"/>
  <c r="J15" i="17"/>
  <c r="K15" i="17"/>
  <c r="C15" i="17"/>
  <c r="L15" i="17"/>
  <c r="N15" i="17"/>
  <c r="J16" i="17"/>
  <c r="K16" i="17"/>
  <c r="C16" i="17"/>
  <c r="L16" i="17"/>
  <c r="N16" i="17"/>
  <c r="N18" i="17"/>
  <c r="L18" i="17"/>
  <c r="M8" i="17"/>
  <c r="M9" i="17"/>
  <c r="M10" i="17"/>
  <c r="M11" i="17"/>
  <c r="M12" i="17"/>
  <c r="M14" i="17"/>
  <c r="M15" i="17"/>
  <c r="M16" i="17"/>
  <c r="M18" i="17"/>
  <c r="K18" i="17"/>
  <c r="D18" i="17"/>
  <c r="R18" i="16"/>
  <c r="S22" i="16"/>
  <c r="S8" i="16"/>
  <c r="G28" i="16"/>
  <c r="J8" i="16"/>
  <c r="K8" i="16"/>
  <c r="C8" i="16"/>
  <c r="L8" i="16"/>
  <c r="J9" i="16"/>
  <c r="K9" i="16"/>
  <c r="C9" i="16"/>
  <c r="L9" i="16"/>
  <c r="J10" i="16"/>
  <c r="K10" i="16"/>
  <c r="C10" i="16"/>
  <c r="L10" i="16"/>
  <c r="J11" i="16"/>
  <c r="K11" i="16"/>
  <c r="C11" i="16"/>
  <c r="L11" i="16"/>
  <c r="J12" i="16"/>
  <c r="K12" i="16"/>
  <c r="C12" i="16"/>
  <c r="L12" i="16"/>
  <c r="J14" i="16"/>
  <c r="K14" i="16"/>
  <c r="C14" i="16"/>
  <c r="L14" i="16"/>
  <c r="J15" i="16"/>
  <c r="K15" i="16"/>
  <c r="C15" i="16"/>
  <c r="L15" i="16"/>
  <c r="J16" i="16"/>
  <c r="K16" i="16"/>
  <c r="C16" i="16"/>
  <c r="L16" i="16"/>
  <c r="L18" i="16"/>
  <c r="S9" i="16"/>
  <c r="S10" i="16"/>
  <c r="S11" i="16"/>
  <c r="S12" i="16"/>
  <c r="S14" i="16"/>
  <c r="S15" i="16"/>
  <c r="S16" i="16"/>
  <c r="F18" i="16"/>
  <c r="G22" i="16"/>
  <c r="T18" i="16"/>
  <c r="S18" i="16"/>
  <c r="N8" i="16"/>
  <c r="N9" i="16"/>
  <c r="N10" i="16"/>
  <c r="N11" i="16"/>
  <c r="N12" i="16"/>
  <c r="N14" i="16"/>
  <c r="N15" i="16"/>
  <c r="N16" i="16"/>
  <c r="N18" i="16"/>
  <c r="M8" i="16"/>
  <c r="M9" i="16"/>
  <c r="M10" i="16"/>
  <c r="M11" i="16"/>
  <c r="M12" i="16"/>
  <c r="M14" i="16"/>
  <c r="M15" i="16"/>
  <c r="M16" i="16"/>
  <c r="M18" i="16"/>
  <c r="K18" i="16"/>
  <c r="D18" i="16"/>
  <c r="W15" i="13"/>
  <c r="W14" i="13"/>
  <c r="W11" i="13"/>
  <c r="W10" i="13"/>
  <c r="W9" i="13"/>
  <c r="W8" i="13"/>
  <c r="W12" i="13"/>
  <c r="W16" i="13"/>
  <c r="T18" i="13"/>
  <c r="Y18" i="13"/>
  <c r="AB8" i="13"/>
  <c r="AB9" i="13"/>
  <c r="AB10" i="13"/>
  <c r="AB11" i="13"/>
  <c r="AB12" i="13"/>
  <c r="AB14" i="13"/>
  <c r="AB15" i="13"/>
  <c r="AB16" i="13"/>
  <c r="AB18" i="13"/>
  <c r="N8" i="13"/>
  <c r="N9" i="13"/>
  <c r="N10" i="13"/>
  <c r="N11" i="13"/>
  <c r="N12" i="13"/>
  <c r="N14" i="13"/>
  <c r="N15" i="13"/>
  <c r="N16" i="13"/>
  <c r="N18" i="13"/>
  <c r="S18" i="13"/>
  <c r="G24" i="15"/>
  <c r="F19" i="15"/>
  <c r="G23" i="15"/>
  <c r="G26" i="15"/>
  <c r="G27" i="15"/>
  <c r="G28" i="15"/>
  <c r="G8" i="15"/>
  <c r="H8" i="15"/>
  <c r="C8" i="15"/>
  <c r="I8" i="15"/>
  <c r="K8" i="15"/>
  <c r="G9" i="15"/>
  <c r="H9" i="15"/>
  <c r="C9" i="15"/>
  <c r="I9" i="15"/>
  <c r="K9" i="15"/>
  <c r="G10" i="15"/>
  <c r="H10" i="15"/>
  <c r="C10" i="15"/>
  <c r="I10" i="15"/>
  <c r="K10" i="15"/>
  <c r="G11" i="15"/>
  <c r="H11" i="15"/>
  <c r="C11" i="15"/>
  <c r="I11" i="15"/>
  <c r="K11" i="15"/>
  <c r="G12" i="15"/>
  <c r="H12" i="15"/>
  <c r="C12" i="15"/>
  <c r="I12" i="15"/>
  <c r="K12" i="15"/>
  <c r="G14" i="15"/>
  <c r="H14" i="15"/>
  <c r="C14" i="15"/>
  <c r="I14" i="15"/>
  <c r="K14" i="15"/>
  <c r="G15" i="15"/>
  <c r="H15" i="15"/>
  <c r="C15" i="15"/>
  <c r="I15" i="15"/>
  <c r="K15" i="15"/>
  <c r="H17" i="15"/>
  <c r="C17" i="15"/>
  <c r="I17" i="15"/>
  <c r="K17" i="15"/>
  <c r="K19" i="15"/>
  <c r="I19" i="15"/>
  <c r="J8" i="15"/>
  <c r="J9" i="15"/>
  <c r="J10" i="15"/>
  <c r="J11" i="15"/>
  <c r="J12" i="15"/>
  <c r="J14" i="15"/>
  <c r="J15" i="15"/>
  <c r="J17" i="15"/>
  <c r="J19" i="15"/>
  <c r="H19" i="15"/>
  <c r="D19" i="15"/>
  <c r="G27" i="14"/>
  <c r="G31" i="14"/>
  <c r="G24" i="14"/>
  <c r="H17" i="14"/>
  <c r="I17" i="14"/>
  <c r="K17" i="14"/>
  <c r="G8" i="14"/>
  <c r="H8" i="14"/>
  <c r="I8" i="14"/>
  <c r="G9" i="14"/>
  <c r="H9" i="14"/>
  <c r="I9" i="14"/>
  <c r="G10" i="14"/>
  <c r="H10" i="14"/>
  <c r="I10" i="14"/>
  <c r="G11" i="14"/>
  <c r="H11" i="14"/>
  <c r="I11" i="14"/>
  <c r="G12" i="14"/>
  <c r="H12" i="14"/>
  <c r="I12" i="14"/>
  <c r="G14" i="14"/>
  <c r="H14" i="14"/>
  <c r="I14" i="14"/>
  <c r="G15" i="14"/>
  <c r="H15" i="14"/>
  <c r="I15" i="14"/>
  <c r="I19" i="14"/>
  <c r="J17" i="14"/>
  <c r="C17" i="14"/>
  <c r="F19" i="14"/>
  <c r="H19" i="14"/>
  <c r="K8" i="14"/>
  <c r="K9" i="14"/>
  <c r="K10" i="14"/>
  <c r="K11" i="14"/>
  <c r="K12" i="14"/>
  <c r="K14" i="14"/>
  <c r="K15" i="14"/>
  <c r="K19" i="14"/>
  <c r="J8" i="14"/>
  <c r="J9" i="14"/>
  <c r="J10" i="14"/>
  <c r="J11" i="14"/>
  <c r="J12" i="14"/>
  <c r="J14" i="14"/>
  <c r="J15" i="14"/>
  <c r="J19" i="14"/>
  <c r="D19" i="14"/>
  <c r="G23" i="14"/>
  <c r="G26" i="14"/>
  <c r="G28" i="14"/>
  <c r="C8" i="14"/>
  <c r="C9" i="14"/>
  <c r="C10" i="14"/>
  <c r="C11" i="14"/>
  <c r="C12" i="14"/>
  <c r="C14" i="14"/>
  <c r="C15" i="14"/>
  <c r="M16" i="13"/>
  <c r="M8" i="13"/>
  <c r="M9" i="13"/>
  <c r="M10" i="13"/>
  <c r="M11" i="13"/>
  <c r="M12" i="13"/>
  <c r="M14" i="13"/>
  <c r="M15" i="13"/>
  <c r="M18" i="13"/>
  <c r="F18" i="13"/>
  <c r="D18" i="13"/>
  <c r="G22" i="13"/>
  <c r="K18" i="13"/>
  <c r="G25" i="12"/>
  <c r="G23" i="12"/>
  <c r="F17" i="12"/>
  <c r="G21" i="12"/>
  <c r="G24" i="12"/>
  <c r="J8" i="12"/>
  <c r="K8" i="12"/>
  <c r="C8" i="12"/>
  <c r="L8" i="12"/>
  <c r="N8" i="12"/>
  <c r="J9" i="12"/>
  <c r="K9" i="12"/>
  <c r="C9" i="12"/>
  <c r="L9" i="12"/>
  <c r="N9" i="12"/>
  <c r="J10" i="12"/>
  <c r="K10" i="12"/>
  <c r="C10" i="12"/>
  <c r="L10" i="12"/>
  <c r="N10" i="12"/>
  <c r="J11" i="12"/>
  <c r="K11" i="12"/>
  <c r="C11" i="12"/>
  <c r="L11" i="12"/>
  <c r="N11" i="12"/>
  <c r="J12" i="12"/>
  <c r="K12" i="12"/>
  <c r="C12" i="12"/>
  <c r="L12" i="12"/>
  <c r="N12" i="12"/>
  <c r="J14" i="12"/>
  <c r="K14" i="12"/>
  <c r="C14" i="12"/>
  <c r="L14" i="12"/>
  <c r="N14" i="12"/>
  <c r="J15" i="12"/>
  <c r="K15" i="12"/>
  <c r="C15" i="12"/>
  <c r="L15" i="12"/>
  <c r="N15" i="12"/>
  <c r="N17" i="12"/>
  <c r="L17" i="12"/>
  <c r="M8" i="12"/>
  <c r="M9" i="12"/>
  <c r="M10" i="12"/>
  <c r="M11" i="12"/>
  <c r="M12" i="12"/>
  <c r="M14" i="12"/>
  <c r="M15" i="12"/>
  <c r="M17" i="12"/>
  <c r="K17" i="12"/>
  <c r="D17" i="12"/>
  <c r="N25" i="11"/>
  <c r="N14" i="11"/>
  <c r="N16" i="11"/>
  <c r="O16" i="11"/>
  <c r="P16" i="11"/>
  <c r="N15" i="11"/>
  <c r="O15" i="11"/>
  <c r="P15" i="11"/>
  <c r="O14" i="11"/>
  <c r="P14" i="11"/>
  <c r="N12" i="11"/>
  <c r="O12" i="11"/>
  <c r="P12" i="11"/>
  <c r="N11" i="11"/>
  <c r="O11" i="11"/>
  <c r="P11" i="11"/>
  <c r="N10" i="11"/>
  <c r="O10" i="11"/>
  <c r="P10" i="11"/>
  <c r="N9" i="11"/>
  <c r="O9" i="11"/>
  <c r="P9" i="11"/>
  <c r="N8" i="11"/>
  <c r="O8" i="11"/>
  <c r="P8" i="11"/>
  <c r="P18" i="11"/>
  <c r="Q8" i="11"/>
  <c r="Q9" i="11"/>
  <c r="Q10" i="11"/>
  <c r="Q11" i="11"/>
  <c r="Q12" i="11"/>
  <c r="Q14" i="11"/>
  <c r="Q15" i="11"/>
  <c r="Q16" i="11"/>
  <c r="Q18" i="11"/>
  <c r="O18" i="11"/>
  <c r="R8" i="11"/>
  <c r="R9" i="11"/>
  <c r="R10" i="11"/>
  <c r="R11" i="11"/>
  <c r="R12" i="11"/>
  <c r="R14" i="11"/>
  <c r="R15" i="11"/>
  <c r="R16" i="11"/>
  <c r="R18" i="11"/>
  <c r="M18" i="11"/>
  <c r="J18" i="11"/>
  <c r="K18" i="11"/>
  <c r="I18" i="11"/>
  <c r="H18" i="11"/>
  <c r="F18" i="11"/>
  <c r="D18" i="11"/>
  <c r="G16" i="11"/>
  <c r="H16" i="11"/>
  <c r="C16" i="11"/>
  <c r="I16" i="11"/>
  <c r="J16" i="11"/>
  <c r="J8" i="11"/>
  <c r="J9" i="11"/>
  <c r="J10" i="11"/>
  <c r="J11" i="11"/>
  <c r="J12" i="11"/>
  <c r="J14" i="11"/>
  <c r="J15" i="11"/>
  <c r="K16" i="11"/>
  <c r="G25" i="11"/>
  <c r="G8" i="11"/>
  <c r="H8" i="11"/>
  <c r="C8" i="11"/>
  <c r="I8" i="11"/>
  <c r="G9" i="11"/>
  <c r="H9" i="11"/>
  <c r="C9" i="11"/>
  <c r="I9" i="11"/>
  <c r="G10" i="11"/>
  <c r="H10" i="11"/>
  <c r="C10" i="11"/>
  <c r="I10" i="11"/>
  <c r="G11" i="11"/>
  <c r="H11" i="11"/>
  <c r="C11" i="11"/>
  <c r="I11" i="11"/>
  <c r="G12" i="11"/>
  <c r="H12" i="11"/>
  <c r="C12" i="11"/>
  <c r="I12" i="11"/>
  <c r="G14" i="11"/>
  <c r="H14" i="11"/>
  <c r="C14" i="11"/>
  <c r="I14" i="11"/>
  <c r="G15" i="11"/>
  <c r="H15" i="11"/>
  <c r="C15" i="11"/>
  <c r="I15" i="11"/>
  <c r="N22" i="11"/>
  <c r="N24" i="11"/>
  <c r="N26" i="11"/>
  <c r="G22" i="11"/>
  <c r="G24" i="11"/>
  <c r="G26" i="11"/>
  <c r="K8" i="11"/>
  <c r="K9" i="11"/>
  <c r="K10" i="11"/>
  <c r="K11" i="11"/>
  <c r="K12" i="11"/>
  <c r="K14" i="11"/>
  <c r="K15" i="11"/>
  <c r="G24" i="10"/>
  <c r="G8" i="10"/>
  <c r="H8" i="10"/>
  <c r="C8" i="10"/>
  <c r="I8" i="10"/>
  <c r="G9" i="10"/>
  <c r="H9" i="10"/>
  <c r="C9" i="10"/>
  <c r="I9" i="10"/>
  <c r="G10" i="10"/>
  <c r="H10" i="10"/>
  <c r="C10" i="10"/>
  <c r="I10" i="10"/>
  <c r="G11" i="10"/>
  <c r="H11" i="10"/>
  <c r="C11" i="10"/>
  <c r="I11" i="10"/>
  <c r="G12" i="10"/>
  <c r="H12" i="10"/>
  <c r="C12" i="10"/>
  <c r="I12" i="10"/>
  <c r="G14" i="10"/>
  <c r="H14" i="10"/>
  <c r="C14" i="10"/>
  <c r="I14" i="10"/>
  <c r="G15" i="10"/>
  <c r="H15" i="10"/>
  <c r="C15" i="10"/>
  <c r="I15" i="10"/>
  <c r="I17" i="10"/>
  <c r="J8" i="10"/>
  <c r="J9" i="10"/>
  <c r="J10" i="10"/>
  <c r="J11" i="10"/>
  <c r="J12" i="10"/>
  <c r="J14" i="10"/>
  <c r="J15" i="10"/>
  <c r="J17" i="10"/>
  <c r="K15" i="10"/>
  <c r="K14" i="10"/>
  <c r="K12" i="10"/>
  <c r="K11" i="10"/>
  <c r="K10" i="10"/>
  <c r="K9" i="10"/>
  <c r="K8" i="10"/>
  <c r="F17" i="10"/>
  <c r="G21" i="10"/>
  <c r="G23" i="10"/>
  <c r="G25" i="10"/>
  <c r="K17" i="10"/>
  <c r="H17" i="10"/>
  <c r="D17" i="10"/>
  <c r="D35" i="24"/>
  <c r="E35" i="24"/>
  <c r="F35" i="24"/>
  <c r="G35" i="24"/>
  <c r="H35" i="24"/>
  <c r="I35" i="24"/>
  <c r="E96" i="24"/>
  <c r="E97" i="24"/>
  <c r="F96" i="24"/>
  <c r="F97" i="24"/>
  <c r="G96" i="24"/>
  <c r="G97" i="24"/>
  <c r="H96" i="24"/>
  <c r="H97" i="24"/>
  <c r="I96" i="24"/>
  <c r="I97" i="24"/>
  <c r="E61" i="24"/>
  <c r="F61" i="24"/>
  <c r="G61" i="24"/>
  <c r="H61" i="24"/>
  <c r="I61" i="24"/>
  <c r="D61" i="24"/>
  <c r="I98" i="24"/>
  <c r="H98" i="24"/>
  <c r="G98" i="24"/>
  <c r="F98" i="24"/>
  <c r="E98" i="24"/>
  <c r="D98" i="24"/>
  <c r="D65" i="20"/>
  <c r="D72" i="20"/>
  <c r="D78" i="20"/>
  <c r="D66" i="20"/>
  <c r="D76" i="20"/>
  <c r="D77" i="20"/>
  <c r="D80" i="20"/>
  <c r="D79" i="20"/>
  <c r="D67" i="20"/>
  <c r="D68" i="20"/>
  <c r="D55" i="20"/>
  <c r="D82" i="20"/>
  <c r="D83" i="20"/>
  <c r="E65" i="20"/>
  <c r="E72" i="20"/>
  <c r="E78" i="20"/>
  <c r="E66" i="20"/>
  <c r="E76" i="20"/>
  <c r="E77" i="20"/>
  <c r="E80" i="20"/>
  <c r="E79" i="20"/>
  <c r="E67" i="20"/>
  <c r="E68" i="20"/>
  <c r="E55" i="20"/>
  <c r="E82" i="20"/>
  <c r="E83" i="20"/>
  <c r="F95" i="20"/>
  <c r="F65" i="20"/>
  <c r="F66" i="20"/>
  <c r="F67" i="20"/>
  <c r="F72" i="20"/>
  <c r="F78" i="20"/>
  <c r="F76" i="20"/>
  <c r="F77" i="20"/>
  <c r="F80" i="20"/>
  <c r="F79" i="20"/>
  <c r="F68" i="20"/>
  <c r="F55" i="20"/>
  <c r="F82" i="20"/>
  <c r="F83" i="20"/>
  <c r="G95" i="20"/>
  <c r="G65" i="20"/>
  <c r="G66" i="20"/>
  <c r="G67" i="20"/>
  <c r="G72" i="20"/>
  <c r="G78" i="20"/>
  <c r="G76" i="20"/>
  <c r="G77" i="20"/>
  <c r="G80" i="20"/>
  <c r="G79" i="20"/>
  <c r="G68" i="20"/>
  <c r="G55" i="20"/>
  <c r="G82" i="20"/>
  <c r="G83" i="20"/>
  <c r="H65" i="20"/>
  <c r="H66" i="20"/>
  <c r="H67" i="20"/>
  <c r="H72" i="20"/>
  <c r="H78" i="20"/>
  <c r="H76" i="20"/>
  <c r="H77" i="20"/>
  <c r="H80" i="20"/>
  <c r="H79" i="20"/>
  <c r="H68" i="20"/>
  <c r="H55" i="20"/>
  <c r="H82" i="20"/>
  <c r="H83" i="20"/>
  <c r="D11" i="20"/>
  <c r="D56" i="20"/>
  <c r="E56" i="20"/>
  <c r="F56" i="20"/>
  <c r="G56" i="20"/>
  <c r="H56" i="20"/>
  <c r="D69" i="20"/>
  <c r="E69" i="20"/>
  <c r="F69" i="20"/>
  <c r="G69" i="20"/>
  <c r="H69" i="20"/>
  <c r="D73" i="20"/>
  <c r="E73" i="20"/>
  <c r="F73" i="20"/>
  <c r="G73" i="20"/>
  <c r="H73" i="20"/>
  <c r="D74" i="20"/>
  <c r="E74" i="20"/>
  <c r="F74" i="20"/>
  <c r="G74" i="20"/>
  <c r="H74" i="20"/>
  <c r="D86" i="20"/>
  <c r="E86" i="20"/>
  <c r="F86" i="20"/>
  <c r="G86" i="20"/>
  <c r="H86" i="20"/>
  <c r="D87" i="20"/>
  <c r="E87" i="20"/>
  <c r="F87" i="20"/>
  <c r="G87" i="20"/>
  <c r="H87" i="20"/>
  <c r="D88" i="20"/>
  <c r="E88" i="20"/>
  <c r="F88" i="20"/>
  <c r="G88" i="20"/>
  <c r="H88" i="20"/>
  <c r="D89" i="20"/>
  <c r="E89" i="20"/>
  <c r="F89" i="20"/>
  <c r="G89" i="20"/>
  <c r="H89" i="20"/>
  <c r="D95" i="20"/>
  <c r="E95" i="20"/>
  <c r="D100" i="20"/>
  <c r="E100" i="20"/>
  <c r="F100" i="20"/>
  <c r="G100" i="20"/>
  <c r="H100" i="20"/>
  <c r="D101" i="20"/>
  <c r="E101" i="20"/>
  <c r="F101" i="20"/>
  <c r="G101" i="20"/>
  <c r="H101" i="20"/>
  <c r="D102" i="20"/>
  <c r="E102" i="20"/>
  <c r="F102" i="20"/>
  <c r="G102" i="20"/>
  <c r="H102" i="20"/>
  <c r="D103" i="20"/>
  <c r="E103" i="20"/>
  <c r="F103" i="20"/>
  <c r="G103" i="20"/>
  <c r="H103" i="20"/>
  <c r="D104" i="20"/>
  <c r="E104" i="20"/>
  <c r="F104" i="20"/>
  <c r="G104" i="20"/>
  <c r="H104" i="20"/>
  <c r="D105" i="20"/>
  <c r="E105" i="20"/>
  <c r="F105" i="20"/>
  <c r="G105" i="20"/>
  <c r="H105" i="20"/>
  <c r="D106" i="20"/>
  <c r="E106" i="20"/>
  <c r="F106" i="20"/>
  <c r="G106" i="20"/>
  <c r="H106" i="20"/>
  <c r="D107" i="20"/>
  <c r="E107" i="20"/>
  <c r="F107" i="20"/>
  <c r="G107" i="20"/>
  <c r="H107" i="20"/>
  <c r="D108" i="20"/>
  <c r="E108" i="20"/>
  <c r="F108" i="20"/>
  <c r="G108" i="20"/>
  <c r="H108" i="20"/>
  <c r="D113" i="20"/>
  <c r="E113" i="20"/>
  <c r="F113" i="20"/>
  <c r="G113" i="20"/>
  <c r="H113" i="20"/>
  <c r="D114" i="20"/>
  <c r="E114" i="20"/>
  <c r="F114" i="20"/>
  <c r="G114" i="20"/>
  <c r="H114" i="20"/>
  <c r="D115" i="20"/>
  <c r="E115" i="20"/>
  <c r="F115" i="20"/>
  <c r="G115" i="20"/>
  <c r="H115" i="20"/>
  <c r="D116" i="20"/>
  <c r="E116" i="20"/>
  <c r="F116" i="20"/>
  <c r="G116" i="20"/>
  <c r="H116" i="20"/>
  <c r="D117" i="20"/>
  <c r="E117" i="20"/>
  <c r="F117" i="20"/>
  <c r="G117" i="20"/>
  <c r="H117" i="20"/>
  <c r="D118" i="20"/>
  <c r="E118" i="20"/>
  <c r="F118" i="20"/>
  <c r="G118" i="20"/>
  <c r="H118" i="20"/>
  <c r="D119" i="20"/>
  <c r="E119" i="20"/>
  <c r="F119" i="20"/>
  <c r="G119" i="20"/>
  <c r="H119" i="20"/>
  <c r="D120" i="20"/>
  <c r="E120" i="20"/>
  <c r="F120" i="20"/>
  <c r="G120" i="20"/>
  <c r="H120" i="20"/>
  <c r="D121" i="20"/>
  <c r="E121" i="20"/>
  <c r="F121" i="20"/>
  <c r="G121" i="20"/>
  <c r="H121" i="20"/>
  <c r="W8" i="27"/>
  <c r="W9" i="27"/>
  <c r="W10" i="27"/>
  <c r="W11" i="27"/>
  <c r="W12" i="27"/>
  <c r="W14" i="27"/>
  <c r="W15" i="27"/>
  <c r="W16" i="27"/>
  <c r="S37" i="27"/>
  <c r="Y19" i="27"/>
  <c r="Z19" i="27"/>
  <c r="Z21" i="27"/>
  <c r="AA8" i="27"/>
  <c r="AB8" i="27"/>
  <c r="AC21" i="27"/>
  <c r="AD8" i="27"/>
  <c r="AA9" i="27"/>
  <c r="AB9" i="27"/>
  <c r="AD9" i="27"/>
  <c r="AA10" i="27"/>
  <c r="AB10" i="27"/>
  <c r="AD10" i="27"/>
  <c r="AA11" i="27"/>
  <c r="AB11" i="27"/>
  <c r="AD11" i="27"/>
  <c r="AA12" i="27"/>
  <c r="AB12" i="27"/>
  <c r="AD12" i="27"/>
  <c r="AA14" i="27"/>
  <c r="AB14" i="27"/>
  <c r="AD14" i="27"/>
  <c r="AA15" i="27"/>
  <c r="AB15" i="27"/>
  <c r="AD15" i="27"/>
  <c r="AA16" i="27"/>
  <c r="AB16" i="27"/>
  <c r="AD16" i="27"/>
  <c r="W18" i="27"/>
  <c r="AA18" i="27"/>
  <c r="AB18" i="27"/>
  <c r="AD18" i="27"/>
  <c r="W19" i="27"/>
  <c r="AA19" i="27"/>
  <c r="AB19" i="27"/>
  <c r="AD19" i="27"/>
  <c r="Y21" i="27"/>
  <c r="AA21" i="27"/>
  <c r="AB21" i="27"/>
  <c r="AD21" i="27"/>
  <c r="S43" i="27"/>
  <c r="V8" i="17"/>
  <c r="V9" i="17"/>
  <c r="V10" i="17"/>
  <c r="V11" i="17"/>
  <c r="V12" i="17"/>
  <c r="V14" i="17"/>
  <c r="V15" i="17"/>
  <c r="V16" i="17"/>
  <c r="V18" i="17"/>
  <c r="S24" i="17"/>
  <c r="S25" i="17"/>
  <c r="S29" i="17"/>
  <c r="W15" i="17"/>
  <c r="X15" i="17"/>
  <c r="X19" i="17"/>
  <c r="W8" i="17"/>
  <c r="Y8" i="17"/>
  <c r="Z8" i="17"/>
  <c r="AC8" i="17"/>
  <c r="W9" i="17"/>
  <c r="Y9" i="17"/>
  <c r="Z9" i="17"/>
  <c r="AC9" i="17"/>
  <c r="W10" i="17"/>
  <c r="Y10" i="17"/>
  <c r="Z10" i="17"/>
  <c r="AC10" i="17"/>
  <c r="W11" i="17"/>
  <c r="Y11" i="17"/>
  <c r="Z11" i="17"/>
  <c r="AC11" i="17"/>
  <c r="W12" i="17"/>
  <c r="Y12" i="17"/>
  <c r="Z12" i="17"/>
  <c r="AC12" i="17"/>
  <c r="W14" i="17"/>
  <c r="X14" i="17"/>
  <c r="Y14" i="17"/>
  <c r="Z14" i="17"/>
  <c r="AC14" i="17"/>
  <c r="Y15" i="17"/>
  <c r="Z15" i="17"/>
  <c r="AC15" i="17"/>
  <c r="W16" i="17"/>
  <c r="Y16" i="17"/>
  <c r="Z16" i="17"/>
  <c r="AC16" i="17"/>
  <c r="AC18" i="17"/>
  <c r="AD8" i="17"/>
  <c r="AD9" i="17"/>
  <c r="AD10" i="17"/>
  <c r="AD11" i="17"/>
  <c r="AD12" i="17"/>
  <c r="AD14" i="17"/>
  <c r="AD15" i="17"/>
  <c r="AD16" i="17"/>
  <c r="AD18" i="17"/>
  <c r="AB8" i="17"/>
  <c r="AB9" i="17"/>
  <c r="AB10" i="17"/>
  <c r="AB11" i="17"/>
  <c r="AB12" i="17"/>
  <c r="AB14" i="17"/>
  <c r="AB15" i="17"/>
  <c r="AB16" i="17"/>
  <c r="AB18" i="17"/>
  <c r="Z18" i="17"/>
  <c r="AA8" i="17"/>
  <c r="AA9" i="17"/>
  <c r="AA10" i="17"/>
  <c r="AA11" i="17"/>
  <c r="AA12" i="17"/>
  <c r="AA14" i="17"/>
  <c r="AA15" i="17"/>
  <c r="AA16" i="17"/>
  <c r="AA18" i="17"/>
  <c r="Y18" i="17"/>
  <c r="V8" i="16"/>
  <c r="V9" i="16"/>
  <c r="V10" i="16"/>
  <c r="V11" i="16"/>
  <c r="V12" i="16"/>
  <c r="V14" i="16"/>
  <c r="V15" i="16"/>
  <c r="V16" i="16"/>
  <c r="V18" i="16"/>
  <c r="S24" i="16"/>
  <c r="S25" i="16"/>
  <c r="S28" i="16"/>
  <c r="W8" i="16"/>
  <c r="Y8" i="16"/>
  <c r="Z8" i="16"/>
  <c r="AC8" i="16"/>
  <c r="W9" i="16"/>
  <c r="Y9" i="16"/>
  <c r="Z9" i="16"/>
  <c r="AC9" i="16"/>
  <c r="W10" i="16"/>
  <c r="Y10" i="16"/>
  <c r="Z10" i="16"/>
  <c r="AC10" i="16"/>
  <c r="W11" i="16"/>
  <c r="Y11" i="16"/>
  <c r="Z11" i="16"/>
  <c r="AC11" i="16"/>
  <c r="W12" i="16"/>
  <c r="Y12" i="16"/>
  <c r="Z12" i="16"/>
  <c r="AC12" i="16"/>
  <c r="W14" i="16"/>
  <c r="X14" i="16"/>
  <c r="Y14" i="16"/>
  <c r="Z14" i="16"/>
  <c r="AC14" i="16"/>
  <c r="W15" i="16"/>
  <c r="X15" i="16"/>
  <c r="Y15" i="16"/>
  <c r="Z15" i="16"/>
  <c r="AC15" i="16"/>
  <c r="W16" i="16"/>
  <c r="Y16" i="16"/>
  <c r="Z16" i="16"/>
  <c r="AC16" i="16"/>
  <c r="AC18" i="16"/>
  <c r="AD8" i="16"/>
  <c r="AD9" i="16"/>
  <c r="AD10" i="16"/>
  <c r="AD11" i="16"/>
  <c r="AD12" i="16"/>
  <c r="AD14" i="16"/>
  <c r="AD15" i="16"/>
  <c r="AD16" i="16"/>
  <c r="AD18" i="16"/>
  <c r="AB8" i="16"/>
  <c r="AB9" i="16"/>
  <c r="AB10" i="16"/>
  <c r="AB11" i="16"/>
  <c r="AB12" i="16"/>
  <c r="AB14" i="16"/>
  <c r="AB15" i="16"/>
  <c r="AB16" i="16"/>
  <c r="AB18" i="16"/>
  <c r="Z18" i="16"/>
  <c r="AA8" i="16"/>
  <c r="AA9" i="16"/>
  <c r="AA10" i="16"/>
  <c r="AA11" i="16"/>
  <c r="AA12" i="16"/>
  <c r="AA14" i="16"/>
  <c r="AA15" i="16"/>
  <c r="AA16" i="16"/>
  <c r="AA18" i="16"/>
  <c r="Y18" i="16"/>
  <c r="ES28" i="29"/>
  <c r="EQ28" i="29"/>
  <c r="EQ29" i="29"/>
  <c r="AS28" i="29"/>
  <c r="ER28" i="29"/>
  <c r="ER29" i="29"/>
  <c r="ES29" i="29"/>
  <c r="AT34" i="29"/>
  <c r="ES34" i="29"/>
  <c r="AR34" i="29"/>
  <c r="AR36" i="29"/>
  <c r="AS34" i="29"/>
  <c r="AS36" i="29"/>
  <c r="AT36" i="29"/>
  <c r="EQ34" i="29"/>
  <c r="EQ36" i="29"/>
  <c r="ER34" i="29"/>
  <c r="ER36" i="29"/>
  <c r="ES36" i="29"/>
  <c r="AR39" i="29"/>
  <c r="AS39" i="29"/>
  <c r="AT39" i="29"/>
  <c r="AT54" i="29"/>
  <c r="ES54" i="29"/>
  <c r="AR54" i="29"/>
  <c r="AR55" i="29"/>
  <c r="AS54" i="29"/>
  <c r="AS55" i="29"/>
  <c r="AT55" i="29"/>
  <c r="EQ54" i="29"/>
  <c r="EQ55" i="29"/>
  <c r="ER54" i="29"/>
  <c r="ER55" i="29"/>
  <c r="ES55" i="29"/>
  <c r="AS29" i="29"/>
  <c r="AM68" i="29"/>
  <c r="AT29" i="29"/>
  <c r="AR29" i="29"/>
  <c r="AM67" i="29"/>
  <c r="AM66" i="29"/>
  <c r="EI40" i="29"/>
  <c r="EH40" i="29"/>
  <c r="EF40" i="29"/>
  <c r="ED40" i="29"/>
  <c r="EB40" i="29"/>
  <c r="EA40" i="29"/>
  <c r="DN40" i="29"/>
  <c r="DM40" i="29"/>
  <c r="DK40" i="29"/>
  <c r="DI40" i="29"/>
  <c r="DG40" i="29"/>
  <c r="DF40" i="29"/>
  <c r="CS40" i="29"/>
  <c r="CR40" i="29"/>
  <c r="CP40" i="29"/>
  <c r="CL40" i="29"/>
  <c r="CK40" i="29"/>
  <c r="BX40" i="29"/>
  <c r="BW40" i="29"/>
  <c r="BU40" i="29"/>
  <c r="BS40" i="29"/>
  <c r="BQ40" i="29"/>
  <c r="BP40" i="29"/>
  <c r="BC40" i="29"/>
  <c r="BB40" i="29"/>
  <c r="AZ40" i="29"/>
  <c r="AX40" i="29"/>
  <c r="AV40" i="29"/>
  <c r="AU40" i="29"/>
  <c r="R73" i="29"/>
  <c r="R85" i="29"/>
  <c r="R86" i="29"/>
  <c r="AB28" i="29"/>
  <c r="AD28" i="29"/>
  <c r="AW27" i="29"/>
  <c r="AE28" i="29"/>
  <c r="AE29" i="29"/>
  <c r="AM61" i="29"/>
  <c r="AM62" i="29"/>
  <c r="AM85" i="29"/>
  <c r="AM86" i="29"/>
  <c r="AW28" i="29"/>
  <c r="AY28" i="29"/>
  <c r="BR27" i="29"/>
  <c r="AU6" i="29"/>
  <c r="AV6" i="29"/>
  <c r="AX6" i="29"/>
  <c r="AZ6" i="29"/>
  <c r="AU8" i="29"/>
  <c r="AV8" i="29"/>
  <c r="AX8" i="29"/>
  <c r="AZ8" i="29"/>
  <c r="AU9" i="29"/>
  <c r="AV9" i="29"/>
  <c r="AX9" i="29"/>
  <c r="AZ9" i="29"/>
  <c r="AU10" i="29"/>
  <c r="AV10" i="29"/>
  <c r="AX10" i="29"/>
  <c r="AZ10" i="29"/>
  <c r="AU11" i="29"/>
  <c r="AV11" i="29"/>
  <c r="AX11" i="29"/>
  <c r="AZ11" i="29"/>
  <c r="AU12" i="29"/>
  <c r="AV12" i="29"/>
  <c r="AX12" i="29"/>
  <c r="AZ12" i="29"/>
  <c r="AU13" i="29"/>
  <c r="AV13" i="29"/>
  <c r="AX13" i="29"/>
  <c r="AZ13" i="29"/>
  <c r="AU14" i="29"/>
  <c r="AV14" i="29"/>
  <c r="AX14" i="29"/>
  <c r="AZ14" i="29"/>
  <c r="AU15" i="29"/>
  <c r="AV15" i="29"/>
  <c r="AX15" i="29"/>
  <c r="AZ15" i="29"/>
  <c r="AU16" i="29"/>
  <c r="AV16" i="29"/>
  <c r="AX16" i="29"/>
  <c r="AZ16" i="29"/>
  <c r="AU17" i="29"/>
  <c r="AV17" i="29"/>
  <c r="AX17" i="29"/>
  <c r="AZ17" i="29"/>
  <c r="AU18" i="29"/>
  <c r="AV18" i="29"/>
  <c r="AX18" i="29"/>
  <c r="AZ18" i="29"/>
  <c r="AU19" i="29"/>
  <c r="AV19" i="29"/>
  <c r="AX19" i="29"/>
  <c r="AZ19" i="29"/>
  <c r="AU20" i="29"/>
  <c r="AV20" i="29"/>
  <c r="AX20" i="29"/>
  <c r="AZ20" i="29"/>
  <c r="AU21" i="29"/>
  <c r="AV21" i="29"/>
  <c r="AX21" i="29"/>
  <c r="AZ21" i="29"/>
  <c r="AU22" i="29"/>
  <c r="AV22" i="29"/>
  <c r="AX22" i="29"/>
  <c r="AZ22" i="29"/>
  <c r="AU23" i="29"/>
  <c r="AV23" i="29"/>
  <c r="AX23" i="29"/>
  <c r="AZ23" i="29"/>
  <c r="AU24" i="29"/>
  <c r="AV24" i="29"/>
  <c r="AX24" i="29"/>
  <c r="AZ24" i="29"/>
  <c r="AU25" i="29"/>
  <c r="AV25" i="29"/>
  <c r="AX25" i="29"/>
  <c r="AZ25" i="29"/>
  <c r="AU26" i="29"/>
  <c r="AV26" i="29"/>
  <c r="AX26" i="29"/>
  <c r="AZ26" i="29"/>
  <c r="AY27" i="29"/>
  <c r="AU27" i="29"/>
  <c r="AV27" i="29"/>
  <c r="AX27" i="29"/>
  <c r="AZ27" i="29"/>
  <c r="AU28" i="29"/>
  <c r="AV28" i="29"/>
  <c r="AX28" i="29"/>
  <c r="AZ28" i="29"/>
  <c r="AZ29" i="29"/>
  <c r="BH61" i="29"/>
  <c r="BH62" i="29"/>
  <c r="BH85" i="29"/>
  <c r="BH86" i="29"/>
  <c r="BR28" i="29"/>
  <c r="BT28" i="29"/>
  <c r="CM27" i="29"/>
  <c r="BP6" i="29"/>
  <c r="BQ6" i="29"/>
  <c r="BS6" i="29"/>
  <c r="BU6" i="29"/>
  <c r="BP8" i="29"/>
  <c r="BQ8" i="29"/>
  <c r="BS8" i="29"/>
  <c r="BU8" i="29"/>
  <c r="BP9" i="29"/>
  <c r="BQ9" i="29"/>
  <c r="BS9" i="29"/>
  <c r="BU9" i="29"/>
  <c r="BP10" i="29"/>
  <c r="BQ10" i="29"/>
  <c r="BS10" i="29"/>
  <c r="BU10" i="29"/>
  <c r="BP11" i="29"/>
  <c r="BQ11" i="29"/>
  <c r="BS11" i="29"/>
  <c r="BU11" i="29"/>
  <c r="BP12" i="29"/>
  <c r="BQ12" i="29"/>
  <c r="BS12" i="29"/>
  <c r="BU12" i="29"/>
  <c r="BP13" i="29"/>
  <c r="BQ13" i="29"/>
  <c r="BS13" i="29"/>
  <c r="BU13" i="29"/>
  <c r="BP14" i="29"/>
  <c r="BQ14" i="29"/>
  <c r="BS14" i="29"/>
  <c r="BU14" i="29"/>
  <c r="BP15" i="29"/>
  <c r="BQ15" i="29"/>
  <c r="BS15" i="29"/>
  <c r="BU15" i="29"/>
  <c r="BP16" i="29"/>
  <c r="BQ16" i="29"/>
  <c r="BS16" i="29"/>
  <c r="BU16" i="29"/>
  <c r="BP17" i="29"/>
  <c r="BQ17" i="29"/>
  <c r="BS17" i="29"/>
  <c r="BU17" i="29"/>
  <c r="BP18" i="29"/>
  <c r="BQ18" i="29"/>
  <c r="BS18" i="29"/>
  <c r="BU18" i="29"/>
  <c r="BP19" i="29"/>
  <c r="BQ19" i="29"/>
  <c r="BS19" i="29"/>
  <c r="BU19" i="29"/>
  <c r="BP20" i="29"/>
  <c r="BQ20" i="29"/>
  <c r="BS20" i="29"/>
  <c r="BU20" i="29"/>
  <c r="BP21" i="29"/>
  <c r="BQ21" i="29"/>
  <c r="BS21" i="29"/>
  <c r="BU21" i="29"/>
  <c r="BP22" i="29"/>
  <c r="BQ22" i="29"/>
  <c r="BS22" i="29"/>
  <c r="BU22" i="29"/>
  <c r="BP23" i="29"/>
  <c r="BQ23" i="29"/>
  <c r="BS23" i="29"/>
  <c r="BU23" i="29"/>
  <c r="BP24" i="29"/>
  <c r="BQ24" i="29"/>
  <c r="BS24" i="29"/>
  <c r="BU24" i="29"/>
  <c r="BP25" i="29"/>
  <c r="BQ25" i="29"/>
  <c r="BS25" i="29"/>
  <c r="BU25" i="29"/>
  <c r="BP26" i="29"/>
  <c r="BQ26" i="29"/>
  <c r="BS26" i="29"/>
  <c r="BU26" i="29"/>
  <c r="BT27" i="29"/>
  <c r="BP27" i="29"/>
  <c r="BQ27" i="29"/>
  <c r="BS27" i="29"/>
  <c r="BU27" i="29"/>
  <c r="BP28" i="29"/>
  <c r="BQ28" i="29"/>
  <c r="BS28" i="29"/>
  <c r="BU28" i="29"/>
  <c r="BU29" i="29"/>
  <c r="CC61" i="29"/>
  <c r="CC62" i="29"/>
  <c r="CC85" i="29"/>
  <c r="CC86" i="29"/>
  <c r="CM28" i="29"/>
  <c r="CO28" i="29"/>
  <c r="DH27" i="29"/>
  <c r="CK6" i="29"/>
  <c r="CL6" i="29"/>
  <c r="CN6" i="29"/>
  <c r="CP6" i="29"/>
  <c r="CK8" i="29"/>
  <c r="CL8" i="29"/>
  <c r="CN8" i="29"/>
  <c r="CP8" i="29"/>
  <c r="CK9" i="29"/>
  <c r="CL9" i="29"/>
  <c r="CN9" i="29"/>
  <c r="CP9" i="29"/>
  <c r="CK10" i="29"/>
  <c r="CL10" i="29"/>
  <c r="CN10" i="29"/>
  <c r="CP10" i="29"/>
  <c r="CK11" i="29"/>
  <c r="CL11" i="29"/>
  <c r="CN11" i="29"/>
  <c r="CP11" i="29"/>
  <c r="CK12" i="29"/>
  <c r="CL12" i="29"/>
  <c r="CN12" i="29"/>
  <c r="CP12" i="29"/>
  <c r="CK13" i="29"/>
  <c r="CL13" i="29"/>
  <c r="CN13" i="29"/>
  <c r="CP13" i="29"/>
  <c r="CK14" i="29"/>
  <c r="CL14" i="29"/>
  <c r="CN14" i="29"/>
  <c r="CP14" i="29"/>
  <c r="CK15" i="29"/>
  <c r="CL15" i="29"/>
  <c r="CN15" i="29"/>
  <c r="CP15" i="29"/>
  <c r="CK16" i="29"/>
  <c r="CL16" i="29"/>
  <c r="CN16" i="29"/>
  <c r="CP16" i="29"/>
  <c r="CK17" i="29"/>
  <c r="CL17" i="29"/>
  <c r="CN17" i="29"/>
  <c r="CP17" i="29"/>
  <c r="CK18" i="29"/>
  <c r="CL18" i="29"/>
  <c r="CN18" i="29"/>
  <c r="CP18" i="29"/>
  <c r="CK19" i="29"/>
  <c r="CL19" i="29"/>
  <c r="CN19" i="29"/>
  <c r="CP19" i="29"/>
  <c r="CK20" i="29"/>
  <c r="CL20" i="29"/>
  <c r="CN20" i="29"/>
  <c r="CP20" i="29"/>
  <c r="CK21" i="29"/>
  <c r="CL21" i="29"/>
  <c r="CN21" i="29"/>
  <c r="CP21" i="29"/>
  <c r="CK22" i="29"/>
  <c r="CL22" i="29"/>
  <c r="CN22" i="29"/>
  <c r="CP22" i="29"/>
  <c r="CK23" i="29"/>
  <c r="CL23" i="29"/>
  <c r="CN23" i="29"/>
  <c r="CP23" i="29"/>
  <c r="CK24" i="29"/>
  <c r="CL24" i="29"/>
  <c r="CN24" i="29"/>
  <c r="CP24" i="29"/>
  <c r="CK25" i="29"/>
  <c r="CL25" i="29"/>
  <c r="CN25" i="29"/>
  <c r="CP25" i="29"/>
  <c r="CK26" i="29"/>
  <c r="CL26" i="29"/>
  <c r="CN26" i="29"/>
  <c r="CP26" i="29"/>
  <c r="CO27" i="29"/>
  <c r="CK27" i="29"/>
  <c r="CL27" i="29"/>
  <c r="CN27" i="29"/>
  <c r="CP27" i="29"/>
  <c r="CK28" i="29"/>
  <c r="CL28" i="29"/>
  <c r="CN28" i="29"/>
  <c r="CP28" i="29"/>
  <c r="CP29" i="29"/>
  <c r="CX61" i="29"/>
  <c r="CX62" i="29"/>
  <c r="CX85" i="29"/>
  <c r="CX86" i="29"/>
  <c r="DH28" i="29"/>
  <c r="DJ28" i="29"/>
  <c r="DF28" i="29"/>
  <c r="DG28" i="29"/>
  <c r="DI28" i="29"/>
  <c r="DK28" i="29"/>
  <c r="DF6" i="29"/>
  <c r="DG6" i="29"/>
  <c r="DI6" i="29"/>
  <c r="DK6" i="29"/>
  <c r="DF8" i="29"/>
  <c r="DG8" i="29"/>
  <c r="DI8" i="29"/>
  <c r="DK8" i="29"/>
  <c r="DF9" i="29"/>
  <c r="DG9" i="29"/>
  <c r="DI9" i="29"/>
  <c r="DK9" i="29"/>
  <c r="DF10" i="29"/>
  <c r="DG10" i="29"/>
  <c r="DI10" i="29"/>
  <c r="DK10" i="29"/>
  <c r="DF11" i="29"/>
  <c r="DG11" i="29"/>
  <c r="DI11" i="29"/>
  <c r="DK11" i="29"/>
  <c r="DF12" i="29"/>
  <c r="DG12" i="29"/>
  <c r="DI12" i="29"/>
  <c r="DK12" i="29"/>
  <c r="DF13" i="29"/>
  <c r="DG13" i="29"/>
  <c r="DI13" i="29"/>
  <c r="DK13" i="29"/>
  <c r="DF14" i="29"/>
  <c r="DG14" i="29"/>
  <c r="DI14" i="29"/>
  <c r="DK14" i="29"/>
  <c r="DF15" i="29"/>
  <c r="DG15" i="29"/>
  <c r="DI15" i="29"/>
  <c r="DK15" i="29"/>
  <c r="DF16" i="29"/>
  <c r="DG16" i="29"/>
  <c r="DI16" i="29"/>
  <c r="DK16" i="29"/>
  <c r="DF17" i="29"/>
  <c r="DG17" i="29"/>
  <c r="DI17" i="29"/>
  <c r="DK17" i="29"/>
  <c r="DF18" i="29"/>
  <c r="DG18" i="29"/>
  <c r="DI18" i="29"/>
  <c r="DK18" i="29"/>
  <c r="DF19" i="29"/>
  <c r="DG19" i="29"/>
  <c r="DI19" i="29"/>
  <c r="DK19" i="29"/>
  <c r="DF20" i="29"/>
  <c r="DG20" i="29"/>
  <c r="DI20" i="29"/>
  <c r="DK20" i="29"/>
  <c r="DF21" i="29"/>
  <c r="DG21" i="29"/>
  <c r="DI21" i="29"/>
  <c r="DK21" i="29"/>
  <c r="DF22" i="29"/>
  <c r="DG22" i="29"/>
  <c r="DI22" i="29"/>
  <c r="DK22" i="29"/>
  <c r="DF23" i="29"/>
  <c r="DG23" i="29"/>
  <c r="DI23" i="29"/>
  <c r="DK23" i="29"/>
  <c r="DF24" i="29"/>
  <c r="DG24" i="29"/>
  <c r="DI24" i="29"/>
  <c r="DK24" i="29"/>
  <c r="DF25" i="29"/>
  <c r="DG25" i="29"/>
  <c r="DI25" i="29"/>
  <c r="DK25" i="29"/>
  <c r="DF26" i="29"/>
  <c r="DG26" i="29"/>
  <c r="DI26" i="29"/>
  <c r="DK26" i="29"/>
  <c r="DJ27" i="29"/>
  <c r="DF27" i="29"/>
  <c r="DG27" i="29"/>
  <c r="DI27" i="29"/>
  <c r="DK27" i="29"/>
  <c r="DK29" i="29"/>
  <c r="CX88" i="29"/>
  <c r="BH88" i="29"/>
  <c r="R88" i="29"/>
  <c r="DS61" i="29"/>
  <c r="DS62" i="29"/>
  <c r="EA6" i="29"/>
  <c r="EB6" i="29"/>
  <c r="ED6" i="29"/>
  <c r="EF6" i="29"/>
  <c r="EA8" i="29"/>
  <c r="EB8" i="29"/>
  <c r="ED8" i="29"/>
  <c r="EF8" i="29"/>
  <c r="EA9" i="29"/>
  <c r="EB9" i="29"/>
  <c r="ED9" i="29"/>
  <c r="EF9" i="29"/>
  <c r="EA10" i="29"/>
  <c r="EB10" i="29"/>
  <c r="ED10" i="29"/>
  <c r="EF10" i="29"/>
  <c r="EA11" i="29"/>
  <c r="EB11" i="29"/>
  <c r="ED11" i="29"/>
  <c r="EF11" i="29"/>
  <c r="EA12" i="29"/>
  <c r="EB12" i="29"/>
  <c r="ED12" i="29"/>
  <c r="EF12" i="29"/>
  <c r="EA13" i="29"/>
  <c r="EB13" i="29"/>
  <c r="ED13" i="29"/>
  <c r="EF13" i="29"/>
  <c r="EA14" i="29"/>
  <c r="EB14" i="29"/>
  <c r="ED14" i="29"/>
  <c r="EF14" i="29"/>
  <c r="EA15" i="29"/>
  <c r="EB15" i="29"/>
  <c r="ED15" i="29"/>
  <c r="EF15" i="29"/>
  <c r="EA16" i="29"/>
  <c r="EB16" i="29"/>
  <c r="ED16" i="29"/>
  <c r="EF16" i="29"/>
  <c r="EA17" i="29"/>
  <c r="EB17" i="29"/>
  <c r="ED17" i="29"/>
  <c r="EF17" i="29"/>
  <c r="EA18" i="29"/>
  <c r="EB18" i="29"/>
  <c r="ED18" i="29"/>
  <c r="EF18" i="29"/>
  <c r="EA19" i="29"/>
  <c r="EB19" i="29"/>
  <c r="ED19" i="29"/>
  <c r="EF19" i="29"/>
  <c r="EA20" i="29"/>
  <c r="EB20" i="29"/>
  <c r="ED20" i="29"/>
  <c r="EF20" i="29"/>
  <c r="EA21" i="29"/>
  <c r="EB21" i="29"/>
  <c r="ED21" i="29"/>
  <c r="EF21" i="29"/>
  <c r="EA22" i="29"/>
  <c r="EB22" i="29"/>
  <c r="ED22" i="29"/>
  <c r="EF22" i="29"/>
  <c r="EA23" i="29"/>
  <c r="EB23" i="29"/>
  <c r="ED23" i="29"/>
  <c r="EF23" i="29"/>
  <c r="EA24" i="29"/>
  <c r="EB24" i="29"/>
  <c r="ED24" i="29"/>
  <c r="EF24" i="29"/>
  <c r="EA25" i="29"/>
  <c r="EB25" i="29"/>
  <c r="ED25" i="29"/>
  <c r="EF25" i="29"/>
  <c r="EA26" i="29"/>
  <c r="EB26" i="29"/>
  <c r="ED26" i="29"/>
  <c r="EF26" i="29"/>
  <c r="EC27" i="29"/>
  <c r="EE27" i="29"/>
  <c r="EA27" i="29"/>
  <c r="EB27" i="29"/>
  <c r="ED27" i="29"/>
  <c r="EF27" i="29"/>
  <c r="DS85" i="29"/>
  <c r="DS86" i="29"/>
  <c r="EC28" i="29"/>
  <c r="EE28" i="29"/>
  <c r="EA28" i="29"/>
  <c r="EB28" i="29"/>
  <c r="ED28" i="29"/>
  <c r="EF28" i="29"/>
  <c r="EF29" i="29"/>
  <c r="DS100" i="29"/>
  <c r="DS101" i="29"/>
  <c r="DS102" i="29"/>
  <c r="D7" i="30"/>
  <c r="L42" i="30"/>
  <c r="EB54" i="29"/>
  <c r="D18" i="30"/>
  <c r="EB47" i="29"/>
  <c r="EB48" i="29"/>
  <c r="EB49" i="29"/>
  <c r="EB55" i="29"/>
  <c r="D19" i="30"/>
  <c r="D27" i="30"/>
  <c r="L52" i="30"/>
  <c r="L49" i="30"/>
  <c r="EB29" i="29"/>
  <c r="EA29" i="29"/>
  <c r="DS76" i="29"/>
  <c r="D30" i="30"/>
  <c r="D31" i="30"/>
  <c r="D34" i="30"/>
  <c r="L50" i="30"/>
  <c r="L53" i="30"/>
  <c r="L54" i="30"/>
  <c r="L60" i="30"/>
  <c r="L48" i="30"/>
  <c r="L61" i="30"/>
  <c r="DG29" i="29"/>
  <c r="CX98" i="29"/>
  <c r="E18" i="30"/>
  <c r="E27" i="30"/>
  <c r="L65" i="30"/>
  <c r="L62" i="30"/>
  <c r="DF29" i="29"/>
  <c r="CX76" i="29"/>
  <c r="E30" i="30"/>
  <c r="E31" i="30"/>
  <c r="E34" i="30"/>
  <c r="L63" i="30"/>
  <c r="L66" i="30"/>
  <c r="L73" i="30"/>
  <c r="L67" i="30"/>
  <c r="L74" i="30"/>
  <c r="CL29" i="29"/>
  <c r="CC98" i="29"/>
  <c r="F19" i="30"/>
  <c r="F27" i="30"/>
  <c r="L78" i="30"/>
  <c r="L75" i="30"/>
  <c r="CK29" i="29"/>
  <c r="CC76" i="29"/>
  <c r="F30" i="30"/>
  <c r="F31" i="30"/>
  <c r="F34" i="30"/>
  <c r="L76" i="30"/>
  <c r="L79" i="30"/>
  <c r="L86" i="30"/>
  <c r="L80" i="30"/>
  <c r="L87" i="30"/>
  <c r="BQ29" i="29"/>
  <c r="BH98" i="29"/>
  <c r="G20" i="30"/>
  <c r="G27" i="30"/>
  <c r="L91" i="30"/>
  <c r="L88" i="30"/>
  <c r="BP29" i="29"/>
  <c r="BH76" i="29"/>
  <c r="G30" i="30"/>
  <c r="G31" i="30"/>
  <c r="G34" i="30"/>
  <c r="L89" i="30"/>
  <c r="L92" i="30"/>
  <c r="L99" i="30"/>
  <c r="L93" i="30"/>
  <c r="L100" i="30"/>
  <c r="AV29" i="29"/>
  <c r="AM98" i="29"/>
  <c r="H21" i="30"/>
  <c r="H27" i="30"/>
  <c r="L104" i="30"/>
  <c r="L101" i="30"/>
  <c r="AU29" i="29"/>
  <c r="AM76" i="29"/>
  <c r="H30" i="30"/>
  <c r="H31" i="30"/>
  <c r="H34" i="30"/>
  <c r="L102" i="30"/>
  <c r="L105" i="30"/>
  <c r="L112" i="30"/>
  <c r="L106" i="30"/>
  <c r="L113" i="30"/>
  <c r="L114" i="30"/>
  <c r="L118" i="30"/>
  <c r="L125" i="30"/>
  <c r="L131" i="30"/>
  <c r="L119" i="30"/>
  <c r="L129" i="30"/>
  <c r="R99" i="29"/>
  <c r="AM99" i="29"/>
  <c r="BH99" i="29"/>
  <c r="K24" i="30"/>
  <c r="K27" i="30"/>
  <c r="L128" i="30"/>
  <c r="L130" i="30"/>
  <c r="L133" i="30"/>
  <c r="L56" i="30"/>
  <c r="L57" i="30"/>
  <c r="L69" i="30"/>
  <c r="L70" i="30"/>
  <c r="L82" i="30"/>
  <c r="L83" i="30"/>
  <c r="L95" i="30"/>
  <c r="L96" i="30"/>
  <c r="L108" i="30"/>
  <c r="L109" i="30"/>
  <c r="L121" i="30"/>
  <c r="L122" i="30"/>
  <c r="L277" i="30"/>
  <c r="L278" i="30"/>
  <c r="L279" i="30"/>
  <c r="L280" i="30"/>
  <c r="L281" i="30"/>
  <c r="L282" i="30"/>
  <c r="L283" i="30"/>
  <c r="L284" i="30"/>
  <c r="L285" i="30"/>
  <c r="L286" i="30"/>
  <c r="L287" i="30"/>
  <c r="L288" i="30"/>
  <c r="L289" i="30"/>
  <c r="L290" i="30"/>
  <c r="L291" i="30"/>
  <c r="L292" i="30"/>
  <c r="L293" i="30"/>
  <c r="L294" i="30"/>
  <c r="L295" i="30"/>
  <c r="L296" i="30"/>
  <c r="L297" i="30"/>
  <c r="L276" i="30"/>
  <c r="L299" i="30"/>
  <c r="L300" i="30"/>
  <c r="K42" i="30"/>
  <c r="K52" i="30"/>
  <c r="K49" i="30"/>
  <c r="K50" i="30"/>
  <c r="K53" i="30"/>
  <c r="K54" i="30"/>
  <c r="K60" i="30"/>
  <c r="K48" i="30"/>
  <c r="K61" i="30"/>
  <c r="K65" i="30"/>
  <c r="K62" i="30"/>
  <c r="K63" i="30"/>
  <c r="K66" i="30"/>
  <c r="K73" i="30"/>
  <c r="K67" i="30"/>
  <c r="K74" i="30"/>
  <c r="K78" i="30"/>
  <c r="K75" i="30"/>
  <c r="K76" i="30"/>
  <c r="K79" i="30"/>
  <c r="K86" i="30"/>
  <c r="K80" i="30"/>
  <c r="K87" i="30"/>
  <c r="K91" i="30"/>
  <c r="K88" i="30"/>
  <c r="K89" i="30"/>
  <c r="K92" i="30"/>
  <c r="K99" i="30"/>
  <c r="K93" i="30"/>
  <c r="K100" i="30"/>
  <c r="K104" i="30"/>
  <c r="K101" i="30"/>
  <c r="K102" i="30"/>
  <c r="K105" i="30"/>
  <c r="K112" i="30"/>
  <c r="K106" i="30"/>
  <c r="K113" i="30"/>
  <c r="K114" i="30"/>
  <c r="K118" i="30"/>
  <c r="K125" i="30"/>
  <c r="K131" i="30"/>
  <c r="K119" i="30"/>
  <c r="K129" i="30"/>
  <c r="K128" i="30"/>
  <c r="K130" i="30"/>
  <c r="K133" i="30"/>
  <c r="K56" i="30"/>
  <c r="K57" i="30"/>
  <c r="K69" i="30"/>
  <c r="K70" i="30"/>
  <c r="K82" i="30"/>
  <c r="K83" i="30"/>
  <c r="K95" i="30"/>
  <c r="K96" i="30"/>
  <c r="K108" i="30"/>
  <c r="K109" i="30"/>
  <c r="K121" i="30"/>
  <c r="K122" i="30"/>
  <c r="K277" i="30"/>
  <c r="K278" i="30"/>
  <c r="K279" i="30"/>
  <c r="K280" i="30"/>
  <c r="K281" i="30"/>
  <c r="K282" i="30"/>
  <c r="K283" i="30"/>
  <c r="K284" i="30"/>
  <c r="K285" i="30"/>
  <c r="K286" i="30"/>
  <c r="K287" i="30"/>
  <c r="K288" i="30"/>
  <c r="K289" i="30"/>
  <c r="K290" i="30"/>
  <c r="K291" i="30"/>
  <c r="K292" i="30"/>
  <c r="K293" i="30"/>
  <c r="K294" i="30"/>
  <c r="K295" i="30"/>
  <c r="K296" i="30"/>
  <c r="K297" i="30"/>
  <c r="K276" i="30"/>
  <c r="K299" i="30"/>
  <c r="K300" i="30"/>
  <c r="J42" i="30"/>
  <c r="J52" i="30"/>
  <c r="J49" i="30"/>
  <c r="J50" i="30"/>
  <c r="J53" i="30"/>
  <c r="J54" i="30"/>
  <c r="J60" i="30"/>
  <c r="J48" i="30"/>
  <c r="J61" i="30"/>
  <c r="J65" i="30"/>
  <c r="J62" i="30"/>
  <c r="J63" i="30"/>
  <c r="J66" i="30"/>
  <c r="J73" i="30"/>
  <c r="J67" i="30"/>
  <c r="J74" i="30"/>
  <c r="J78" i="30"/>
  <c r="J75" i="30"/>
  <c r="J76" i="30"/>
  <c r="J79" i="30"/>
  <c r="J86" i="30"/>
  <c r="J80" i="30"/>
  <c r="J87" i="30"/>
  <c r="J91" i="30"/>
  <c r="J88" i="30"/>
  <c r="J89" i="30"/>
  <c r="J92" i="30"/>
  <c r="J99" i="30"/>
  <c r="J93" i="30"/>
  <c r="J100" i="30"/>
  <c r="J104" i="30"/>
  <c r="J101" i="30"/>
  <c r="J102" i="30"/>
  <c r="J105" i="30"/>
  <c r="J112" i="30"/>
  <c r="J106" i="30"/>
  <c r="J113" i="30"/>
  <c r="J114" i="30"/>
  <c r="J118" i="30"/>
  <c r="J125" i="30"/>
  <c r="J131" i="30"/>
  <c r="J119" i="30"/>
  <c r="J129" i="30"/>
  <c r="J128" i="30"/>
  <c r="J130" i="30"/>
  <c r="J133" i="30"/>
  <c r="J56" i="30"/>
  <c r="J57" i="30"/>
  <c r="J69" i="30"/>
  <c r="J70" i="30"/>
  <c r="J82" i="30"/>
  <c r="J83" i="30"/>
  <c r="J95" i="30"/>
  <c r="J96" i="30"/>
  <c r="J108" i="30"/>
  <c r="J109" i="30"/>
  <c r="J121" i="30"/>
  <c r="J122" i="30"/>
  <c r="J277" i="30"/>
  <c r="J278" i="30"/>
  <c r="J279" i="30"/>
  <c r="J280" i="30"/>
  <c r="J281" i="30"/>
  <c r="J282" i="30"/>
  <c r="J283" i="30"/>
  <c r="J284" i="30"/>
  <c r="J285" i="30"/>
  <c r="J286" i="30"/>
  <c r="J287" i="30"/>
  <c r="J288" i="30"/>
  <c r="J289" i="30"/>
  <c r="J290" i="30"/>
  <c r="J291" i="30"/>
  <c r="J292" i="30"/>
  <c r="J293" i="30"/>
  <c r="J294" i="30"/>
  <c r="J295" i="30"/>
  <c r="J296" i="30"/>
  <c r="J297" i="30"/>
  <c r="J276" i="30"/>
  <c r="J299" i="30"/>
  <c r="J300" i="30"/>
  <c r="I42" i="30"/>
  <c r="I52" i="30"/>
  <c r="I49" i="30"/>
  <c r="I50" i="30"/>
  <c r="I53" i="30"/>
  <c r="I54" i="30"/>
  <c r="I60" i="30"/>
  <c r="I48" i="30"/>
  <c r="I61" i="30"/>
  <c r="I65" i="30"/>
  <c r="I62" i="30"/>
  <c r="I63" i="30"/>
  <c r="I66" i="30"/>
  <c r="I73" i="30"/>
  <c r="I67" i="30"/>
  <c r="I74" i="30"/>
  <c r="I78" i="30"/>
  <c r="I75" i="30"/>
  <c r="I76" i="30"/>
  <c r="I79" i="30"/>
  <c r="I86" i="30"/>
  <c r="I80" i="30"/>
  <c r="I87" i="30"/>
  <c r="I91" i="30"/>
  <c r="I88" i="30"/>
  <c r="I89" i="30"/>
  <c r="I92" i="30"/>
  <c r="I99" i="30"/>
  <c r="I93" i="30"/>
  <c r="I100" i="30"/>
  <c r="I104" i="30"/>
  <c r="I101" i="30"/>
  <c r="I102" i="30"/>
  <c r="I105" i="30"/>
  <c r="I112" i="30"/>
  <c r="I106" i="30"/>
  <c r="I113" i="30"/>
  <c r="I114" i="30"/>
  <c r="I118" i="30"/>
  <c r="I125" i="30"/>
  <c r="I131" i="30"/>
  <c r="I119" i="30"/>
  <c r="I129" i="30"/>
  <c r="I128" i="30"/>
  <c r="I130" i="30"/>
  <c r="I133" i="30"/>
  <c r="I56" i="30"/>
  <c r="I57" i="30"/>
  <c r="I69" i="30"/>
  <c r="I70" i="30"/>
  <c r="I82" i="30"/>
  <c r="I83" i="30"/>
  <c r="I95" i="30"/>
  <c r="I96" i="30"/>
  <c r="I108" i="30"/>
  <c r="I109" i="30"/>
  <c r="I121" i="30"/>
  <c r="I122" i="30"/>
  <c r="I277" i="30"/>
  <c r="I278" i="30"/>
  <c r="I279" i="30"/>
  <c r="I280" i="30"/>
  <c r="I281" i="30"/>
  <c r="I282" i="30"/>
  <c r="I283" i="30"/>
  <c r="I284" i="30"/>
  <c r="I285" i="30"/>
  <c r="I286" i="30"/>
  <c r="I287" i="30"/>
  <c r="I288" i="30"/>
  <c r="I289" i="30"/>
  <c r="I290" i="30"/>
  <c r="I291" i="30"/>
  <c r="I292" i="30"/>
  <c r="I293" i="30"/>
  <c r="I294" i="30"/>
  <c r="I295" i="30"/>
  <c r="I296" i="30"/>
  <c r="I297" i="30"/>
  <c r="I276" i="30"/>
  <c r="I299" i="30"/>
  <c r="I300" i="30"/>
  <c r="H42" i="30"/>
  <c r="H52" i="30"/>
  <c r="H49" i="30"/>
  <c r="H50" i="30"/>
  <c r="H53" i="30"/>
  <c r="H54" i="30"/>
  <c r="H60" i="30"/>
  <c r="H48" i="30"/>
  <c r="H61" i="30"/>
  <c r="H65" i="30"/>
  <c r="H62" i="30"/>
  <c r="H63" i="30"/>
  <c r="H66" i="30"/>
  <c r="H73" i="30"/>
  <c r="H67" i="30"/>
  <c r="H74" i="30"/>
  <c r="H78" i="30"/>
  <c r="H75" i="30"/>
  <c r="H76" i="30"/>
  <c r="H79" i="30"/>
  <c r="H86" i="30"/>
  <c r="H80" i="30"/>
  <c r="H87" i="30"/>
  <c r="H91" i="30"/>
  <c r="H88" i="30"/>
  <c r="H89" i="30"/>
  <c r="H92" i="30"/>
  <c r="H99" i="30"/>
  <c r="H93" i="30"/>
  <c r="H100" i="30"/>
  <c r="H104" i="30"/>
  <c r="H101" i="30"/>
  <c r="H102" i="30"/>
  <c r="H105" i="30"/>
  <c r="H112" i="30"/>
  <c r="H106" i="30"/>
  <c r="H113" i="30"/>
  <c r="H114" i="30"/>
  <c r="H118" i="30"/>
  <c r="H125" i="30"/>
  <c r="H131" i="30"/>
  <c r="H119" i="30"/>
  <c r="H129" i="30"/>
  <c r="H128" i="30"/>
  <c r="H130" i="30"/>
  <c r="H133" i="30"/>
  <c r="H56" i="30"/>
  <c r="H57" i="30"/>
  <c r="H69" i="30"/>
  <c r="H70" i="30"/>
  <c r="H82" i="30"/>
  <c r="H83" i="30"/>
  <c r="H95" i="30"/>
  <c r="H96" i="30"/>
  <c r="H108" i="30"/>
  <c r="H109" i="30"/>
  <c r="H121" i="30"/>
  <c r="H122" i="30"/>
  <c r="H277" i="30"/>
  <c r="H278" i="30"/>
  <c r="H279" i="30"/>
  <c r="H280" i="30"/>
  <c r="H281" i="30"/>
  <c r="H282" i="30"/>
  <c r="H283" i="30"/>
  <c r="H284" i="30"/>
  <c r="H285" i="30"/>
  <c r="H286" i="30"/>
  <c r="H287" i="30"/>
  <c r="H288" i="30"/>
  <c r="H289" i="30"/>
  <c r="H290" i="30"/>
  <c r="H291" i="30"/>
  <c r="H292" i="30"/>
  <c r="H293" i="30"/>
  <c r="H294" i="30"/>
  <c r="H295" i="30"/>
  <c r="H296" i="30"/>
  <c r="H297" i="30"/>
  <c r="H276" i="30"/>
  <c r="H299" i="30"/>
  <c r="H300" i="30"/>
  <c r="G42" i="30"/>
  <c r="G52" i="30"/>
  <c r="G49" i="30"/>
  <c r="G50" i="30"/>
  <c r="G53" i="30"/>
  <c r="G54" i="30"/>
  <c r="G60" i="30"/>
  <c r="G48" i="30"/>
  <c r="G61" i="30"/>
  <c r="G65" i="30"/>
  <c r="G62" i="30"/>
  <c r="G63" i="30"/>
  <c r="G66" i="30"/>
  <c r="G73" i="30"/>
  <c r="G67" i="30"/>
  <c r="G74" i="30"/>
  <c r="G78" i="30"/>
  <c r="G75" i="30"/>
  <c r="G76" i="30"/>
  <c r="G79" i="30"/>
  <c r="G86" i="30"/>
  <c r="G80" i="30"/>
  <c r="G87" i="30"/>
  <c r="G91" i="30"/>
  <c r="G88" i="30"/>
  <c r="G89" i="30"/>
  <c r="G92" i="30"/>
  <c r="G99" i="30"/>
  <c r="G93" i="30"/>
  <c r="G100" i="30"/>
  <c r="G104" i="30"/>
  <c r="G101" i="30"/>
  <c r="G102" i="30"/>
  <c r="G105" i="30"/>
  <c r="G112" i="30"/>
  <c r="G106" i="30"/>
  <c r="G113" i="30"/>
  <c r="G114" i="30"/>
  <c r="G118" i="30"/>
  <c r="G125" i="30"/>
  <c r="G131" i="30"/>
  <c r="G119" i="30"/>
  <c r="G129" i="30"/>
  <c r="G128" i="30"/>
  <c r="G130" i="30"/>
  <c r="G133" i="30"/>
  <c r="G56" i="30"/>
  <c r="G57" i="30"/>
  <c r="G69" i="30"/>
  <c r="G70" i="30"/>
  <c r="G82" i="30"/>
  <c r="G83" i="30"/>
  <c r="G95" i="30"/>
  <c r="G96" i="30"/>
  <c r="G108" i="30"/>
  <c r="G109" i="30"/>
  <c r="G121" i="30"/>
  <c r="G122" i="30"/>
  <c r="G277" i="30"/>
  <c r="G278" i="30"/>
  <c r="G279" i="30"/>
  <c r="G280" i="30"/>
  <c r="G281" i="30"/>
  <c r="G282" i="30"/>
  <c r="G283" i="30"/>
  <c r="G284" i="30"/>
  <c r="G285" i="30"/>
  <c r="G286" i="30"/>
  <c r="G287" i="30"/>
  <c r="G288" i="30"/>
  <c r="G289" i="30"/>
  <c r="G290" i="30"/>
  <c r="G291" i="30"/>
  <c r="G292" i="30"/>
  <c r="G293" i="30"/>
  <c r="G294" i="30"/>
  <c r="G295" i="30"/>
  <c r="G296" i="30"/>
  <c r="G297" i="30"/>
  <c r="G276" i="30"/>
  <c r="G299" i="30"/>
  <c r="G300" i="30"/>
  <c r="F42" i="30"/>
  <c r="F52" i="30"/>
  <c r="F49" i="30"/>
  <c r="F50" i="30"/>
  <c r="F53" i="30"/>
  <c r="F54" i="30"/>
  <c r="F60" i="30"/>
  <c r="F48" i="30"/>
  <c r="F61" i="30"/>
  <c r="F65" i="30"/>
  <c r="F62" i="30"/>
  <c r="F63" i="30"/>
  <c r="F66" i="30"/>
  <c r="F73" i="30"/>
  <c r="F67" i="30"/>
  <c r="F74" i="30"/>
  <c r="F78" i="30"/>
  <c r="F75" i="30"/>
  <c r="F76" i="30"/>
  <c r="F79" i="30"/>
  <c r="F86" i="30"/>
  <c r="F80" i="30"/>
  <c r="F87" i="30"/>
  <c r="F91" i="30"/>
  <c r="F88" i="30"/>
  <c r="F89" i="30"/>
  <c r="F92" i="30"/>
  <c r="F99" i="30"/>
  <c r="F93" i="30"/>
  <c r="F100" i="30"/>
  <c r="F104" i="30"/>
  <c r="F101" i="30"/>
  <c r="F102" i="30"/>
  <c r="F105" i="30"/>
  <c r="F112" i="30"/>
  <c r="F106" i="30"/>
  <c r="F113" i="30"/>
  <c r="F114" i="30"/>
  <c r="F118" i="30"/>
  <c r="F125" i="30"/>
  <c r="F131" i="30"/>
  <c r="F119" i="30"/>
  <c r="F129" i="30"/>
  <c r="F128" i="30"/>
  <c r="F130" i="30"/>
  <c r="F133" i="30"/>
  <c r="F56" i="30"/>
  <c r="F57" i="30"/>
  <c r="F69" i="30"/>
  <c r="F70" i="30"/>
  <c r="F82" i="30"/>
  <c r="F83" i="30"/>
  <c r="F95" i="30"/>
  <c r="F96" i="30"/>
  <c r="F108" i="30"/>
  <c r="F109" i="30"/>
  <c r="F121" i="30"/>
  <c r="F122" i="30"/>
  <c r="F277" i="30"/>
  <c r="F278" i="30"/>
  <c r="F279" i="30"/>
  <c r="F280" i="30"/>
  <c r="F281" i="30"/>
  <c r="F282" i="30"/>
  <c r="F283" i="30"/>
  <c r="F284" i="30"/>
  <c r="F285" i="30"/>
  <c r="F286" i="30"/>
  <c r="F287" i="30"/>
  <c r="F288" i="30"/>
  <c r="F289" i="30"/>
  <c r="F290" i="30"/>
  <c r="F291" i="30"/>
  <c r="F292" i="30"/>
  <c r="F293" i="30"/>
  <c r="F294" i="30"/>
  <c r="F295" i="30"/>
  <c r="F296" i="30"/>
  <c r="F297" i="30"/>
  <c r="F276" i="30"/>
  <c r="F299" i="30"/>
  <c r="F300" i="30"/>
  <c r="E42" i="30"/>
  <c r="E52" i="30"/>
  <c r="E49" i="30"/>
  <c r="E50" i="30"/>
  <c r="E53" i="30"/>
  <c r="E54" i="30"/>
  <c r="E60" i="30"/>
  <c r="E48" i="30"/>
  <c r="E61" i="30"/>
  <c r="E65" i="30"/>
  <c r="E62" i="30"/>
  <c r="E63" i="30"/>
  <c r="E66" i="30"/>
  <c r="E73" i="30"/>
  <c r="E67" i="30"/>
  <c r="E74" i="30"/>
  <c r="E78" i="30"/>
  <c r="E75" i="30"/>
  <c r="E76" i="30"/>
  <c r="E79" i="30"/>
  <c r="E86" i="30"/>
  <c r="E80" i="30"/>
  <c r="E87" i="30"/>
  <c r="E91" i="30"/>
  <c r="E88" i="30"/>
  <c r="E89" i="30"/>
  <c r="E92" i="30"/>
  <c r="E99" i="30"/>
  <c r="E93" i="30"/>
  <c r="E100" i="30"/>
  <c r="E104" i="30"/>
  <c r="E101" i="30"/>
  <c r="E102" i="30"/>
  <c r="E105" i="30"/>
  <c r="E112" i="30"/>
  <c r="E106" i="30"/>
  <c r="E113" i="30"/>
  <c r="E114" i="30"/>
  <c r="E118" i="30"/>
  <c r="E125" i="30"/>
  <c r="E131" i="30"/>
  <c r="E119" i="30"/>
  <c r="E129" i="30"/>
  <c r="E128" i="30"/>
  <c r="E130" i="30"/>
  <c r="E133" i="30"/>
  <c r="E56" i="30"/>
  <c r="E57" i="30"/>
  <c r="E69" i="30"/>
  <c r="E70" i="30"/>
  <c r="E82" i="30"/>
  <c r="E83" i="30"/>
  <c r="E95" i="30"/>
  <c r="E96" i="30"/>
  <c r="E108" i="30"/>
  <c r="E109" i="30"/>
  <c r="E121" i="30"/>
  <c r="E122" i="30"/>
  <c r="E277" i="30"/>
  <c r="E278" i="30"/>
  <c r="E279" i="30"/>
  <c r="E280" i="30"/>
  <c r="E281" i="30"/>
  <c r="E282" i="30"/>
  <c r="E283" i="30"/>
  <c r="E284" i="30"/>
  <c r="E285" i="30"/>
  <c r="E286" i="30"/>
  <c r="E287" i="30"/>
  <c r="E288" i="30"/>
  <c r="E289" i="30"/>
  <c r="E290" i="30"/>
  <c r="E291" i="30"/>
  <c r="E292" i="30"/>
  <c r="E293" i="30"/>
  <c r="E294" i="30"/>
  <c r="E295" i="30"/>
  <c r="E296" i="30"/>
  <c r="E297" i="30"/>
  <c r="E276" i="30"/>
  <c r="E299" i="30"/>
  <c r="E300" i="30"/>
  <c r="D42" i="30"/>
  <c r="D52" i="30"/>
  <c r="D49" i="30"/>
  <c r="D50" i="30"/>
  <c r="D53" i="30"/>
  <c r="D54" i="30"/>
  <c r="D60" i="30"/>
  <c r="D48" i="30"/>
  <c r="D61" i="30"/>
  <c r="D65" i="30"/>
  <c r="D62" i="30"/>
  <c r="D63" i="30"/>
  <c r="D66" i="30"/>
  <c r="D73" i="30"/>
  <c r="D67" i="30"/>
  <c r="D74" i="30"/>
  <c r="D78" i="30"/>
  <c r="D75" i="30"/>
  <c r="D76" i="30"/>
  <c r="D79" i="30"/>
  <c r="D86" i="30"/>
  <c r="D80" i="30"/>
  <c r="D87" i="30"/>
  <c r="D91" i="30"/>
  <c r="D88" i="30"/>
  <c r="D89" i="30"/>
  <c r="D92" i="30"/>
  <c r="D99" i="30"/>
  <c r="D93" i="30"/>
  <c r="D100" i="30"/>
  <c r="D104" i="30"/>
  <c r="D101" i="30"/>
  <c r="D102" i="30"/>
  <c r="D105" i="30"/>
  <c r="D112" i="30"/>
  <c r="D106" i="30"/>
  <c r="D113" i="30"/>
  <c r="D114" i="30"/>
  <c r="D118" i="30"/>
  <c r="D125" i="30"/>
  <c r="D131" i="30"/>
  <c r="D119" i="30"/>
  <c r="D129" i="30"/>
  <c r="D128" i="30"/>
  <c r="D130" i="30"/>
  <c r="D133" i="30"/>
  <c r="D56" i="30"/>
  <c r="D57" i="30"/>
  <c r="D69" i="30"/>
  <c r="D70" i="30"/>
  <c r="D82" i="30"/>
  <c r="D83" i="30"/>
  <c r="D95" i="30"/>
  <c r="D96" i="30"/>
  <c r="D108" i="30"/>
  <c r="D109" i="30"/>
  <c r="D121" i="30"/>
  <c r="D122" i="30"/>
  <c r="D277" i="30"/>
  <c r="D278" i="30"/>
  <c r="D279" i="30"/>
  <c r="D280" i="30"/>
  <c r="D281" i="30"/>
  <c r="D282" i="30"/>
  <c r="D283" i="30"/>
  <c r="D284" i="30"/>
  <c r="D285" i="30"/>
  <c r="D286" i="30"/>
  <c r="D287" i="30"/>
  <c r="D288" i="30"/>
  <c r="D289" i="30"/>
  <c r="D290" i="30"/>
  <c r="D291" i="30"/>
  <c r="D292" i="30"/>
  <c r="D293" i="30"/>
  <c r="D294" i="30"/>
  <c r="D295" i="30"/>
  <c r="D296" i="30"/>
  <c r="D297" i="30"/>
  <c r="D276" i="30"/>
  <c r="D299" i="30"/>
  <c r="D300" i="30"/>
  <c r="L161" i="30"/>
  <c r="L169" i="30"/>
  <c r="K31" i="30"/>
  <c r="L31" i="30"/>
  <c r="L207" i="30"/>
  <c r="K161" i="30"/>
  <c r="K169" i="30"/>
  <c r="K207" i="30"/>
  <c r="J161" i="30"/>
  <c r="J169" i="30"/>
  <c r="J207" i="30"/>
  <c r="I161" i="30"/>
  <c r="I169" i="30"/>
  <c r="I207" i="30"/>
  <c r="H161" i="30"/>
  <c r="H169" i="30"/>
  <c r="H207" i="30"/>
  <c r="G161" i="30"/>
  <c r="G169" i="30"/>
  <c r="G207" i="30"/>
  <c r="F161" i="30"/>
  <c r="F169" i="30"/>
  <c r="F207" i="30"/>
  <c r="E161" i="30"/>
  <c r="E169" i="30"/>
  <c r="E207" i="30"/>
  <c r="D161" i="30"/>
  <c r="D169" i="30"/>
  <c r="D207" i="30"/>
  <c r="L168" i="30"/>
  <c r="L206" i="30"/>
  <c r="K168" i="30"/>
  <c r="K206" i="30"/>
  <c r="J168" i="30"/>
  <c r="J206" i="30"/>
  <c r="I168" i="30"/>
  <c r="I206" i="30"/>
  <c r="H168" i="30"/>
  <c r="H206" i="30"/>
  <c r="G168" i="30"/>
  <c r="G206" i="30"/>
  <c r="F168" i="30"/>
  <c r="F206" i="30"/>
  <c r="E168" i="30"/>
  <c r="E206" i="30"/>
  <c r="D168" i="30"/>
  <c r="D206" i="30"/>
  <c r="L167" i="30"/>
  <c r="L205" i="30"/>
  <c r="K167" i="30"/>
  <c r="K205" i="30"/>
  <c r="J167" i="30"/>
  <c r="J205" i="30"/>
  <c r="I167" i="30"/>
  <c r="I205" i="30"/>
  <c r="H167" i="30"/>
  <c r="H205" i="30"/>
  <c r="G167" i="30"/>
  <c r="G205" i="30"/>
  <c r="F167" i="30"/>
  <c r="F205" i="30"/>
  <c r="E167" i="30"/>
  <c r="E205" i="30"/>
  <c r="D167" i="30"/>
  <c r="D205" i="30"/>
  <c r="L166" i="30"/>
  <c r="L204" i="30"/>
  <c r="K166" i="30"/>
  <c r="K204" i="30"/>
  <c r="J166" i="30"/>
  <c r="J204" i="30"/>
  <c r="I166" i="30"/>
  <c r="I204" i="30"/>
  <c r="H166" i="30"/>
  <c r="H204" i="30"/>
  <c r="G166" i="30"/>
  <c r="G204" i="30"/>
  <c r="F166" i="30"/>
  <c r="F204" i="30"/>
  <c r="E166" i="30"/>
  <c r="E204" i="30"/>
  <c r="D166" i="30"/>
  <c r="D204" i="30"/>
  <c r="L165" i="30"/>
  <c r="L203" i="30"/>
  <c r="K165" i="30"/>
  <c r="K203" i="30"/>
  <c r="J165" i="30"/>
  <c r="J203" i="30"/>
  <c r="I165" i="30"/>
  <c r="I203" i="30"/>
  <c r="H165" i="30"/>
  <c r="H203" i="30"/>
  <c r="G165" i="30"/>
  <c r="G203" i="30"/>
  <c r="F165" i="30"/>
  <c r="F203" i="30"/>
  <c r="E165" i="30"/>
  <c r="E203" i="30"/>
  <c r="D165" i="30"/>
  <c r="D203" i="30"/>
  <c r="L164" i="30"/>
  <c r="L202" i="30"/>
  <c r="K164" i="30"/>
  <c r="K202" i="30"/>
  <c r="J164" i="30"/>
  <c r="J202" i="30"/>
  <c r="I164" i="30"/>
  <c r="I202" i="30"/>
  <c r="H164" i="30"/>
  <c r="H202" i="30"/>
  <c r="G164" i="30"/>
  <c r="G202" i="30"/>
  <c r="F164" i="30"/>
  <c r="F202" i="30"/>
  <c r="E164" i="30"/>
  <c r="E202" i="30"/>
  <c r="D164" i="30"/>
  <c r="D202" i="30"/>
  <c r="L163" i="30"/>
  <c r="L201" i="30"/>
  <c r="K163" i="30"/>
  <c r="K201" i="30"/>
  <c r="J163" i="30"/>
  <c r="J201" i="30"/>
  <c r="I163" i="30"/>
  <c r="I201" i="30"/>
  <c r="H163" i="30"/>
  <c r="H201" i="30"/>
  <c r="G163" i="30"/>
  <c r="G201" i="30"/>
  <c r="F163" i="30"/>
  <c r="F201" i="30"/>
  <c r="E163" i="30"/>
  <c r="E201" i="30"/>
  <c r="D163" i="30"/>
  <c r="D201" i="30"/>
  <c r="L162" i="30"/>
  <c r="L200" i="30"/>
  <c r="K162" i="30"/>
  <c r="K200" i="30"/>
  <c r="J162" i="30"/>
  <c r="J200" i="30"/>
  <c r="I162" i="30"/>
  <c r="I200" i="30"/>
  <c r="H162" i="30"/>
  <c r="H200" i="30"/>
  <c r="G162" i="30"/>
  <c r="G200" i="30"/>
  <c r="F162" i="30"/>
  <c r="F200" i="30"/>
  <c r="E162" i="30"/>
  <c r="E200" i="30"/>
  <c r="D162" i="30"/>
  <c r="D200" i="30"/>
  <c r="L199" i="30"/>
  <c r="K199" i="30"/>
  <c r="J199" i="30"/>
  <c r="I199" i="30"/>
  <c r="H199" i="30"/>
  <c r="G199" i="30"/>
  <c r="F199" i="30"/>
  <c r="E199" i="30"/>
  <c r="D199" i="30"/>
  <c r="L194" i="30"/>
  <c r="K194" i="30"/>
  <c r="J194" i="30"/>
  <c r="I194" i="30"/>
  <c r="H194" i="30"/>
  <c r="G194" i="30"/>
  <c r="F194" i="30"/>
  <c r="E194" i="30"/>
  <c r="D194" i="30"/>
  <c r="L193" i="30"/>
  <c r="K193" i="30"/>
  <c r="J193" i="30"/>
  <c r="I193" i="30"/>
  <c r="H193" i="30"/>
  <c r="G193" i="30"/>
  <c r="F193" i="30"/>
  <c r="E193" i="30"/>
  <c r="D193" i="30"/>
  <c r="L192" i="30"/>
  <c r="K192" i="30"/>
  <c r="J192" i="30"/>
  <c r="I192" i="30"/>
  <c r="H192" i="30"/>
  <c r="G192" i="30"/>
  <c r="F192" i="30"/>
  <c r="E192" i="30"/>
  <c r="D192" i="30"/>
  <c r="L191" i="30"/>
  <c r="K191" i="30"/>
  <c r="J191" i="30"/>
  <c r="I191" i="30"/>
  <c r="H191" i="30"/>
  <c r="G191" i="30"/>
  <c r="F191" i="30"/>
  <c r="E191" i="30"/>
  <c r="D191" i="30"/>
  <c r="L190" i="30"/>
  <c r="K190" i="30"/>
  <c r="J190" i="30"/>
  <c r="I190" i="30"/>
  <c r="H190" i="30"/>
  <c r="G190" i="30"/>
  <c r="F190" i="30"/>
  <c r="E190" i="30"/>
  <c r="D190" i="30"/>
  <c r="L189" i="30"/>
  <c r="K189" i="30"/>
  <c r="J189" i="30"/>
  <c r="I189" i="30"/>
  <c r="H189" i="30"/>
  <c r="G189" i="30"/>
  <c r="F189" i="30"/>
  <c r="E189" i="30"/>
  <c r="D189" i="30"/>
  <c r="L188" i="30"/>
  <c r="K188" i="30"/>
  <c r="J188" i="30"/>
  <c r="I188" i="30"/>
  <c r="H188" i="30"/>
  <c r="G188" i="30"/>
  <c r="F188" i="30"/>
  <c r="E188" i="30"/>
  <c r="D188" i="30"/>
  <c r="L187" i="30"/>
  <c r="K187" i="30"/>
  <c r="J187" i="30"/>
  <c r="I187" i="30"/>
  <c r="H187" i="30"/>
  <c r="G187" i="30"/>
  <c r="F187" i="30"/>
  <c r="E187" i="30"/>
  <c r="D187" i="30"/>
  <c r="L182" i="30"/>
  <c r="K182" i="30"/>
  <c r="J182" i="30"/>
  <c r="I182" i="30"/>
  <c r="H182" i="30"/>
  <c r="G182" i="30"/>
  <c r="F182" i="30"/>
  <c r="E182" i="30"/>
  <c r="D182" i="30"/>
  <c r="L181" i="30"/>
  <c r="K181" i="30"/>
  <c r="J181" i="30"/>
  <c r="I181" i="30"/>
  <c r="H181" i="30"/>
  <c r="G181" i="30"/>
  <c r="F181" i="30"/>
  <c r="E181" i="30"/>
  <c r="D181" i="30"/>
  <c r="L180" i="30"/>
  <c r="K180" i="30"/>
  <c r="J180" i="30"/>
  <c r="I180" i="30"/>
  <c r="H180" i="30"/>
  <c r="G180" i="30"/>
  <c r="F180" i="30"/>
  <c r="E180" i="30"/>
  <c r="D180" i="30"/>
  <c r="L179" i="30"/>
  <c r="K179" i="30"/>
  <c r="J179" i="30"/>
  <c r="I179" i="30"/>
  <c r="H179" i="30"/>
  <c r="G179" i="30"/>
  <c r="F179" i="30"/>
  <c r="E179" i="30"/>
  <c r="D179" i="30"/>
  <c r="L178" i="30"/>
  <c r="K178" i="30"/>
  <c r="J178" i="30"/>
  <c r="I178" i="30"/>
  <c r="H178" i="30"/>
  <c r="G178" i="30"/>
  <c r="F178" i="30"/>
  <c r="E178" i="30"/>
  <c r="D178" i="30"/>
  <c r="L177" i="30"/>
  <c r="K177" i="30"/>
  <c r="J177" i="30"/>
  <c r="I177" i="30"/>
  <c r="H177" i="30"/>
  <c r="G177" i="30"/>
  <c r="F177" i="30"/>
  <c r="E177" i="30"/>
  <c r="D177" i="30"/>
  <c r="L176" i="30"/>
  <c r="K176" i="30"/>
  <c r="J176" i="30"/>
  <c r="I176" i="30"/>
  <c r="H176" i="30"/>
  <c r="G176" i="30"/>
  <c r="F176" i="30"/>
  <c r="E176" i="30"/>
  <c r="D176" i="30"/>
  <c r="L175" i="30"/>
  <c r="K175" i="30"/>
  <c r="J175" i="30"/>
  <c r="I175" i="30"/>
  <c r="H175" i="30"/>
  <c r="G175" i="30"/>
  <c r="F175" i="30"/>
  <c r="E175" i="30"/>
  <c r="D175" i="30"/>
  <c r="L174" i="30"/>
  <c r="K174" i="30"/>
  <c r="J174" i="30"/>
  <c r="I174" i="30"/>
  <c r="H174" i="30"/>
  <c r="G174" i="30"/>
  <c r="F174" i="30"/>
  <c r="E174" i="30"/>
  <c r="D174" i="30"/>
  <c r="L150" i="30"/>
  <c r="L151" i="30"/>
  <c r="L152" i="30"/>
  <c r="L153" i="30"/>
  <c r="L154" i="30"/>
  <c r="L149" i="30"/>
  <c r="L156" i="30"/>
  <c r="K150" i="30"/>
  <c r="K151" i="30"/>
  <c r="K152" i="30"/>
  <c r="K153" i="30"/>
  <c r="K154" i="30"/>
  <c r="K149" i="30"/>
  <c r="K156" i="30"/>
  <c r="J150" i="30"/>
  <c r="J151" i="30"/>
  <c r="J152" i="30"/>
  <c r="J153" i="30"/>
  <c r="J154" i="30"/>
  <c r="J149" i="30"/>
  <c r="J156" i="30"/>
  <c r="I150" i="30"/>
  <c r="I151" i="30"/>
  <c r="I152" i="30"/>
  <c r="I153" i="30"/>
  <c r="I154" i="30"/>
  <c r="I149" i="30"/>
  <c r="I156" i="30"/>
  <c r="H150" i="30"/>
  <c r="H151" i="30"/>
  <c r="H152" i="30"/>
  <c r="H153" i="30"/>
  <c r="H154" i="30"/>
  <c r="H149" i="30"/>
  <c r="H156" i="30"/>
  <c r="G150" i="30"/>
  <c r="G151" i="30"/>
  <c r="G152" i="30"/>
  <c r="G153" i="30"/>
  <c r="G154" i="30"/>
  <c r="G149" i="30"/>
  <c r="G156" i="30"/>
  <c r="F150" i="30"/>
  <c r="F151" i="30"/>
  <c r="F152" i="30"/>
  <c r="F153" i="30"/>
  <c r="F154" i="30"/>
  <c r="F149" i="30"/>
  <c r="F156" i="30"/>
  <c r="E150" i="30"/>
  <c r="E151" i="30"/>
  <c r="E152" i="30"/>
  <c r="E153" i="30"/>
  <c r="E154" i="30"/>
  <c r="E149" i="30"/>
  <c r="E156" i="30"/>
  <c r="D150" i="30"/>
  <c r="D151" i="30"/>
  <c r="D152" i="30"/>
  <c r="D153" i="30"/>
  <c r="D154" i="30"/>
  <c r="D149" i="30"/>
  <c r="D156" i="30"/>
  <c r="L140" i="30"/>
  <c r="L141" i="30"/>
  <c r="L142" i="30"/>
  <c r="L143" i="30"/>
  <c r="L144" i="30"/>
  <c r="L132" i="30"/>
  <c r="L145" i="30"/>
  <c r="L139" i="30"/>
  <c r="L146" i="30"/>
  <c r="K140" i="30"/>
  <c r="K141" i="30"/>
  <c r="K142" i="30"/>
  <c r="K143" i="30"/>
  <c r="K144" i="30"/>
  <c r="K132" i="30"/>
  <c r="K145" i="30"/>
  <c r="K139" i="30"/>
  <c r="K146" i="30"/>
  <c r="J140" i="30"/>
  <c r="J141" i="30"/>
  <c r="J142" i="30"/>
  <c r="J143" i="30"/>
  <c r="J144" i="30"/>
  <c r="J132" i="30"/>
  <c r="J145" i="30"/>
  <c r="J139" i="30"/>
  <c r="J146" i="30"/>
  <c r="I140" i="30"/>
  <c r="I141" i="30"/>
  <c r="I142" i="30"/>
  <c r="I143" i="30"/>
  <c r="I144" i="30"/>
  <c r="I132" i="30"/>
  <c r="I145" i="30"/>
  <c r="I139" i="30"/>
  <c r="I146" i="30"/>
  <c r="H140" i="30"/>
  <c r="H141" i="30"/>
  <c r="H142" i="30"/>
  <c r="H143" i="30"/>
  <c r="H144" i="30"/>
  <c r="H132" i="30"/>
  <c r="H145" i="30"/>
  <c r="H139" i="30"/>
  <c r="H146" i="30"/>
  <c r="G140" i="30"/>
  <c r="G141" i="30"/>
  <c r="G142" i="30"/>
  <c r="G143" i="30"/>
  <c r="G144" i="30"/>
  <c r="G132" i="30"/>
  <c r="G145" i="30"/>
  <c r="G139" i="30"/>
  <c r="G146" i="30"/>
  <c r="F140" i="30"/>
  <c r="F141" i="30"/>
  <c r="F142" i="30"/>
  <c r="F143" i="30"/>
  <c r="F144" i="30"/>
  <c r="F132" i="30"/>
  <c r="F145" i="30"/>
  <c r="F139" i="30"/>
  <c r="F146" i="30"/>
  <c r="E140" i="30"/>
  <c r="E141" i="30"/>
  <c r="E142" i="30"/>
  <c r="E143" i="30"/>
  <c r="E144" i="30"/>
  <c r="E132" i="30"/>
  <c r="E145" i="30"/>
  <c r="E139" i="30"/>
  <c r="E146" i="30"/>
  <c r="D140" i="30"/>
  <c r="D141" i="30"/>
  <c r="D142" i="30"/>
  <c r="D143" i="30"/>
  <c r="D144" i="30"/>
  <c r="D132" i="30"/>
  <c r="D145" i="30"/>
  <c r="D139" i="30"/>
  <c r="D146" i="30"/>
  <c r="L135" i="30"/>
  <c r="L136" i="30"/>
  <c r="L127" i="30"/>
  <c r="K127" i="30"/>
  <c r="J127" i="30"/>
  <c r="I127" i="30"/>
  <c r="H127" i="30"/>
  <c r="G127" i="30"/>
  <c r="F127" i="30"/>
  <c r="E127" i="30"/>
  <c r="D127" i="30"/>
  <c r="L126" i="30"/>
  <c r="K126" i="30"/>
  <c r="J126" i="30"/>
  <c r="I126" i="30"/>
  <c r="H126" i="30"/>
  <c r="G126" i="30"/>
  <c r="F126" i="30"/>
  <c r="E126" i="30"/>
  <c r="D126" i="30"/>
  <c r="L44" i="30"/>
  <c r="K44" i="30"/>
  <c r="J44" i="30"/>
  <c r="I44" i="30"/>
  <c r="H44" i="30"/>
  <c r="G44" i="30"/>
  <c r="F44" i="30"/>
  <c r="E44" i="30"/>
  <c r="D44" i="30"/>
  <c r="L43" i="30"/>
  <c r="K43" i="30"/>
  <c r="J43" i="30"/>
  <c r="I43" i="30"/>
  <c r="H43" i="30"/>
  <c r="G43" i="30"/>
  <c r="F43" i="30"/>
  <c r="E43" i="30"/>
  <c r="D43" i="30"/>
  <c r="L34" i="30"/>
  <c r="K34" i="30"/>
  <c r="L30" i="30"/>
  <c r="L18" i="30"/>
  <c r="L19" i="30"/>
  <c r="L20" i="30"/>
  <c r="L21" i="30"/>
  <c r="L24" i="30"/>
  <c r="L27" i="30"/>
  <c r="L28" i="30"/>
  <c r="K28" i="30"/>
  <c r="J28" i="30"/>
  <c r="I28" i="30"/>
  <c r="H28" i="30"/>
  <c r="G28" i="30"/>
  <c r="F28" i="30"/>
  <c r="E28" i="30"/>
  <c r="D28" i="30"/>
  <c r="E135" i="30"/>
  <c r="E136" i="30"/>
  <c r="F135" i="30"/>
  <c r="F136" i="30"/>
  <c r="G135" i="30"/>
  <c r="G136" i="30"/>
  <c r="H135" i="30"/>
  <c r="H136" i="30"/>
  <c r="I135" i="30"/>
  <c r="I136" i="30"/>
  <c r="J135" i="30"/>
  <c r="J136" i="30"/>
  <c r="K135" i="30"/>
  <c r="K136" i="30"/>
  <c r="D135" i="30"/>
  <c r="D136" i="30"/>
  <c r="D12" i="30"/>
  <c r="D8" i="30"/>
  <c r="CX100" i="29"/>
  <c r="CX101" i="29"/>
  <c r="CX102" i="29"/>
  <c r="CC100" i="29"/>
  <c r="CC101" i="29"/>
  <c r="CC102" i="29"/>
  <c r="BH100" i="29"/>
  <c r="BH101" i="29"/>
  <c r="BH102" i="29"/>
  <c r="AM100" i="29"/>
  <c r="AM101" i="29"/>
  <c r="AM102" i="29"/>
  <c r="R100" i="29"/>
  <c r="R101" i="29"/>
  <c r="R102" i="29"/>
  <c r="DS99" i="29"/>
  <c r="CX99" i="29"/>
  <c r="CC99" i="29"/>
  <c r="DS98" i="29"/>
  <c r="DS69" i="29"/>
  <c r="DS75" i="29"/>
  <c r="CX69" i="29"/>
  <c r="CX75" i="29"/>
  <c r="CC69" i="29"/>
  <c r="CC75" i="29"/>
  <c r="BH69" i="29"/>
  <c r="BH75" i="29"/>
  <c r="AM69" i="29"/>
  <c r="AM75" i="29"/>
  <c r="R69" i="29"/>
  <c r="R75" i="29"/>
  <c r="EI6" i="29"/>
  <c r="FB6" i="29"/>
  <c r="FB47" i="29"/>
  <c r="EI8" i="29"/>
  <c r="FB8" i="29"/>
  <c r="FB48" i="29"/>
  <c r="EI9" i="29"/>
  <c r="FB9" i="29"/>
  <c r="FB49" i="29"/>
  <c r="EI10" i="29"/>
  <c r="FB10" i="29"/>
  <c r="EI11" i="29"/>
  <c r="FB11" i="29"/>
  <c r="EI12" i="29"/>
  <c r="FB12" i="29"/>
  <c r="EI13" i="29"/>
  <c r="FB13" i="29"/>
  <c r="EI14" i="29"/>
  <c r="FB14" i="29"/>
  <c r="EI15" i="29"/>
  <c r="FB15" i="29"/>
  <c r="EI16" i="29"/>
  <c r="FB16" i="29"/>
  <c r="EI17" i="29"/>
  <c r="FB17" i="29"/>
  <c r="EI18" i="29"/>
  <c r="FB18" i="29"/>
  <c r="EI19" i="29"/>
  <c r="FB19" i="29"/>
  <c r="EI20" i="29"/>
  <c r="FB20" i="29"/>
  <c r="EI21" i="29"/>
  <c r="FB21" i="29"/>
  <c r="EI22" i="29"/>
  <c r="FB22" i="29"/>
  <c r="EI23" i="29"/>
  <c r="FB23" i="29"/>
  <c r="EI24" i="29"/>
  <c r="FB24" i="29"/>
  <c r="EI25" i="29"/>
  <c r="FB25" i="29"/>
  <c r="EI26" i="29"/>
  <c r="FB26" i="29"/>
  <c r="EI27" i="29"/>
  <c r="FB27" i="29"/>
  <c r="EI28" i="29"/>
  <c r="FB28" i="29"/>
  <c r="FB54" i="29"/>
  <c r="FB55" i="29"/>
  <c r="FB29" i="29"/>
  <c r="FC55" i="29"/>
  <c r="EH6" i="29"/>
  <c r="FA6" i="29"/>
  <c r="EH7" i="29"/>
  <c r="FA7" i="29"/>
  <c r="FA47" i="29"/>
  <c r="EH8" i="29"/>
  <c r="FA8" i="29"/>
  <c r="FA48" i="29"/>
  <c r="EH9" i="29"/>
  <c r="FA9" i="29"/>
  <c r="FA49" i="29"/>
  <c r="EH10" i="29"/>
  <c r="FA10" i="29"/>
  <c r="EH11" i="29"/>
  <c r="FA11" i="29"/>
  <c r="EH12" i="29"/>
  <c r="FA12" i="29"/>
  <c r="EH13" i="29"/>
  <c r="FA13" i="29"/>
  <c r="EH14" i="29"/>
  <c r="FA14" i="29"/>
  <c r="EH15" i="29"/>
  <c r="FA15" i="29"/>
  <c r="EH16" i="29"/>
  <c r="FA16" i="29"/>
  <c r="EH17" i="29"/>
  <c r="FA17" i="29"/>
  <c r="EH18" i="29"/>
  <c r="FA18" i="29"/>
  <c r="EH19" i="29"/>
  <c r="FA19" i="29"/>
  <c r="EH20" i="29"/>
  <c r="FA20" i="29"/>
  <c r="EH21" i="29"/>
  <c r="FA21" i="29"/>
  <c r="EH22" i="29"/>
  <c r="FA22" i="29"/>
  <c r="EH23" i="29"/>
  <c r="FA23" i="29"/>
  <c r="EH24" i="29"/>
  <c r="FA24" i="29"/>
  <c r="EH25" i="29"/>
  <c r="FA25" i="29"/>
  <c r="EH26" i="29"/>
  <c r="FA26" i="29"/>
  <c r="EH27" i="29"/>
  <c r="FA27" i="29"/>
  <c r="EH28" i="29"/>
  <c r="FA28" i="29"/>
  <c r="FA54" i="29"/>
  <c r="FA55" i="29"/>
  <c r="EY6" i="29"/>
  <c r="EY47" i="29"/>
  <c r="EY8" i="29"/>
  <c r="EY48" i="29"/>
  <c r="EY9" i="29"/>
  <c r="EY49" i="29"/>
  <c r="EY10" i="29"/>
  <c r="EY11" i="29"/>
  <c r="EY12" i="29"/>
  <c r="EY13" i="29"/>
  <c r="EY14" i="29"/>
  <c r="EY15" i="29"/>
  <c r="EY16" i="29"/>
  <c r="EY17" i="29"/>
  <c r="EY18" i="29"/>
  <c r="EY19" i="29"/>
  <c r="EY20" i="29"/>
  <c r="EY21" i="29"/>
  <c r="EY22" i="29"/>
  <c r="EY23" i="29"/>
  <c r="EY24" i="29"/>
  <c r="EY25" i="29"/>
  <c r="EY26" i="29"/>
  <c r="EY27" i="29"/>
  <c r="EY28" i="29"/>
  <c r="EY54" i="29"/>
  <c r="EY55" i="29"/>
  <c r="EY29" i="29"/>
  <c r="EZ55" i="29"/>
  <c r="EX27" i="29"/>
  <c r="EX28" i="29"/>
  <c r="EX54" i="29"/>
  <c r="EX55" i="29"/>
  <c r="EW6" i="29"/>
  <c r="EW47" i="29"/>
  <c r="EW8" i="29"/>
  <c r="EW48" i="29"/>
  <c r="EW9" i="29"/>
  <c r="EW49" i="29"/>
  <c r="EW10" i="29"/>
  <c r="EW11" i="29"/>
  <c r="EW12" i="29"/>
  <c r="EW13" i="29"/>
  <c r="EW14" i="29"/>
  <c r="EW15" i="29"/>
  <c r="EW16" i="29"/>
  <c r="EW17" i="29"/>
  <c r="EW18" i="29"/>
  <c r="EW19" i="29"/>
  <c r="EW20" i="29"/>
  <c r="EW21" i="29"/>
  <c r="EW22" i="29"/>
  <c r="EW23" i="29"/>
  <c r="EW24" i="29"/>
  <c r="EW25" i="29"/>
  <c r="EW26" i="29"/>
  <c r="EW27" i="29"/>
  <c r="EW28" i="29"/>
  <c r="EW54" i="29"/>
  <c r="EW55" i="29"/>
  <c r="EV27" i="29"/>
  <c r="EV28" i="29"/>
  <c r="EV54" i="29"/>
  <c r="EV55" i="29"/>
  <c r="EU6" i="29"/>
  <c r="EU47" i="29"/>
  <c r="EU8" i="29"/>
  <c r="EU48" i="29"/>
  <c r="EU9" i="29"/>
  <c r="EU49" i="29"/>
  <c r="EU10" i="29"/>
  <c r="EU11" i="29"/>
  <c r="EU12" i="29"/>
  <c r="EU13" i="29"/>
  <c r="EU14" i="29"/>
  <c r="EU15" i="29"/>
  <c r="EU16" i="29"/>
  <c r="EU17" i="29"/>
  <c r="EU18" i="29"/>
  <c r="EU19" i="29"/>
  <c r="EU20" i="29"/>
  <c r="EU21" i="29"/>
  <c r="EU22" i="29"/>
  <c r="EU23" i="29"/>
  <c r="EU24" i="29"/>
  <c r="EU25" i="29"/>
  <c r="EU26" i="29"/>
  <c r="EU27" i="29"/>
  <c r="EU28" i="29"/>
  <c r="EU54" i="29"/>
  <c r="EU55" i="29"/>
  <c r="ET55" i="29"/>
  <c r="EI47" i="29"/>
  <c r="EI48" i="29"/>
  <c r="EI49" i="29"/>
  <c r="EI54" i="29"/>
  <c r="EI55" i="29"/>
  <c r="EI29" i="29"/>
  <c r="EJ55" i="29"/>
  <c r="EH47" i="29"/>
  <c r="EH48" i="29"/>
  <c r="EH49" i="29"/>
  <c r="EH54" i="29"/>
  <c r="EH55" i="29"/>
  <c r="EF47" i="29"/>
  <c r="EF48" i="29"/>
  <c r="EF49" i="29"/>
  <c r="EF54" i="29"/>
  <c r="EF55" i="29"/>
  <c r="EG55" i="29"/>
  <c r="EE54" i="29"/>
  <c r="EE55" i="29"/>
  <c r="ED47" i="29"/>
  <c r="ED48" i="29"/>
  <c r="ED49" i="29"/>
  <c r="ED54" i="29"/>
  <c r="ED55" i="29"/>
  <c r="EC54" i="29"/>
  <c r="EC55" i="29"/>
  <c r="EA55" i="29"/>
  <c r="DN6" i="29"/>
  <c r="DN47" i="29"/>
  <c r="DN8" i="29"/>
  <c r="DN48" i="29"/>
  <c r="DN9" i="29"/>
  <c r="DN49" i="29"/>
  <c r="DN10" i="29"/>
  <c r="DN11" i="29"/>
  <c r="DN12" i="29"/>
  <c r="DN13" i="29"/>
  <c r="DN14" i="29"/>
  <c r="DN15" i="29"/>
  <c r="DN16" i="29"/>
  <c r="DN17" i="29"/>
  <c r="DN18" i="29"/>
  <c r="DN19" i="29"/>
  <c r="DN20" i="29"/>
  <c r="DN21" i="29"/>
  <c r="DN22" i="29"/>
  <c r="DN23" i="29"/>
  <c r="DN24" i="29"/>
  <c r="DN25" i="29"/>
  <c r="DN26" i="29"/>
  <c r="DN27" i="29"/>
  <c r="DN28" i="29"/>
  <c r="DN54" i="29"/>
  <c r="DN55" i="29"/>
  <c r="DN29" i="29"/>
  <c r="DO55" i="29"/>
  <c r="DM6" i="29"/>
  <c r="DM7" i="29"/>
  <c r="DM47" i="29"/>
  <c r="DM8" i="29"/>
  <c r="DM48" i="29"/>
  <c r="DM9" i="29"/>
  <c r="DM49" i="29"/>
  <c r="DM10" i="29"/>
  <c r="DM11" i="29"/>
  <c r="DM12" i="29"/>
  <c r="DM13" i="29"/>
  <c r="DM14" i="29"/>
  <c r="DM15" i="29"/>
  <c r="DM16" i="29"/>
  <c r="DM17" i="29"/>
  <c r="DM18" i="29"/>
  <c r="DM19" i="29"/>
  <c r="DM20" i="29"/>
  <c r="DM21" i="29"/>
  <c r="DM22" i="29"/>
  <c r="DM23" i="29"/>
  <c r="DM24" i="29"/>
  <c r="DM25" i="29"/>
  <c r="DM26" i="29"/>
  <c r="DM27" i="29"/>
  <c r="DM28" i="29"/>
  <c r="DM54" i="29"/>
  <c r="DM55" i="29"/>
  <c r="DK47" i="29"/>
  <c r="DK48" i="29"/>
  <c r="DK49" i="29"/>
  <c r="DK54" i="29"/>
  <c r="DK55" i="29"/>
  <c r="DL55" i="29"/>
  <c r="DJ54" i="29"/>
  <c r="DJ55" i="29"/>
  <c r="DI47" i="29"/>
  <c r="DI48" i="29"/>
  <c r="DI49" i="29"/>
  <c r="DI54" i="29"/>
  <c r="DI55" i="29"/>
  <c r="DH54" i="29"/>
  <c r="DH55" i="29"/>
  <c r="DG47" i="29"/>
  <c r="DG48" i="29"/>
  <c r="DG49" i="29"/>
  <c r="DG54" i="29"/>
  <c r="DG55" i="29"/>
  <c r="DF55" i="29"/>
  <c r="CS6" i="29"/>
  <c r="CS47" i="29"/>
  <c r="CS8" i="29"/>
  <c r="CS48" i="29"/>
  <c r="CS9" i="29"/>
  <c r="CS49" i="29"/>
  <c r="CS10" i="29"/>
  <c r="CS11" i="29"/>
  <c r="CS12" i="29"/>
  <c r="CS13" i="29"/>
  <c r="CS14" i="29"/>
  <c r="CS15" i="29"/>
  <c r="CS16" i="29"/>
  <c r="CS17" i="29"/>
  <c r="CS18" i="29"/>
  <c r="CS19" i="29"/>
  <c r="CS20" i="29"/>
  <c r="CS21" i="29"/>
  <c r="CS22" i="29"/>
  <c r="CS23" i="29"/>
  <c r="CS24" i="29"/>
  <c r="CS25" i="29"/>
  <c r="CS26" i="29"/>
  <c r="CS27" i="29"/>
  <c r="CS28" i="29"/>
  <c r="CS54" i="29"/>
  <c r="CS55" i="29"/>
  <c r="CS29" i="29"/>
  <c r="CT55" i="29"/>
  <c r="CR6" i="29"/>
  <c r="CR7" i="29"/>
  <c r="CR47" i="29"/>
  <c r="CR8" i="29"/>
  <c r="CR48" i="29"/>
  <c r="CR9" i="29"/>
  <c r="CR49" i="29"/>
  <c r="CR10" i="29"/>
  <c r="CR11" i="29"/>
  <c r="CR12" i="29"/>
  <c r="CR13" i="29"/>
  <c r="CR14" i="29"/>
  <c r="CR15" i="29"/>
  <c r="CR16" i="29"/>
  <c r="CR17" i="29"/>
  <c r="CR18" i="29"/>
  <c r="CR19" i="29"/>
  <c r="CR20" i="29"/>
  <c r="CR21" i="29"/>
  <c r="CR22" i="29"/>
  <c r="CR23" i="29"/>
  <c r="CR24" i="29"/>
  <c r="CR25" i="29"/>
  <c r="CR26" i="29"/>
  <c r="CR27" i="29"/>
  <c r="CR28" i="29"/>
  <c r="CR54" i="29"/>
  <c r="CR55" i="29"/>
  <c r="CP47" i="29"/>
  <c r="CP48" i="29"/>
  <c r="CP49" i="29"/>
  <c r="CP54" i="29"/>
  <c r="CP55" i="29"/>
  <c r="CQ55" i="29"/>
  <c r="CO54" i="29"/>
  <c r="CO55" i="29"/>
  <c r="CN47" i="29"/>
  <c r="CN48" i="29"/>
  <c r="CN49" i="29"/>
  <c r="CN54" i="29"/>
  <c r="CN55" i="29"/>
  <c r="CM54" i="29"/>
  <c r="CM55" i="29"/>
  <c r="CL47" i="29"/>
  <c r="CL48" i="29"/>
  <c r="CL49" i="29"/>
  <c r="CL54" i="29"/>
  <c r="CL55" i="29"/>
  <c r="CK55" i="29"/>
  <c r="BX6" i="29"/>
  <c r="BX47" i="29"/>
  <c r="BX8" i="29"/>
  <c r="BX48" i="29"/>
  <c r="BX9" i="29"/>
  <c r="BX49" i="29"/>
  <c r="BX10" i="29"/>
  <c r="BX11" i="29"/>
  <c r="BX12" i="29"/>
  <c r="BX13" i="29"/>
  <c r="BX14" i="29"/>
  <c r="BX15" i="29"/>
  <c r="BX16" i="29"/>
  <c r="BX17" i="29"/>
  <c r="BX18" i="29"/>
  <c r="BX19" i="29"/>
  <c r="BX20" i="29"/>
  <c r="BX21" i="29"/>
  <c r="BX22" i="29"/>
  <c r="BX23" i="29"/>
  <c r="BX24" i="29"/>
  <c r="BX25" i="29"/>
  <c r="BX26" i="29"/>
  <c r="BX27" i="29"/>
  <c r="BX28" i="29"/>
  <c r="BX54" i="29"/>
  <c r="BX55" i="29"/>
  <c r="BX29" i="29"/>
  <c r="BY55" i="29"/>
  <c r="BW6" i="29"/>
  <c r="BW7" i="29"/>
  <c r="BW47" i="29"/>
  <c r="BW8" i="29"/>
  <c r="BW48" i="29"/>
  <c r="BW9" i="29"/>
  <c r="BW49" i="29"/>
  <c r="BW10" i="29"/>
  <c r="BW11" i="29"/>
  <c r="BW12" i="29"/>
  <c r="BW13" i="29"/>
  <c r="BW14" i="29"/>
  <c r="BW15" i="29"/>
  <c r="BW16" i="29"/>
  <c r="BW17" i="29"/>
  <c r="BW18" i="29"/>
  <c r="BW19" i="29"/>
  <c r="BW20" i="29"/>
  <c r="BW21" i="29"/>
  <c r="BW22" i="29"/>
  <c r="BW23" i="29"/>
  <c r="BW24" i="29"/>
  <c r="BW25" i="29"/>
  <c r="BW26" i="29"/>
  <c r="BW27" i="29"/>
  <c r="BW28" i="29"/>
  <c r="BW54" i="29"/>
  <c r="BW55" i="29"/>
  <c r="BU47" i="29"/>
  <c r="BU48" i="29"/>
  <c r="BU49" i="29"/>
  <c r="BU54" i="29"/>
  <c r="BU55" i="29"/>
  <c r="BV55" i="29"/>
  <c r="BT54" i="29"/>
  <c r="BT55" i="29"/>
  <c r="BS47" i="29"/>
  <c r="BS48" i="29"/>
  <c r="BS49" i="29"/>
  <c r="BS54" i="29"/>
  <c r="BS55" i="29"/>
  <c r="BR54" i="29"/>
  <c r="BR55" i="29"/>
  <c r="BQ47" i="29"/>
  <c r="BQ48" i="29"/>
  <c r="BQ49" i="29"/>
  <c r="BQ54" i="29"/>
  <c r="BQ55" i="29"/>
  <c r="BP55" i="29"/>
  <c r="BC6" i="29"/>
  <c r="BC47" i="29"/>
  <c r="BC8" i="29"/>
  <c r="BC48" i="29"/>
  <c r="BC9" i="29"/>
  <c r="BC49" i="29"/>
  <c r="BC10" i="29"/>
  <c r="BC11" i="29"/>
  <c r="BC12" i="29"/>
  <c r="BC13" i="29"/>
  <c r="BC14" i="29"/>
  <c r="BC15" i="29"/>
  <c r="BC16" i="29"/>
  <c r="BC17" i="29"/>
  <c r="BC18" i="29"/>
  <c r="BC19" i="29"/>
  <c r="BC20" i="29"/>
  <c r="BC21" i="29"/>
  <c r="BC22" i="29"/>
  <c r="BC23" i="29"/>
  <c r="BC24" i="29"/>
  <c r="BC25" i="29"/>
  <c r="BC26" i="29"/>
  <c r="BC27" i="29"/>
  <c r="BC28" i="29"/>
  <c r="BC54" i="29"/>
  <c r="BC55" i="29"/>
  <c r="BC29" i="29"/>
  <c r="BD55" i="29"/>
  <c r="BB6" i="29"/>
  <c r="BB7" i="29"/>
  <c r="BB47" i="29"/>
  <c r="BB8" i="29"/>
  <c r="BB48" i="29"/>
  <c r="BB9" i="29"/>
  <c r="BB49" i="29"/>
  <c r="BB10" i="29"/>
  <c r="BB11" i="29"/>
  <c r="BB12" i="29"/>
  <c r="BB13" i="29"/>
  <c r="BB14" i="29"/>
  <c r="BB15" i="29"/>
  <c r="BB16" i="29"/>
  <c r="BB17" i="29"/>
  <c r="BB18" i="29"/>
  <c r="BB19" i="29"/>
  <c r="BB20" i="29"/>
  <c r="BB21" i="29"/>
  <c r="BB22" i="29"/>
  <c r="BB23" i="29"/>
  <c r="BB24" i="29"/>
  <c r="BB25" i="29"/>
  <c r="BB26" i="29"/>
  <c r="BB27" i="29"/>
  <c r="BB28" i="29"/>
  <c r="BB54" i="29"/>
  <c r="BB55" i="29"/>
  <c r="AZ47" i="29"/>
  <c r="AZ48" i="29"/>
  <c r="AZ49" i="29"/>
  <c r="AZ54" i="29"/>
  <c r="AZ55" i="29"/>
  <c r="BA55" i="29"/>
  <c r="AY54" i="29"/>
  <c r="AY55" i="29"/>
  <c r="AX47" i="29"/>
  <c r="AX48" i="29"/>
  <c r="AX49" i="29"/>
  <c r="AX54" i="29"/>
  <c r="AX55" i="29"/>
  <c r="AW54" i="29"/>
  <c r="AW55" i="29"/>
  <c r="AV47" i="29"/>
  <c r="AV48" i="29"/>
  <c r="AV49" i="29"/>
  <c r="AV54" i="29"/>
  <c r="AV55" i="29"/>
  <c r="AU55" i="29"/>
  <c r="AH28" i="29"/>
  <c r="AH54" i="29"/>
  <c r="AH55" i="29"/>
  <c r="AH29" i="29"/>
  <c r="AI55" i="29"/>
  <c r="AG28" i="29"/>
  <c r="AG54" i="29"/>
  <c r="AG55" i="29"/>
  <c r="AE54" i="29"/>
  <c r="AE55" i="29"/>
  <c r="AF55" i="29"/>
  <c r="AD54" i="29"/>
  <c r="AD55" i="29"/>
  <c r="AB54" i="29"/>
  <c r="AB55" i="29"/>
  <c r="FC54" i="29"/>
  <c r="EZ54" i="29"/>
  <c r="ET54" i="29"/>
  <c r="EJ54" i="29"/>
  <c r="EG54" i="29"/>
  <c r="EA54" i="29"/>
  <c r="DO54" i="29"/>
  <c r="DL54" i="29"/>
  <c r="DF54" i="29"/>
  <c r="CT54" i="29"/>
  <c r="CQ54" i="29"/>
  <c r="CK54" i="29"/>
  <c r="BY54" i="29"/>
  <c r="BV54" i="29"/>
  <c r="BP54" i="29"/>
  <c r="BD54" i="29"/>
  <c r="BA54" i="29"/>
  <c r="AU54" i="29"/>
  <c r="AI54" i="29"/>
  <c r="AF54" i="29"/>
  <c r="FC53" i="29"/>
  <c r="EZ53" i="29"/>
  <c r="EJ53" i="29"/>
  <c r="EG53" i="29"/>
  <c r="DO53" i="29"/>
  <c r="DL53" i="29"/>
  <c r="CT53" i="29"/>
  <c r="CQ53" i="29"/>
  <c r="BY53" i="29"/>
  <c r="BV53" i="29"/>
  <c r="BD53" i="29"/>
  <c r="BA53" i="29"/>
  <c r="AI53" i="29"/>
  <c r="AF53" i="29"/>
  <c r="FC52" i="29"/>
  <c r="EZ52" i="29"/>
  <c r="EJ52" i="29"/>
  <c r="EG52" i="29"/>
  <c r="DO52" i="29"/>
  <c r="DL52" i="29"/>
  <c r="CT52" i="29"/>
  <c r="CQ52" i="29"/>
  <c r="BY52" i="29"/>
  <c r="BV52" i="29"/>
  <c r="BD52" i="29"/>
  <c r="BA52" i="29"/>
  <c r="AI52" i="29"/>
  <c r="AF52" i="29"/>
  <c r="FC51" i="29"/>
  <c r="EZ51" i="29"/>
  <c r="EJ51" i="29"/>
  <c r="EG51" i="29"/>
  <c r="DO51" i="29"/>
  <c r="DL51" i="29"/>
  <c r="CT51" i="29"/>
  <c r="CQ51" i="29"/>
  <c r="BY51" i="29"/>
  <c r="BV51" i="29"/>
  <c r="BD51" i="29"/>
  <c r="BA51" i="29"/>
  <c r="AI51" i="29"/>
  <c r="AF51" i="29"/>
  <c r="FC50" i="29"/>
  <c r="EZ50" i="29"/>
  <c r="EJ50" i="29"/>
  <c r="EG50" i="29"/>
  <c r="DO50" i="29"/>
  <c r="DL50" i="29"/>
  <c r="CT50" i="29"/>
  <c r="CQ50" i="29"/>
  <c r="BY50" i="29"/>
  <c r="BV50" i="29"/>
  <c r="BD50" i="29"/>
  <c r="BA50" i="29"/>
  <c r="AI50" i="29"/>
  <c r="AF50" i="29"/>
  <c r="FC49" i="29"/>
  <c r="EZ49" i="29"/>
  <c r="ET49" i="29"/>
  <c r="EJ49" i="29"/>
  <c r="EG49" i="29"/>
  <c r="EA49" i="29"/>
  <c r="DO49" i="29"/>
  <c r="DL49" i="29"/>
  <c r="DF49" i="29"/>
  <c r="CT49" i="29"/>
  <c r="CQ49" i="29"/>
  <c r="CK49" i="29"/>
  <c r="BY49" i="29"/>
  <c r="BV49" i="29"/>
  <c r="BP49" i="29"/>
  <c r="BD49" i="29"/>
  <c r="BA49" i="29"/>
  <c r="AU49" i="29"/>
  <c r="AI49" i="29"/>
  <c r="AF49" i="29"/>
  <c r="FC48" i="29"/>
  <c r="EZ48" i="29"/>
  <c r="ET48" i="29"/>
  <c r="EJ48" i="29"/>
  <c r="EG48" i="29"/>
  <c r="EA48" i="29"/>
  <c r="DO48" i="29"/>
  <c r="DL48" i="29"/>
  <c r="DF48" i="29"/>
  <c r="CT48" i="29"/>
  <c r="CQ48" i="29"/>
  <c r="CK48" i="29"/>
  <c r="BY48" i="29"/>
  <c r="BV48" i="29"/>
  <c r="BP48" i="29"/>
  <c r="BD48" i="29"/>
  <c r="BA48" i="29"/>
  <c r="AU48" i="29"/>
  <c r="AI48" i="29"/>
  <c r="AF48" i="29"/>
  <c r="FC47" i="29"/>
  <c r="EZ47" i="29"/>
  <c r="ET47" i="29"/>
  <c r="EJ47" i="29"/>
  <c r="EG47" i="29"/>
  <c r="EA47" i="29"/>
  <c r="DO47" i="29"/>
  <c r="DL47" i="29"/>
  <c r="DF47" i="29"/>
  <c r="CT47" i="29"/>
  <c r="CQ47" i="29"/>
  <c r="CK47" i="29"/>
  <c r="BY47" i="29"/>
  <c r="BV47" i="29"/>
  <c r="BP47" i="29"/>
  <c r="BD47" i="29"/>
  <c r="BA47" i="29"/>
  <c r="AU47" i="29"/>
  <c r="AI47" i="29"/>
  <c r="AF47" i="29"/>
  <c r="EJ44" i="29"/>
  <c r="EG44" i="29"/>
  <c r="DO44" i="29"/>
  <c r="DL44" i="29"/>
  <c r="CT44" i="29"/>
  <c r="CQ44" i="29"/>
  <c r="CM29" i="29"/>
  <c r="CN44" i="29"/>
  <c r="BY44" i="29"/>
  <c r="BV44" i="29"/>
  <c r="BD44" i="29"/>
  <c r="BA44" i="29"/>
  <c r="AH39" i="29"/>
  <c r="AH44" i="29"/>
  <c r="AI44" i="29"/>
  <c r="AG39" i="29"/>
  <c r="AG44" i="29"/>
  <c r="AE39" i="29"/>
  <c r="AE44" i="29"/>
  <c r="AF44" i="29"/>
  <c r="AD39" i="29"/>
  <c r="AD44" i="29"/>
  <c r="AB39" i="29"/>
  <c r="AB44" i="29"/>
  <c r="EJ43" i="29"/>
  <c r="EG43" i="29"/>
  <c r="DO43" i="29"/>
  <c r="DL43" i="29"/>
  <c r="CT43" i="29"/>
  <c r="CQ43" i="29"/>
  <c r="CN43" i="29"/>
  <c r="BY43" i="29"/>
  <c r="BV43" i="29"/>
  <c r="BD43" i="29"/>
  <c r="BA43" i="29"/>
  <c r="AI43" i="29"/>
  <c r="AF43" i="29"/>
  <c r="EJ42" i="29"/>
  <c r="EG42" i="29"/>
  <c r="DO42" i="29"/>
  <c r="DL42" i="29"/>
  <c r="CT42" i="29"/>
  <c r="CQ42" i="29"/>
  <c r="CN42" i="29"/>
  <c r="BY42" i="29"/>
  <c r="BV42" i="29"/>
  <c r="BD42" i="29"/>
  <c r="BA42" i="29"/>
  <c r="AI42" i="29"/>
  <c r="AF42" i="29"/>
  <c r="EJ41" i="29"/>
  <c r="EG41" i="29"/>
  <c r="DO41" i="29"/>
  <c r="DL41" i="29"/>
  <c r="CT41" i="29"/>
  <c r="CQ41" i="29"/>
  <c r="CN41" i="29"/>
  <c r="BY41" i="29"/>
  <c r="BV41" i="29"/>
  <c r="BD41" i="29"/>
  <c r="BA41" i="29"/>
  <c r="AI41" i="29"/>
  <c r="AF41" i="29"/>
  <c r="EJ40" i="29"/>
  <c r="EG40" i="29"/>
  <c r="DO40" i="29"/>
  <c r="DL40" i="29"/>
  <c r="CT40" i="29"/>
  <c r="CQ40" i="29"/>
  <c r="CN40" i="29"/>
  <c r="BY40" i="29"/>
  <c r="BV40" i="29"/>
  <c r="BD40" i="29"/>
  <c r="BA40" i="29"/>
  <c r="AI40" i="29"/>
  <c r="AF40" i="29"/>
  <c r="EI39" i="29"/>
  <c r="EJ39" i="29"/>
  <c r="EH39" i="29"/>
  <c r="EF39" i="29"/>
  <c r="EG39" i="29"/>
  <c r="EE39" i="29"/>
  <c r="ED39" i="29"/>
  <c r="EC39" i="29"/>
  <c r="EB39" i="29"/>
  <c r="EA39" i="29"/>
  <c r="DN39" i="29"/>
  <c r="DO39" i="29"/>
  <c r="DM39" i="29"/>
  <c r="DK39" i="29"/>
  <c r="DL39" i="29"/>
  <c r="DJ39" i="29"/>
  <c r="DI39" i="29"/>
  <c r="DH39" i="29"/>
  <c r="DG39" i="29"/>
  <c r="DF39" i="29"/>
  <c r="CS39" i="29"/>
  <c r="CT39" i="29"/>
  <c r="CR39" i="29"/>
  <c r="CP39" i="29"/>
  <c r="CQ39" i="29"/>
  <c r="CO39" i="29"/>
  <c r="CM39" i="29"/>
  <c r="CN39" i="29"/>
  <c r="CL39" i="29"/>
  <c r="CK39" i="29"/>
  <c r="BX39" i="29"/>
  <c r="BY39" i="29"/>
  <c r="BW39" i="29"/>
  <c r="BU39" i="29"/>
  <c r="BV39" i="29"/>
  <c r="BT39" i="29"/>
  <c r="BS39" i="29"/>
  <c r="BR39" i="29"/>
  <c r="BQ39" i="29"/>
  <c r="BP39" i="29"/>
  <c r="BC39" i="29"/>
  <c r="BD39" i="29"/>
  <c r="BB39" i="29"/>
  <c r="AZ39" i="29"/>
  <c r="BA39" i="29"/>
  <c r="AY39" i="29"/>
  <c r="AX39" i="29"/>
  <c r="AW39" i="29"/>
  <c r="AV39" i="29"/>
  <c r="AU39" i="29"/>
  <c r="AI39" i="29"/>
  <c r="AF39" i="29"/>
  <c r="FB32" i="29"/>
  <c r="FB34" i="29"/>
  <c r="FB36" i="29"/>
  <c r="FC36" i="29"/>
  <c r="FA32" i="29"/>
  <c r="FA34" i="29"/>
  <c r="FA36" i="29"/>
  <c r="EY32" i="29"/>
  <c r="EY34" i="29"/>
  <c r="EY36" i="29"/>
  <c r="EZ36" i="29"/>
  <c r="EX34" i="29"/>
  <c r="EX36" i="29"/>
  <c r="EW32" i="29"/>
  <c r="EW34" i="29"/>
  <c r="EW36" i="29"/>
  <c r="EV34" i="29"/>
  <c r="EV36" i="29"/>
  <c r="EU32" i="29"/>
  <c r="EU34" i="29"/>
  <c r="EU36" i="29"/>
  <c r="ET36" i="29"/>
  <c r="EI32" i="29"/>
  <c r="EI34" i="29"/>
  <c r="EI36" i="29"/>
  <c r="EJ36" i="29"/>
  <c r="EH32" i="29"/>
  <c r="EH34" i="29"/>
  <c r="EH36" i="29"/>
  <c r="EF32" i="29"/>
  <c r="EF34" i="29"/>
  <c r="EF36" i="29"/>
  <c r="EG36" i="29"/>
  <c r="EE34" i="29"/>
  <c r="EE36" i="29"/>
  <c r="ED32" i="29"/>
  <c r="ED34" i="29"/>
  <c r="ED36" i="29"/>
  <c r="EC34" i="29"/>
  <c r="EC36" i="29"/>
  <c r="EB32" i="29"/>
  <c r="EB34" i="29"/>
  <c r="EB36" i="29"/>
  <c r="EA36" i="29"/>
  <c r="DN32" i="29"/>
  <c r="DN34" i="29"/>
  <c r="DN36" i="29"/>
  <c r="DO36" i="29"/>
  <c r="DM32" i="29"/>
  <c r="DM34" i="29"/>
  <c r="DM36" i="29"/>
  <c r="DK32" i="29"/>
  <c r="DK34" i="29"/>
  <c r="DK36" i="29"/>
  <c r="DL36" i="29"/>
  <c r="DJ34" i="29"/>
  <c r="DJ36" i="29"/>
  <c r="DI32" i="29"/>
  <c r="DI34" i="29"/>
  <c r="DI36" i="29"/>
  <c r="DH34" i="29"/>
  <c r="DH36" i="29"/>
  <c r="DG32" i="29"/>
  <c r="DG34" i="29"/>
  <c r="DG36" i="29"/>
  <c r="DF36" i="29"/>
  <c r="CS32" i="29"/>
  <c r="CS34" i="29"/>
  <c r="CS36" i="29"/>
  <c r="CT36" i="29"/>
  <c r="CR32" i="29"/>
  <c r="CR34" i="29"/>
  <c r="CR36" i="29"/>
  <c r="CP32" i="29"/>
  <c r="CP34" i="29"/>
  <c r="CP36" i="29"/>
  <c r="CQ36" i="29"/>
  <c r="CO34" i="29"/>
  <c r="CO36" i="29"/>
  <c r="CN32" i="29"/>
  <c r="CN34" i="29"/>
  <c r="CN36" i="29"/>
  <c r="CM34" i="29"/>
  <c r="CM36" i="29"/>
  <c r="CL32" i="29"/>
  <c r="CL34" i="29"/>
  <c r="CL36" i="29"/>
  <c r="CK36" i="29"/>
  <c r="BX32" i="29"/>
  <c r="BX34" i="29"/>
  <c r="BX36" i="29"/>
  <c r="BY36" i="29"/>
  <c r="BW32" i="29"/>
  <c r="BW34" i="29"/>
  <c r="BW36" i="29"/>
  <c r="BU32" i="29"/>
  <c r="BU34" i="29"/>
  <c r="BU36" i="29"/>
  <c r="BV36" i="29"/>
  <c r="BT34" i="29"/>
  <c r="BT36" i="29"/>
  <c r="BS32" i="29"/>
  <c r="BS34" i="29"/>
  <c r="BS36" i="29"/>
  <c r="BR34" i="29"/>
  <c r="BR36" i="29"/>
  <c r="BQ32" i="29"/>
  <c r="BQ34" i="29"/>
  <c r="BQ36" i="29"/>
  <c r="BP36" i="29"/>
  <c r="BC32" i="29"/>
  <c r="BC34" i="29"/>
  <c r="BC36" i="29"/>
  <c r="BD36" i="29"/>
  <c r="BB32" i="29"/>
  <c r="BB34" i="29"/>
  <c r="BB36" i="29"/>
  <c r="AZ32" i="29"/>
  <c r="AZ34" i="29"/>
  <c r="AZ36" i="29"/>
  <c r="BA36" i="29"/>
  <c r="AY34" i="29"/>
  <c r="AY36" i="29"/>
  <c r="AX32" i="29"/>
  <c r="AX34" i="29"/>
  <c r="AX36" i="29"/>
  <c r="AW34" i="29"/>
  <c r="AW36" i="29"/>
  <c r="AV32" i="29"/>
  <c r="AV34" i="29"/>
  <c r="AV36" i="29"/>
  <c r="AU36" i="29"/>
  <c r="AH34" i="29"/>
  <c r="AH36" i="29"/>
  <c r="AI36" i="29"/>
  <c r="AG34" i="29"/>
  <c r="AG36" i="29"/>
  <c r="AE34" i="29"/>
  <c r="AE36" i="29"/>
  <c r="AF36" i="29"/>
  <c r="AD34" i="29"/>
  <c r="AD36" i="29"/>
  <c r="AB34" i="29"/>
  <c r="AB36" i="29"/>
  <c r="FC35" i="29"/>
  <c r="EZ35" i="29"/>
  <c r="EJ35" i="29"/>
  <c r="EG35" i="29"/>
  <c r="DO35" i="29"/>
  <c r="DL35" i="29"/>
  <c r="CT35" i="29"/>
  <c r="CQ35" i="29"/>
  <c r="BY35" i="29"/>
  <c r="BV35" i="29"/>
  <c r="BD35" i="29"/>
  <c r="BA35" i="29"/>
  <c r="AI35" i="29"/>
  <c r="AF35" i="29"/>
  <c r="FC34" i="29"/>
  <c r="EZ34" i="29"/>
  <c r="ET34" i="29"/>
  <c r="EJ34" i="29"/>
  <c r="EG34" i="29"/>
  <c r="EA34" i="29"/>
  <c r="DO34" i="29"/>
  <c r="DL34" i="29"/>
  <c r="DF34" i="29"/>
  <c r="CT34" i="29"/>
  <c r="CQ34" i="29"/>
  <c r="CK34" i="29"/>
  <c r="BY34" i="29"/>
  <c r="BV34" i="29"/>
  <c r="BP34" i="29"/>
  <c r="BD34" i="29"/>
  <c r="BA34" i="29"/>
  <c r="AU34" i="29"/>
  <c r="AI34" i="29"/>
  <c r="AF34" i="29"/>
  <c r="FC33" i="29"/>
  <c r="EZ33" i="29"/>
  <c r="EJ33" i="29"/>
  <c r="EG33" i="29"/>
  <c r="DO33" i="29"/>
  <c r="DL33" i="29"/>
  <c r="CT33" i="29"/>
  <c r="CQ33" i="29"/>
  <c r="BY33" i="29"/>
  <c r="BV33" i="29"/>
  <c r="BD33" i="29"/>
  <c r="BA33" i="29"/>
  <c r="AI33" i="29"/>
  <c r="AF33" i="29"/>
  <c r="FC32" i="29"/>
  <c r="EZ32" i="29"/>
  <c r="ET32" i="29"/>
  <c r="EJ32" i="29"/>
  <c r="EG32" i="29"/>
  <c r="EA32" i="29"/>
  <c r="DO32" i="29"/>
  <c r="DL32" i="29"/>
  <c r="DF32" i="29"/>
  <c r="CT32" i="29"/>
  <c r="CQ32" i="29"/>
  <c r="CK32" i="29"/>
  <c r="BY32" i="29"/>
  <c r="BV32" i="29"/>
  <c r="BP32" i="29"/>
  <c r="BD32" i="29"/>
  <c r="BA32" i="29"/>
  <c r="AU32" i="29"/>
  <c r="AI32" i="29"/>
  <c r="AF32" i="29"/>
  <c r="FC29" i="29"/>
  <c r="FA29" i="29"/>
  <c r="EZ29" i="29"/>
  <c r="EX29" i="29"/>
  <c r="EW29" i="29"/>
  <c r="EV29" i="29"/>
  <c r="EU29" i="29"/>
  <c r="ET29" i="29"/>
  <c r="EJ6" i="29"/>
  <c r="EJ7" i="29"/>
  <c r="EJ8" i="29"/>
  <c r="EJ9" i="29"/>
  <c r="EJ10" i="29"/>
  <c r="EJ11" i="29"/>
  <c r="EJ12" i="29"/>
  <c r="EJ13" i="29"/>
  <c r="EJ14" i="29"/>
  <c r="EJ15" i="29"/>
  <c r="EJ16" i="29"/>
  <c r="EJ17" i="29"/>
  <c r="EJ18" i="29"/>
  <c r="EJ19" i="29"/>
  <c r="EJ20" i="29"/>
  <c r="EJ21" i="29"/>
  <c r="EJ22" i="29"/>
  <c r="EJ23" i="29"/>
  <c r="EJ24" i="29"/>
  <c r="EJ25" i="29"/>
  <c r="EJ26" i="29"/>
  <c r="EJ27" i="29"/>
  <c r="EJ28" i="29"/>
  <c r="EJ29" i="29"/>
  <c r="EH29" i="29"/>
  <c r="EG6" i="29"/>
  <c r="EG7" i="29"/>
  <c r="EG8" i="29"/>
  <c r="EG9" i="29"/>
  <c r="EG10" i="29"/>
  <c r="EG11" i="29"/>
  <c r="EG12" i="29"/>
  <c r="EG13" i="29"/>
  <c r="EG14" i="29"/>
  <c r="EG15" i="29"/>
  <c r="EG16" i="29"/>
  <c r="EG17" i="29"/>
  <c r="EG18" i="29"/>
  <c r="EG19" i="29"/>
  <c r="EG20" i="29"/>
  <c r="EG21" i="29"/>
  <c r="EG22" i="29"/>
  <c r="EG23" i="29"/>
  <c r="EG24" i="29"/>
  <c r="EG25" i="29"/>
  <c r="EG26" i="29"/>
  <c r="EG27" i="29"/>
  <c r="EG28" i="29"/>
  <c r="EG29" i="29"/>
  <c r="EE29" i="29"/>
  <c r="ED29" i="29"/>
  <c r="EC29" i="29"/>
  <c r="DO6" i="29"/>
  <c r="DO7" i="29"/>
  <c r="DO8" i="29"/>
  <c r="DO9" i="29"/>
  <c r="DO10" i="29"/>
  <c r="DO11" i="29"/>
  <c r="DO12" i="29"/>
  <c r="DO13" i="29"/>
  <c r="DO14" i="29"/>
  <c r="DO15" i="29"/>
  <c r="DO16" i="29"/>
  <c r="DO17" i="29"/>
  <c r="DO18" i="29"/>
  <c r="DO19" i="29"/>
  <c r="DO20" i="29"/>
  <c r="DO21" i="29"/>
  <c r="DO22" i="29"/>
  <c r="DO23" i="29"/>
  <c r="DO24" i="29"/>
  <c r="DO25" i="29"/>
  <c r="DO26" i="29"/>
  <c r="DO27" i="29"/>
  <c r="DO28" i="29"/>
  <c r="DO29" i="29"/>
  <c r="DM29" i="29"/>
  <c r="DL6" i="29"/>
  <c r="DL7" i="29"/>
  <c r="DL8" i="29"/>
  <c r="DL9" i="29"/>
  <c r="DL10" i="29"/>
  <c r="DL11" i="29"/>
  <c r="DL12" i="29"/>
  <c r="DL13" i="29"/>
  <c r="DL14" i="29"/>
  <c r="DL15" i="29"/>
  <c r="DL16" i="29"/>
  <c r="DL17" i="29"/>
  <c r="DL18" i="29"/>
  <c r="DL19" i="29"/>
  <c r="DL20" i="29"/>
  <c r="DL21" i="29"/>
  <c r="DL22" i="29"/>
  <c r="DL23" i="29"/>
  <c r="DL24" i="29"/>
  <c r="DL25" i="29"/>
  <c r="DL26" i="29"/>
  <c r="DL27" i="29"/>
  <c r="DL28" i="29"/>
  <c r="DL29" i="29"/>
  <c r="DJ29" i="29"/>
  <c r="DI29" i="29"/>
  <c r="DH29" i="29"/>
  <c r="CT6" i="29"/>
  <c r="CT7" i="29"/>
  <c r="CT8" i="29"/>
  <c r="CT9" i="29"/>
  <c r="CT10" i="29"/>
  <c r="CT11" i="29"/>
  <c r="CT12" i="29"/>
  <c r="CT13" i="29"/>
  <c r="CT14" i="29"/>
  <c r="CT15" i="29"/>
  <c r="CT16" i="29"/>
  <c r="CT17" i="29"/>
  <c r="CT18" i="29"/>
  <c r="CT19" i="29"/>
  <c r="CT20" i="29"/>
  <c r="CT21" i="29"/>
  <c r="CT22" i="29"/>
  <c r="CT23" i="29"/>
  <c r="CT24" i="29"/>
  <c r="CT25" i="29"/>
  <c r="CT26" i="29"/>
  <c r="CT27" i="29"/>
  <c r="CT28" i="29"/>
  <c r="CT29" i="29"/>
  <c r="CR29" i="29"/>
  <c r="CQ6" i="29"/>
  <c r="CQ7" i="29"/>
  <c r="CQ8" i="29"/>
  <c r="CQ9" i="29"/>
  <c r="CQ10" i="29"/>
  <c r="CQ11" i="29"/>
  <c r="CQ12" i="29"/>
  <c r="CQ13" i="29"/>
  <c r="CQ14" i="29"/>
  <c r="CQ15" i="29"/>
  <c r="CQ16" i="29"/>
  <c r="CQ17" i="29"/>
  <c r="CQ18" i="29"/>
  <c r="CQ19" i="29"/>
  <c r="CQ20" i="29"/>
  <c r="CQ21" i="29"/>
  <c r="CQ22" i="29"/>
  <c r="CQ23" i="29"/>
  <c r="CQ24" i="29"/>
  <c r="CQ25" i="29"/>
  <c r="CQ26" i="29"/>
  <c r="CQ27" i="29"/>
  <c r="CQ28" i="29"/>
  <c r="CQ29" i="29"/>
  <c r="CO29" i="29"/>
  <c r="CN29" i="29"/>
  <c r="BY6" i="29"/>
  <c r="BY7" i="29"/>
  <c r="BY8" i="29"/>
  <c r="BY9" i="29"/>
  <c r="BY10" i="29"/>
  <c r="BY11" i="29"/>
  <c r="BY12" i="29"/>
  <c r="BY13" i="29"/>
  <c r="BY14" i="29"/>
  <c r="BY15" i="29"/>
  <c r="BY16" i="29"/>
  <c r="BY17" i="29"/>
  <c r="BY18" i="29"/>
  <c r="BY19" i="29"/>
  <c r="BY20" i="29"/>
  <c r="BY21" i="29"/>
  <c r="BY22" i="29"/>
  <c r="BY23" i="29"/>
  <c r="BY24" i="29"/>
  <c r="BY25" i="29"/>
  <c r="BY26" i="29"/>
  <c r="BY27" i="29"/>
  <c r="BY28" i="29"/>
  <c r="BY29" i="29"/>
  <c r="BW29" i="29"/>
  <c r="BV6" i="29"/>
  <c r="BV7" i="29"/>
  <c r="BV8" i="29"/>
  <c r="BV9" i="29"/>
  <c r="BV10" i="29"/>
  <c r="BV11" i="29"/>
  <c r="BV12" i="29"/>
  <c r="BV13" i="29"/>
  <c r="BV14" i="29"/>
  <c r="BV15" i="29"/>
  <c r="BV16" i="29"/>
  <c r="BV17" i="29"/>
  <c r="BV18" i="29"/>
  <c r="BV19" i="29"/>
  <c r="BV20" i="29"/>
  <c r="BV21" i="29"/>
  <c r="BV22" i="29"/>
  <c r="BV23" i="29"/>
  <c r="BV24" i="29"/>
  <c r="BV25" i="29"/>
  <c r="BV26" i="29"/>
  <c r="BV27" i="29"/>
  <c r="BV28" i="29"/>
  <c r="BV29" i="29"/>
  <c r="BT29" i="29"/>
  <c r="BS29" i="29"/>
  <c r="BR29" i="29"/>
  <c r="BD6" i="29"/>
  <c r="BD7" i="29"/>
  <c r="BD8" i="29"/>
  <c r="BD9" i="29"/>
  <c r="BD10" i="29"/>
  <c r="BD11" i="29"/>
  <c r="BD12" i="29"/>
  <c r="BD13" i="29"/>
  <c r="BD14" i="29"/>
  <c r="BD15" i="29"/>
  <c r="BD16" i="29"/>
  <c r="BD17" i="29"/>
  <c r="BD18" i="29"/>
  <c r="BD19" i="29"/>
  <c r="BD20" i="29"/>
  <c r="BD21" i="29"/>
  <c r="BD22" i="29"/>
  <c r="BD23" i="29"/>
  <c r="BD24" i="29"/>
  <c r="BD25" i="29"/>
  <c r="BD26" i="29"/>
  <c r="BD27" i="29"/>
  <c r="BD28" i="29"/>
  <c r="BD29" i="29"/>
  <c r="BB29" i="29"/>
  <c r="BA6" i="29"/>
  <c r="BA7" i="29"/>
  <c r="BA8" i="29"/>
  <c r="BA9" i="29"/>
  <c r="BA10" i="29"/>
  <c r="BA11" i="29"/>
  <c r="BA12" i="29"/>
  <c r="BA13" i="29"/>
  <c r="BA14" i="29"/>
  <c r="BA15" i="29"/>
  <c r="BA16" i="29"/>
  <c r="BA17" i="29"/>
  <c r="BA18" i="29"/>
  <c r="BA19" i="29"/>
  <c r="BA20" i="29"/>
  <c r="BA21" i="29"/>
  <c r="BA22" i="29"/>
  <c r="BA23" i="29"/>
  <c r="BA24" i="29"/>
  <c r="BA25" i="29"/>
  <c r="BA26" i="29"/>
  <c r="BA27" i="29"/>
  <c r="BA28" i="29"/>
  <c r="BA29" i="29"/>
  <c r="AY29" i="29"/>
  <c r="AX29" i="29"/>
  <c r="AW29" i="29"/>
  <c r="AI6" i="29"/>
  <c r="AI7" i="29"/>
  <c r="AI8" i="29"/>
  <c r="AI9" i="29"/>
  <c r="AI10" i="29"/>
  <c r="AI11" i="29"/>
  <c r="AI12" i="29"/>
  <c r="AI13" i="29"/>
  <c r="AI14" i="29"/>
  <c r="AI15" i="29"/>
  <c r="AI16" i="29"/>
  <c r="AI17" i="29"/>
  <c r="AI18" i="29"/>
  <c r="AI19" i="29"/>
  <c r="AI20" i="29"/>
  <c r="AI21" i="29"/>
  <c r="AI22" i="29"/>
  <c r="AI23" i="29"/>
  <c r="AI24" i="29"/>
  <c r="AI25" i="29"/>
  <c r="AI26" i="29"/>
  <c r="AI27" i="29"/>
  <c r="AI28" i="29"/>
  <c r="AI29" i="29"/>
  <c r="AG29" i="29"/>
  <c r="AF6" i="29"/>
  <c r="AF7" i="29"/>
  <c r="AF8" i="29"/>
  <c r="AF9" i="29"/>
  <c r="AF10" i="29"/>
  <c r="AF11" i="29"/>
  <c r="AF12" i="29"/>
  <c r="AF13" i="29"/>
  <c r="AF14" i="29"/>
  <c r="AF15" i="29"/>
  <c r="AF16" i="29"/>
  <c r="AF17" i="29"/>
  <c r="AF18" i="29"/>
  <c r="AF19" i="29"/>
  <c r="AF20" i="29"/>
  <c r="AF21" i="29"/>
  <c r="AF22" i="29"/>
  <c r="AF23" i="29"/>
  <c r="AF24" i="29"/>
  <c r="AF25" i="29"/>
  <c r="AF26" i="29"/>
  <c r="AF27" i="29"/>
  <c r="AF28" i="29"/>
  <c r="AF29" i="29"/>
  <c r="AD29" i="29"/>
  <c r="AB29" i="29"/>
  <c r="FC28" i="29"/>
  <c r="EZ28" i="29"/>
  <c r="ET28" i="29"/>
  <c r="FC27" i="29"/>
  <c r="EZ27" i="29"/>
  <c r="ET27" i="29"/>
  <c r="FC26" i="29"/>
  <c r="EZ26" i="29"/>
  <c r="ET26" i="29"/>
  <c r="FC25" i="29"/>
  <c r="EZ25" i="29"/>
  <c r="ET25" i="29"/>
  <c r="FC24" i="29"/>
  <c r="EZ24" i="29"/>
  <c r="ET24" i="29"/>
  <c r="FC23" i="29"/>
  <c r="EZ23" i="29"/>
  <c r="ET23" i="29"/>
  <c r="FC22" i="29"/>
  <c r="EZ22" i="29"/>
  <c r="ET22" i="29"/>
  <c r="FC21" i="29"/>
  <c r="EZ21" i="29"/>
  <c r="ET21" i="29"/>
  <c r="FC20" i="29"/>
  <c r="EZ20" i="29"/>
  <c r="ET20" i="29"/>
  <c r="FC19" i="29"/>
  <c r="EZ19" i="29"/>
  <c r="ET19" i="29"/>
  <c r="FC18" i="29"/>
  <c r="EZ18" i="29"/>
  <c r="ET18" i="29"/>
  <c r="FC17" i="29"/>
  <c r="EZ17" i="29"/>
  <c r="ET17" i="29"/>
  <c r="FC16" i="29"/>
  <c r="EZ16" i="29"/>
  <c r="ET16" i="29"/>
  <c r="FC15" i="29"/>
  <c r="EZ15" i="29"/>
  <c r="ET15" i="29"/>
  <c r="FC14" i="29"/>
  <c r="EZ14" i="29"/>
  <c r="ET14" i="29"/>
  <c r="FC13" i="29"/>
  <c r="EZ13" i="29"/>
  <c r="ET13" i="29"/>
  <c r="FC12" i="29"/>
  <c r="EZ12" i="29"/>
  <c r="ET12" i="29"/>
  <c r="FC11" i="29"/>
  <c r="EZ11" i="29"/>
  <c r="ET11" i="29"/>
  <c r="FC10" i="29"/>
  <c r="EZ10" i="29"/>
  <c r="ET10" i="29"/>
  <c r="FC9" i="29"/>
  <c r="EZ9" i="29"/>
  <c r="ET9" i="29"/>
  <c r="FC8" i="29"/>
  <c r="EZ8" i="29"/>
  <c r="ET8" i="29"/>
  <c r="FC7" i="29"/>
  <c r="EZ7" i="29"/>
  <c r="EA7" i="29"/>
  <c r="DF7" i="29"/>
  <c r="CK7" i="29"/>
  <c r="BP7" i="29"/>
  <c r="AU7" i="29"/>
  <c r="FC6" i="29"/>
  <c r="EZ6" i="29"/>
  <c r="ET6" i="29"/>
  <c r="AM88" i="29"/>
  <c r="CC88" i="29"/>
  <c r="DS88" i="29"/>
</calcChain>
</file>

<file path=xl/sharedStrings.xml><?xml version="1.0" encoding="utf-8"?>
<sst xmlns="http://schemas.openxmlformats.org/spreadsheetml/2006/main" count="2651" uniqueCount="681">
  <si>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</si>
  <si>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</si>
  <si>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</si>
  <si>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</si>
  <si>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</si>
  <si>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</si>
  <si>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</si>
  <si>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</si>
  <si>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</si>
  <si>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</si>
  <si>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</si>
  <si>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</si>
  <si>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</si>
  <si>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</si>
  <si>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</si>
  <si>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</si>
  <si>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</si>
  <si>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</si>
  <si>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</si>
  <si>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</si>
  <si>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</si>
  <si>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</si>
  <si>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</si>
  <si>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</si>
  <si>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</si>
  <si>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</si>
  <si>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</si>
  <si>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</si>
  <si>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</si>
  <si>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</si>
  <si>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</si>
  <si>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</si>
  <si>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</si>
  <si>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</si>
  <si>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</si>
  <si>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</si>
  <si>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</si>
  <si>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</si>
  <si>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</si>
  <si>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</si>
  <si>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</si>
  <si>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</si>
  <si>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</si>
  <si>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</si>
  <si>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</si>
  <si>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</si>
  <si>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</si>
  <si>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</si>
  <si>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</si>
  <si>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</si>
  <si>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</si>
  <si>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</si>
  <si>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</si>
  <si>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</si>
  <si>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</si>
  <si>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</si>
  <si>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</si>
  <si>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</si>
  <si>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</si>
  <si>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</si>
  <si>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</si>
  <si>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</si>
  <si>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</si>
  <si>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</si>
  <si>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</si>
  <si>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</si>
  <si>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</si>
  <si>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</si>
  <si>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</si>
  <si>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</si>
  <si>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</si>
  <si>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</si>
  <si>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</si>
  <si>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</si>
  <si>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</si>
  <si>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</si>
  <si>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</si>
  <si>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</si>
  <si>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</si>
  <si>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</si>
  <si>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</si>
  <si>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</si>
  <si>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</si>
  <si>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</si>
  <si>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</si>
  <si>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</si>
  <si>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</si>
  <si>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</si>
  <si>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</si>
  <si>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</si>
  <si>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</si>
  <si>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</si>
  <si>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</si>
  <si>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</si>
  <si>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</si>
  <si>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</si>
  <si>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</si>
  <si>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</si>
  <si>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</si>
  <si>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</si>
  <si>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</si>
  <si>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</si>
  <si>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</si>
  <si>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</si>
  <si>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</si>
  <si>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</si>
  <si>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</si>
  <si>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</si>
  <si>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</si>
  <si>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</si>
  <si>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</si>
  <si>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</si>
  <si>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</si>
  <si>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</si>
  <si>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</si>
  <si>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</si>
  <si>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</si>
  <si>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</si>
  <si>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</si>
  <si>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</si>
  <si>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</si>
  <si>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</si>
  <si>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</si>
  <si>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</si>
  <si>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</si>
  <si>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</si>
  <si>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</si>
  <si>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</si>
  <si>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</si>
  <si>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</si>
  <si>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</si>
  <si>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</si>
  <si>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</si>
  <si>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</si>
  <si>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</si>
  <si>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</si>
  <si>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</si>
  <si>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</si>
  <si>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</si>
  <si>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</si>
  <si>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</si>
  <si>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</si>
  <si>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</si>
  <si>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</si>
  <si>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</si>
  <si>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</si>
  <si>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</si>
  <si>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</si>
  <si>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</si>
  <si>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</si>
  <si>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</si>
  <si>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</si>
  <si>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</si>
  <si>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</si>
  <si>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</si>
  <si>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</si>
  <si>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</si>
  <si>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</si>
  <si>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</si>
  <si>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</si>
  <si>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</si>
  <si>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rPr>
      <t>1 - Equity Issuance Round 2</t>
    </r>
    <r>
      <rPr>
        <sz val="12"/>
        <color theme="1"/>
        <rFont val="Avenir Book"/>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</si>
  <si>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</si>
  <si>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</si>
  <si>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</si>
  <si>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</si>
  <si>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</si>
  <si>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</si>
  <si>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</si>
  <si>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</si>
  <si>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</si>
  <si>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</si>
  <si>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</si>
  <si>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</si>
  <si>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</si>
  <si>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</si>
  <si>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</si>
  <si>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</si>
  <si>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</si>
  <si>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</si>
  <si>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</si>
  <si>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</si>
  <si>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</si>
  <si>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</si>
  <si>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</si>
  <si>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</si>
  <si>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</si>
  <si>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</si>
  <si>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</si>
  <si>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</si>
  <si>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</si>
  <si>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</si>
  <si>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</si>
  <si>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</si>
  <si>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</si>
  <si>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</si>
  <si>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</si>
  <si>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</si>
  <si>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</si>
  <si>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</si>
  <si>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</si>
  <si>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</si>
  <si>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</si>
  <si>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</si>
  <si>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</si>
  <si>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</si>
  <si>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</si>
  <si>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</si>
  <si>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</si>
  <si>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</si>
  <si>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</si>
  <si>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</si>
  <si>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</si>
  <si>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</si>
  <si>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</si>
  <si>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</si>
  <si>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</si>
  <si>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</si>
  <si>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</si>
  <si>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</si>
  <si>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rPr>
      <t>Exit Waterfall</t>
    </r>
    <r>
      <rPr>
        <sz val="12"/>
        <color theme="1"/>
        <rFont val="Avenir Book"/>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</si>
  <si>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</si>
  <si>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</si>
  <si>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</si>
  <si>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</si>
  <si>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</si>
  <si>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</si>
  <si>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</si>
  <si>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</si>
  <si>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rPr>
      <t>highly suggest</t>
    </r>
    <r>
      <rPr>
        <sz val="12"/>
        <color theme="1"/>
        <rFont val="Avenir Book"/>
      </rPr>
      <t xml:space="preserve"> using an online cap table management platform, such as:</t>
    </r>
  </si>
  <si>
    <r>
      <rPr>
        <b/>
        <sz val="12"/>
        <color theme="1"/>
        <rFont val="Avenir Book"/>
      </rPr>
      <t>3 - Conversion, $ Invested</t>
    </r>
    <r>
      <rPr>
        <sz val="12"/>
        <color theme="1"/>
        <rFont val="Avenir Book"/>
      </rPr>
      <t xml:space="preserve"> demonstrates converting a convertible instrument at the next round using the dollars-invested method</t>
    </r>
  </si>
  <si>
    <r>
      <rPr>
        <b/>
        <sz val="12"/>
        <color theme="1"/>
        <rFont val="Avenir Book"/>
      </rPr>
      <t>3 - Conversion, % Ownership</t>
    </r>
    <r>
      <rPr>
        <sz val="12"/>
        <color theme="1"/>
        <rFont val="Avenir Book"/>
      </rPr>
      <t xml:space="preserve"> demonstrates converting a convertible instrument at the next round using the percentage ownership method</t>
    </r>
  </si>
  <si>
    <r>
      <rPr>
        <b/>
        <sz val="12"/>
        <color theme="1"/>
        <rFont val="Avenir Book"/>
      </rPr>
      <t>3 - Conversion, Premoney</t>
    </r>
    <r>
      <rPr>
        <sz val="12"/>
        <color theme="1"/>
        <rFont val="Avenir Book"/>
      </rPr>
      <t xml:space="preserve"> demonstrates converting a convertible instrument at the next round using the premoney method (v1 of the Cap Table Tool only used this method)</t>
    </r>
  </si>
  <si>
    <r>
      <rPr>
        <b/>
        <sz val="12"/>
        <color theme="1"/>
        <rFont val="Avenir Book"/>
      </rPr>
      <t>3 - Convertible Issuance</t>
    </r>
    <r>
      <rPr>
        <sz val="12"/>
        <color theme="1"/>
        <rFont val="Avenir Book"/>
      </rPr>
      <t xml:space="preserve"> demonstrates issuing a new convertible note.</t>
    </r>
  </si>
  <si>
    <r>
      <rPr>
        <b/>
        <sz val="12"/>
        <color theme="1"/>
        <rFont val="Avenir Book"/>
      </rPr>
      <t>1 - Equity Issuance</t>
    </r>
    <r>
      <rPr>
        <sz val="12"/>
        <color theme="1"/>
        <rFont val="Avenir Book"/>
      </rPr>
      <t xml:space="preserve"> is an example cap table that demonstrates a simple issuance of a first round of equity</t>
    </r>
  </si>
  <si>
    <r>
      <rPr>
        <b/>
        <sz val="12"/>
        <color theme="1"/>
        <rFont val="Avenir Book"/>
      </rPr>
      <t>2 - Premoney Option Pool</t>
    </r>
    <r>
      <rPr>
        <sz val="12"/>
        <color theme="1"/>
        <rFont val="Avenir Book"/>
      </rPr>
      <t xml:space="preserve"> demonstrates creating an option pool in the premoney (explanation on the sheet)</t>
    </r>
  </si>
  <si>
    <r>
      <rPr>
        <b/>
        <sz val="12"/>
        <color theme="1"/>
        <rFont val="Avenir Book"/>
      </rPr>
      <t>2 - Postmoney Option Pool</t>
    </r>
    <r>
      <rPr>
        <sz val="12"/>
        <color theme="1"/>
        <rFont val="Avenir Book"/>
      </rPr>
      <t xml:space="preserve"> demonstrates creating an option pool in the postmoney (explanation on the sheet)</t>
    </r>
  </si>
  <si>
    <r>
      <rPr>
        <b/>
        <sz val="12"/>
        <color theme="1"/>
        <rFont val="Avenir Book"/>
      </rPr>
      <t>2 - Option Pool, 2nd Round</t>
    </r>
    <r>
      <rPr>
        <sz val="12"/>
        <color theme="1"/>
        <rFont val="Avenir Book"/>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</si>
  <si>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</si>
  <si>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</si>
  <si>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</si>
  <si>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</si>
  <si>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</si>
  <si>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t>These three sheets - Cap Table, Assumptions, and Exit Waterfall - are the core components of the full Cap Table Model that is the default in the Standard Model.</t>
  </si>
  <si>
    <r>
      <rPr>
        <b/>
        <sz val="12"/>
        <color theme="1"/>
        <rFont val="Avenir Book"/>
      </rPr>
      <t xml:space="preserve">Cap Table </t>
    </r>
    <r>
      <rPr>
        <sz val="12"/>
        <color theme="1"/>
        <rFont val="Avenir Book"/>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</si>
  <si>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</si>
  <si>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</si>
  <si>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</si>
  <si>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</si>
  <si>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</si>
  <si>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</si>
  <si>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</si>
  <si>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</si>
  <si>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</si>
  <si>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</si>
  <si>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</si>
  <si>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</si>
  <si>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</si>
  <si>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</si>
  <si>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</si>
  <si>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</si>
  <si>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</si>
  <si>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</si>
  <si>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</si>
  <si>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</si>
  <si>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</si>
  <si>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</si>
  <si>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</si>
  <si>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</si>
  <si>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</si>
  <si>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</si>
  <si>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</si>
  <si>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</si>
  <si>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</si>
  <si>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</si>
  <si>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</si>
  <si>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</si>
  <si>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</si>
  <si>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</si>
  <si>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</si>
  <si>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</si>
  <si>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</si>
  <si>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</si>
  <si>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</si>
  <si>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</si>
  <si>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</si>
  <si>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</si>
  <si>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</si>
  <si>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</si>
  <si>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</si>
  <si>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</si>
  <si>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</si>
  <si>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</si>
  <si>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rPr>
      <t>Summary</t>
    </r>
    <r>
      <rPr>
        <sz val="12"/>
        <color theme="1"/>
        <rFont val="Avenir Book"/>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</si>
  <si>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</si>
  <si>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</si>
  <si>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rPr>
      <t>&gt;</t>
    </r>
  </si>
  <si>
    <r>
      <t xml:space="preserve">Compare to Round </t>
    </r>
    <r>
      <rPr>
        <sz val="9"/>
        <color theme="1"/>
        <rFont val="Avenir Book"/>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</si>
  <si>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</si>
  <si>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</si>
  <si>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</si>
  <si>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</si>
  <si>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</si>
  <si>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</si>
  <si>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</si>
  <si>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</si>
  <si>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</si>
  <si>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</si>
  <si>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</si>
  <si>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</si>
  <si>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</si>
  <si>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</si>
  <si>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</si>
  <si>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</si>
  <si>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</si>
  <si>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</si>
  <si>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</si>
  <si>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</si>
  <si>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</si>
  <si>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</si>
  <si>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</si>
  <si>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</si>
  <si>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</si>
  <si>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</si>
  <si>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</si>
  <si>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</si>
  <si>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</si>
  <si>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</si>
  <si>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</si>
  <si>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</si>
  <si>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</si>
  <si>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</si>
  <si>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</si>
  <si>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</si>
  <si>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</si>
  <si>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</si>
  <si>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</si>
  <si>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</si>
  <si>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</si>
  <si>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</si>
  <si>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</si>
  <si>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</si>
  <si>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</si>
  <si>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</si>
  <si>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</si>
  <si>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</si>
  <si>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</si>
  <si>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</si>
  <si>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</si>
  <si>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</si>
  <si>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</si>
  <si>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</si>
  <si>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</si>
  <si>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</si>
  <si>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</si>
  <si>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</si>
  <si>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</si>
  <si>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</si>
  <si>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</si>
  <si>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</si>
  <si>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</si>
  <si>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</si>
  <si>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</si>
  <si>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</si>
  <si>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</si>
  <si>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</si>
  <si>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</si>
  <si>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</si>
  <si>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</si>
  <si>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</si>
  <si>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</si>
  <si>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</si>
  <si>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</si>
  <si>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</si>
  <si>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</si>
  <si>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</si>
  <si>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</si>
  <si>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</si>
  <si>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</si>
  <si>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</si>
  <si>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</si>
  <si>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</si>
  <si>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</si>
  <si>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</si>
  <si>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</si>
  <si>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</si>
  <si>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</si>
  <si>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</si>
  <si>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</si>
  <si>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</si>
  <si>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</si>
  <si>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</si>
  <si>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</si>
  <si>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</si>
  <si>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</si>
  <si>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</si>
  <si>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</si>
  <si>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</si>
  <si>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</si>
  <si>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</si>
  <si>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</si>
  <si>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</si>
  <si>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</si>
  <si>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</si>
  <si>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</si>
  <si>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</si>
  <si>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</si>
  <si>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</si>
  <si>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</si>
  <si>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</si>
  <si>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</si>
  <si>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</si>
  <si>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</si>
  <si>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</si>
  <si>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</si>
  <si>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</si>
  <si>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</si>
  <si>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</si>
  <si>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</si>
  <si>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</si>
  <si>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</si>
  <si>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</si>
  <si>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</si>
  <si>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</si>
  <si>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</si>
  <si>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rPr>
      <t>5 - Exit Waterfall Distribution</t>
    </r>
    <r>
      <rPr>
        <sz val="12"/>
        <color theme="1"/>
        <rFont val="Avenir Book"/>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</si>
  <si>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</si>
  <si>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</si>
  <si>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</si>
  <si>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</si>
  <si>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</si>
  <si>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</si>
  <si>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</si>
  <si>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</si>
  <si>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</si>
  <si>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</si>
  <si>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</si>
  <si>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</si>
  <si>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</si>
  <si>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</si>
  <si>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</si>
  <si>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</si>
  <si>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</si>
  <si>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</si>
  <si>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</si>
  <si>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</si>
  <si>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</si>
  <si>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</si>
  <si>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</si>
  <si>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</si>
  <si>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</si>
  <si>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</si>
  <si>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</si>
  <si>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</si>
  <si>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</si>
  <si>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</si>
  <si>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</si>
  <si>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</si>
  <si>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</si>
  <si>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</si>
  <si>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</si>
  <si>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</si>
  <si>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</si>
  <si>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</si>
  <si>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</si>
  <si>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</si>
  <si>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</si>
  <si>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</si>
  <si>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</si>
  <si>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</si>
  <si>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</si>
  <si>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</si>
  <si>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</si>
  <si>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</si>
  <si>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</si>
  <si>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</si>
  <si>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</si>
  <si>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</si>
  <si>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</si>
  <si>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</si>
  <si>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</si>
  <si>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</si>
  <si>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</si>
  <si>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</si>
  <si>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</si>
  <si>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</si>
  <si>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</si>
  <si>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</si>
  <si>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</si>
  <si>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</si>
  <si>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</si>
  <si>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</si>
  <si>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</si>
  <si>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</si>
  <si>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</si>
  <si>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</si>
  <si>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If your methodology is different, feel free to change it.</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</si>
  <si>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</si>
  <si>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</si>
  <si>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</si>
  <si>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</si>
  <si>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[6] Price per share for the new investment in this round</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</si>
  <si>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</si>
  <si>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</si>
  <si>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</si>
  <si>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</si>
  <si>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</si>
  <si>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</si>
  <si>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</si>
  <si>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</si>
  <si>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</si>
  <si>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</si>
  <si>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</si>
  <si>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</si>
  <si>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</si>
  <si>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</si>
  <si>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</si>
  <si>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</si>
  <si>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</si>
  <si>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</si>
  <si>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</si>
  <si>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</si>
  <si>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</si>
  <si>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</si>
  <si>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</si>
  <si>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</si>
  <si>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</si>
  <si>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</si>
  <si>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</si>
  <si>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</si>
  <si>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[36] For informational purposes, can set a couple different share classes and see how groups of share ownership changes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</si>
  <si>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</si>
  <si>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</si>
  <si>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</si>
  <si>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</si>
  <si>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</si>
  <si>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</si>
  <si>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</si>
  <si>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</si>
  <si>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</si>
  <si>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</si>
  <si>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</si>
  <si>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</si>
  <si>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</si>
  <si>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</si>
  <si>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</si>
  <si>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</si>
  <si>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</si>
  <si>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</si>
  <si>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</si>
  <si>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</si>
  <si>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</si>
  <si>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</si>
  <si>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</si>
  <si>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</si>
  <si>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</si>
  <si>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</si>
  <si>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</si>
  <si>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</si>
  <si>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</si>
  <si>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</si>
  <si>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</si>
  <si>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</si>
  <si>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</si>
  <si>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</si>
  <si>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</si>
  <si>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</si>
  <si>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</si>
  <si>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</si>
  <si>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</si>
  <si>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</si>
  <si>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</si>
  <si>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</si>
  <si>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</si>
  <si>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</si>
  <si>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</si>
  <si>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</si>
  <si>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</si>
  <si>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</si>
  <si>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</si>
  <si>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</si>
  <si>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</si>
  <si>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</si>
  <si>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</si>
  <si>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</si>
  <si>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</si>
  <si>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</si>
  <si>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</si>
  <si>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</si>
  <si>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</si>
  <si>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</si>
  <si>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</si>
  <si>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</si>
  <si>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</si>
  <si>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</si>
  <si>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</si>
  <si>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</si>
  <si>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</si>
  <si>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</si>
  <si>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</si>
  <si>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</si>
  <si>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</si>
  <si>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</si>
  <si>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</si>
  <si>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</si>
  <si>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</si>
  <si>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Copyright Unstructured Ventures, LLC</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</si>
  <si>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</si>
  <si>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</si>
  <si>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</si>
  <si>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</si>
  <si>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</si>
  <si>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</si>
  <si>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</si>
  <si>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</si>
  <si>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</si>
  <si>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</si>
  <si>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</si>
  <si>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</si>
  <si>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</si>
  <si>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</si>
  <si>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</si>
  <si>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</si>
  <si>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</si>
  <si>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</si>
  <si>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</si>
  <si>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</si>
  <si>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</si>
  <si>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</si>
  <si>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</si>
  <si>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</si>
  <si>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</si>
  <si>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</si>
  <si>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</si>
  <si>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</si>
  <si>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</si>
  <si>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</si>
  <si>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</si>
  <si>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</si>
  <si>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</si>
  <si>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</si>
  <si>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</si>
  <si>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</si>
  <si>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</si>
  <si>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</si>
  <si>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</si>
  <si>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</si>
  <si>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</si>
  <si>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</si>
  <si>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</si>
  <si>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</si>
  <si>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</si>
  <si>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</si>
  <si>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</si>
  <si>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</si>
  <si>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</si>
  <si>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</si>
  <si>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</si>
  <si>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</si>
  <si>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</si>
  <si>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</si>
  <si>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</si>
  <si>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</si>
  <si>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</si>
  <si>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</si>
  <si>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</si>
  <si>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</si>
  <si>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</si>
  <si>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premoney</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</si>
  <si>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</si>
  <si>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</si>
  <si>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</si>
  <si>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</si>
  <si>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</si>
  <si>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</si>
  <si>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rPr>
      <t xml:space="preserve">4 - Option Pool &amp; Conversion </t>
    </r>
    <r>
      <rPr>
        <sz val="12"/>
        <color theme="1"/>
        <rFont val="Avenir Book"/>
      </rPr>
      <t>demonstrates issuing an option pool (in premoney and/or postmoney) and note issuance and conversions, with options for all three note conversion methods</t>
    </r>
  </si>
  <si>
    <r>
      <rPr>
        <b/>
        <sz val="12"/>
        <color theme="1"/>
        <rFont val="Avenir Book"/>
      </rPr>
      <t>6 - VC Valuation</t>
    </r>
    <r>
      <rPr>
        <sz val="12"/>
        <color theme="1"/>
        <rFont val="Avenir Book"/>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</si>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</sst>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ont>
    <font>
      <b/>
      <sz val="8"/>
      <color indexed="9"/>
      <name val="Tahoma"/>
      <family val="2"/>
    </font>
    <font>
      <b/>
      <sz val="8"/>
      <color indexed="8"/>
      <name val="Tahoma"/>
      <family val="2"/>
    </font>
    <font>
      <sz val="10"/>
      <color rgb="FF000000"/>
      <name val="Arial"/>
    </font>
    <font>
      <u/>
      <sz val="12"/>
      <color theme="10"/>
      <name val="Calibri"/>
      <family val="2"/>
      <scheme val="minor"/>
    </font>
    <font>
      <u/>
      <sz val="12"/>
      <color theme="11"/>
      <name val="Calibri"/>
      <family val="2"/>
      <scheme val="minor"/>
    </font>
    <font>
      <sz val="12"/>
      <color theme="1"/>
      <name val="Avenir Book"/>
    </font>
    <font>
      <b/>
      <sz val="12"/>
      <color theme="1"/>
      <name val="Avenir Book"/>
    </font>
    <font>
      <sz val="12"/>
      <color rgb="FF0000FF"/>
      <name val="Avenir Book"/>
    </font>
    <font>
      <sz val="12"/>
      <color rgb="FF3366FF"/>
      <name val="Avenir Book"/>
    </font>
    <font>
      <sz val="12"/>
      <name val="Avenir Book"/>
    </font>
    <font>
      <i/>
      <sz val="12"/>
      <color theme="1"/>
      <name val="Avenir Book"/>
    </font>
    <font>
      <b/>
      <i/>
      <sz val="12"/>
      <color theme="1"/>
      <name val="Avenir Book"/>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ont>
    <font>
      <b/>
      <sz val="28"/>
      <color theme="1" tint="0.34998626667073579"/>
      <name val="Cambria"/>
      <family val="2"/>
      <scheme val="major"/>
    </font>
    <font>
      <sz val="8"/>
      <color theme="1" tint="0.24994659260841701"/>
      <name val="Calibri"/>
      <family val="2"/>
      <scheme val="minor"/>
    </font>
    <font>
      <b/>
      <u/>
      <sz val="12"/>
      <color theme="1"/>
      <name val="Avenir Book"/>
    </font>
    <font>
      <i/>
      <sz val="11"/>
      <color theme="1"/>
      <name val="Avenir Book"/>
    </font>
    <font>
      <sz val="9"/>
      <color theme="1"/>
      <name val="Avenir Book"/>
    </font>
    <font>
      <sz val="12"/>
      <color rgb="FF000000"/>
      <name val="Avenir Book"/>
    </font>
    <font>
      <b/>
      <sz val="16"/>
      <color theme="1"/>
      <name val="Avenir Book"/>
    </font>
    <font>
      <sz val="14"/>
      <color theme="1"/>
      <name val="Avenir Book"/>
    </font>
    <font>
      <b/>
      <sz val="12"/>
      <color rgb="FF000000"/>
      <name val="Avenir Book"/>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864">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1">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cellXfs>
  <cellStyles count="5864">
    <cellStyle name="amount" xfId="3"/>
    <cellStyle name="Comma" xfId="1" builtinId="3"/>
    <cellStyle name="Comma 10" xfId="1333"/>
    <cellStyle name="Comma 10 2" xfId="4247"/>
    <cellStyle name="Comma 10 2 2" xfId="5430"/>
    <cellStyle name="Comma 10 2 3" xfId="5730"/>
    <cellStyle name="Comma 10 3" xfId="5727"/>
    <cellStyle name="Comma 11" xfId="1334"/>
    <cellStyle name="Comma 11 2" xfId="1335"/>
    <cellStyle name="Comma 11 2 2" xfId="1336"/>
    <cellStyle name="Comma 11 2 2 2" xfId="1525"/>
    <cellStyle name="Comma 11 2 2 2 2" xfId="1526"/>
    <cellStyle name="Comma 11 2 2 2 2 2" xfId="1527"/>
    <cellStyle name="Comma 11 2 2 2 2 2 2" xfId="1528"/>
    <cellStyle name="Comma 11 2 2 3" xfId="1529"/>
    <cellStyle name="Comma 11 2 2 3 2" xfId="1530"/>
    <cellStyle name="Comma 11 2 2 4" xfId="3906"/>
    <cellStyle name="Comma 11 2 2 4 2" xfId="3907"/>
    <cellStyle name="Comma 11 2 2 4 2 2" xfId="5431"/>
    <cellStyle name="Comma 11 2 2 4 3" xfId="5432"/>
    <cellStyle name="Comma 11 2 2 5" xfId="3908"/>
    <cellStyle name="Comma 11 2 2 5 2" xfId="5433"/>
    <cellStyle name="Comma 11 2 2 6" xfId="5434"/>
    <cellStyle name="Comma 11 2 2 7" xfId="5435"/>
    <cellStyle name="Comma 11 2 3" xfId="1337"/>
    <cellStyle name="Comma 11 2 3 2" xfId="1531"/>
    <cellStyle name="Comma 11 2 3 2 2" xfId="1532"/>
    <cellStyle name="Comma 11 2 3 3" xfId="3909"/>
    <cellStyle name="Comma 11 2 3 3 2" xfId="5436"/>
    <cellStyle name="Comma 11 2 3 4" xfId="5437"/>
    <cellStyle name="Comma 11 2 4" xfId="1533"/>
    <cellStyle name="Comma 11 2 4 2" xfId="1534"/>
    <cellStyle name="Comma 11 2 4 2 2" xfId="1535"/>
    <cellStyle name="Comma 11 2 4 2 3" xfId="1536"/>
    <cellStyle name="Comma 11 2 4 2 3 2" xfId="1537"/>
    <cellStyle name="Comma 11 2 5" xfId="1538"/>
    <cellStyle name="Comma 11 2 6" xfId="1539"/>
    <cellStyle name="Comma 11 2 6 2" xfId="1540"/>
    <cellStyle name="Comma 11 2 7" xfId="3910"/>
    <cellStyle name="Comma 11 2 7 2" xfId="3911"/>
    <cellStyle name="Comma 11 2 7 2 2" xfId="5438"/>
    <cellStyle name="Comma 11 2 7 3" xfId="5439"/>
    <cellStyle name="Comma 11 2 8" xfId="5440"/>
    <cellStyle name="Comma 12" xfId="1338"/>
    <cellStyle name="Comma 12 2" xfId="1339"/>
    <cellStyle name="Comma 12 2 10" xfId="5441"/>
    <cellStyle name="Comma 12 2 2" xfId="1340"/>
    <cellStyle name="Comma 12 2 2 2" xfId="3912"/>
    <cellStyle name="Comma 12 2 2 2 2" xfId="3913"/>
    <cellStyle name="Comma 12 2 2 2 2 2" xfId="5442"/>
    <cellStyle name="Comma 12 2 2 2 3" xfId="5443"/>
    <cellStyle name="Comma 12 2 2 3" xfId="3914"/>
    <cellStyle name="Comma 12 2 2 4" xfId="5444"/>
    <cellStyle name="Comma 12 2 2 5" xfId="5445"/>
    <cellStyle name="Comma 12 2 3" xfId="1341"/>
    <cellStyle name="Comma 12 2 3 2" xfId="1541"/>
    <cellStyle name="Comma 12 2 3 2 2" xfId="1542"/>
    <cellStyle name="Comma 12 2 3 2 3" xfId="1543"/>
    <cellStyle name="Comma 12 2 3 2 4" xfId="3915"/>
    <cellStyle name="Comma 12 2 3 2 5" xfId="5446"/>
    <cellStyle name="Comma 12 2 3 2 6" xfId="5447"/>
    <cellStyle name="Comma 12 2 3 3" xfId="3905"/>
    <cellStyle name="Comma 12 2 4" xfId="1544"/>
    <cellStyle name="Comma 12 2 5" xfId="1545"/>
    <cellStyle name="Comma 12 2 5 2" xfId="1546"/>
    <cellStyle name="Comma 12 2 6" xfId="1547"/>
    <cellStyle name="Comma 12 2 7" xfId="1548"/>
    <cellStyle name="Comma 12 2 7 2" xfId="1549"/>
    <cellStyle name="Comma 12 2 8" xfId="3916"/>
    <cellStyle name="Comma 12 2 8 2" xfId="3917"/>
    <cellStyle name="Comma 12 2 8 2 2" xfId="5448"/>
    <cellStyle name="Comma 12 2 8 3" xfId="5449"/>
    <cellStyle name="Comma 12 2 9" xfId="5450"/>
    <cellStyle name="Comma 12 3" xfId="1342"/>
    <cellStyle name="Comma 12 4" xfId="1343"/>
    <cellStyle name="Comma 12 5" xfId="1344"/>
    <cellStyle name="Comma 12 5 2" xfId="1550"/>
    <cellStyle name="Comma 12 5 2 2" xfId="1551"/>
    <cellStyle name="Comma 12 5 2 3" xfId="1552"/>
    <cellStyle name="Comma 12 5 2 4" xfId="1553"/>
    <cellStyle name="Comma 12 5 2 5" xfId="3904"/>
    <cellStyle name="Comma 12 5 2 6" xfId="5427"/>
    <cellStyle name="Comma 12 5 3" xfId="3918"/>
    <cellStyle name="Comma 12 5 3 2" xfId="5451"/>
    <cellStyle name="Comma 12 5 4" xfId="5452"/>
    <cellStyle name="Comma 12 6" xfId="1345"/>
    <cellStyle name="Comma 12 6 2" xfId="1554"/>
    <cellStyle name="Comma 12 6 2 2" xfId="1555"/>
    <cellStyle name="Comma 12 6 3" xfId="1556"/>
    <cellStyle name="Comma 12 6 4" xfId="3919"/>
    <cellStyle name="Comma 12 6 4 2" xfId="5453"/>
    <cellStyle name="Comma 12 7" xfId="1557"/>
    <cellStyle name="Comma 12 7 2" xfId="1558"/>
    <cellStyle name="Comma 12 8" xfId="1559"/>
    <cellStyle name="Comma 13" xfId="1346"/>
    <cellStyle name="Comma 13 2" xfId="1347"/>
    <cellStyle name="Comma 13 3" xfId="1560"/>
    <cellStyle name="Comma 13 3 2" xfId="1561"/>
    <cellStyle name="Comma 13 3 2 2" xfId="1562"/>
    <cellStyle name="Comma 13 3 2 2 2" xfId="1563"/>
    <cellStyle name="Comma 13 3 2 2 3" xfId="3920"/>
    <cellStyle name="Comma 13 4" xfId="1564"/>
    <cellStyle name="Comma 13 4 2" xfId="1565"/>
    <cellStyle name="Comma 13 5" xfId="1566"/>
    <cellStyle name="Comma 13 6" xfId="1567"/>
    <cellStyle name="Comma 13 6 2" xfId="1568"/>
    <cellStyle name="Comma 13 7" xfId="3921"/>
    <cellStyle name="Comma 13 7 2" xfId="3922"/>
    <cellStyle name="Comma 13 7 2 2" xfId="5454"/>
    <cellStyle name="Comma 13 7 3" xfId="5455"/>
    <cellStyle name="Comma 13 8" xfId="5456"/>
    <cellStyle name="Comma 13 9" xfId="5457"/>
    <cellStyle name="Comma 14" xfId="1348"/>
    <cellStyle name="Comma 14 2" xfId="5458"/>
    <cellStyle name="Comma 15" xfId="1349"/>
    <cellStyle name="Comma 15 2" xfId="1350"/>
    <cellStyle name="Comma 15 3" xfId="1351"/>
    <cellStyle name="Comma 15 4" xfId="1569"/>
    <cellStyle name="Comma 15 4 2" xfId="1570"/>
    <cellStyle name="Comma 15 5" xfId="1571"/>
    <cellStyle name="Comma 16" xfId="1352"/>
    <cellStyle name="Comma 17" xfId="3897"/>
    <cellStyle name="Comma 17 2" xfId="4248"/>
    <cellStyle name="Comma 17 2 2" xfId="4450"/>
    <cellStyle name="Comma 17 2 2 2" xfId="5459"/>
    <cellStyle name="Comma 18" xfId="4245"/>
    <cellStyle name="Comma 18 2" xfId="5460"/>
    <cellStyle name="Comma 18 3" xfId="5728"/>
    <cellStyle name="Comma 19" xfId="5461"/>
    <cellStyle name="Comma 2" xfId="4"/>
    <cellStyle name="Comma 2 2" xfId="5"/>
    <cellStyle name="Comma 2 2 2" xfId="1353"/>
    <cellStyle name="Comma 2 2 2 2" xfId="1354"/>
    <cellStyle name="Comma 2 2 2 2 2" xfId="1355"/>
    <cellStyle name="Comma 2 2 2 2 3" xfId="1356"/>
    <cellStyle name="Comma 2 2 2 2 3 10" xfId="5462"/>
    <cellStyle name="Comma 2 2 2 2 3 2" xfId="1357"/>
    <cellStyle name="Comma 2 2 2 2 3 3" xfId="1572"/>
    <cellStyle name="Comma 2 2 2 2 3 3 2" xfId="1573"/>
    <cellStyle name="Comma 2 2 2 2 3 3 2 2" xfId="1574"/>
    <cellStyle name="Comma 2 2 2 2 3 3 2 3" xfId="1575"/>
    <cellStyle name="Comma 2 2 2 2 3 4" xfId="1576"/>
    <cellStyle name="Comma 2 2 2 2 3 4 2" xfId="1577"/>
    <cellStyle name="Comma 2 2 2 2 3 5" xfId="1578"/>
    <cellStyle name="Comma 2 2 2 2 3 6" xfId="1579"/>
    <cellStyle name="Comma 2 2 2 2 3 6 2" xfId="1580"/>
    <cellStyle name="Comma 2 2 2 2 3 6 2 2" xfId="1581"/>
    <cellStyle name="Comma 2 2 2 2 3 6 3" xfId="3923"/>
    <cellStyle name="Comma 2 2 2 2 3 6 3 2" xfId="5463"/>
    <cellStyle name="Comma 2 2 2 2 3 7" xfId="1582"/>
    <cellStyle name="Comma 2 2 2 2 3 7 2" xfId="1583"/>
    <cellStyle name="Comma 2 2 2 2 3 8" xfId="3924"/>
    <cellStyle name="Comma 2 2 2 2 3 8 2" xfId="3925"/>
    <cellStyle name="Comma 2 2 2 2 3 8 2 2" xfId="5464"/>
    <cellStyle name="Comma 2 2 2 2 3 8 3" xfId="5465"/>
    <cellStyle name="Comma 2 2 2 2 3 9" xfId="5466"/>
    <cellStyle name="Comma 2 2 2 2 4" xfId="1358"/>
    <cellStyle name="Comma 2 2 2 2 4 2" xfId="1584"/>
    <cellStyle name="Comma 2 2 2 2 4 2 2" xfId="1585"/>
    <cellStyle name="Comma 2 2 2 2 4 2 2 2" xfId="1586"/>
    <cellStyle name="Comma 2 2 2 2 4 2 2 2 2" xfId="1587"/>
    <cellStyle name="Comma 2 2 2 2 5" xfId="1359"/>
    <cellStyle name="Comma 2 2 2 2 5 2" xfId="1360"/>
    <cellStyle name="Comma 2 2 2 2 5 2 2" xfId="1588"/>
    <cellStyle name="Comma 2 2 2 2 5 2 3" xfId="1589"/>
    <cellStyle name="Comma 2 2 2 2 5 2 4" xfId="3926"/>
    <cellStyle name="Comma 2 2 2 2 5 2 4 2" xfId="5467"/>
    <cellStyle name="Comma 2 2 2 2 5 3" xfId="1361"/>
    <cellStyle name="Comma 2 2 2 2 5 4" xfId="1590"/>
    <cellStyle name="Comma 2 2 2 2 5 5" xfId="1591"/>
    <cellStyle name="Comma 2 2 2 3" xfId="1362"/>
    <cellStyle name="Comma 2 2 2 3 2" xfId="1363"/>
    <cellStyle name="Comma 2 2 2 3 2 2" xfId="1592"/>
    <cellStyle name="Comma 2 2 2 3 2 3" xfId="1593"/>
    <cellStyle name="Comma 2 2 2 3 3" xfId="1364"/>
    <cellStyle name="Comma 2 2 2 3 3 2" xfId="1594"/>
    <cellStyle name="Comma 2 2 2 3 3 3" xfId="1595"/>
    <cellStyle name="Comma 2 2 2 3 3 4" xfId="3927"/>
    <cellStyle name="Comma 2 2 2 3 3 4 2" xfId="5468"/>
    <cellStyle name="Comma 2 2 2 3 4" xfId="1596"/>
    <cellStyle name="Comma 2 2 2 3 5" xfId="1597"/>
    <cellStyle name="Comma 2 2 2 4" xfId="1365"/>
    <cellStyle name="Comma 2 2 2 4 2" xfId="5469"/>
    <cellStyle name="Comma 2 2 3" xfId="1366"/>
    <cellStyle name="Comma 2 2 3 2" xfId="1367"/>
    <cellStyle name="Comma 2 2 3 2 2" xfId="1368"/>
    <cellStyle name="Comma 2 2 3 2 2 2" xfId="1369"/>
    <cellStyle name="Comma 2 2 3 2 2 3" xfId="1370"/>
    <cellStyle name="Comma 2 2 3 2 2 3 2" xfId="1598"/>
    <cellStyle name="Comma 2 2 3 2 2 3 2 2" xfId="1599"/>
    <cellStyle name="Comma 2 2 3 2 2 3 3" xfId="3928"/>
    <cellStyle name="Comma 2 2 3 2 2 3 3 2" xfId="5470"/>
    <cellStyle name="Comma 2 2 3 2 2 4" xfId="1600"/>
    <cellStyle name="Comma 2 2 3 2 2 5" xfId="1601"/>
    <cellStyle name="Comma 2 2 3 2 2 6" xfId="1602"/>
    <cellStyle name="Comma 2 2 3 2 2 6 2" xfId="1603"/>
    <cellStyle name="Comma 2 2 3 2 2 7" xfId="3929"/>
    <cellStyle name="Comma 2 2 3 2 2 8" xfId="5471"/>
    <cellStyle name="Comma 20" xfId="5472"/>
    <cellStyle name="Comma 21" xfId="5473"/>
    <cellStyle name="Comma 22" xfId="5725"/>
    <cellStyle name="Comma 3" xfId="6"/>
    <cellStyle name="Comma 4" xfId="1332"/>
    <cellStyle name="Comma 4 2" xfId="1371"/>
    <cellStyle name="Comma 4 2 2" xfId="1372"/>
    <cellStyle name="Comma 4 2 2 2" xfId="1373"/>
    <cellStyle name="Comma 4 2 2 3" xfId="1374"/>
    <cellStyle name="Comma 4 2 2 4" xfId="1604"/>
    <cellStyle name="Comma 4 2 2 4 2" xfId="1605"/>
    <cellStyle name="Comma 4 2 2 4 2 2" xfId="1606"/>
    <cellStyle name="Comma 4 2 2 4 2 2 2" xfId="1607"/>
    <cellStyle name="Comma 4 2 2 4 2 2 3" xfId="1608"/>
    <cellStyle name="Comma 4 2 2 5" xfId="1609"/>
    <cellStyle name="Comma 4 3" xfId="1375"/>
    <cellStyle name="Comma 4 3 2" xfId="1376"/>
    <cellStyle name="Comma 4 4" xfId="1377"/>
    <cellStyle name="Comma 4 4 2" xfId="1378"/>
    <cellStyle name="Comma 4 4 3" xfId="1379"/>
    <cellStyle name="Comma 4 4 4" xfId="1610"/>
    <cellStyle name="Comma 4 4 4 2" xfId="1611"/>
    <cellStyle name="Comma 4 4 5" xfId="1612"/>
    <cellStyle name="Comma 4 5" xfId="1380"/>
    <cellStyle name="Comma 5" xfId="1381"/>
    <cellStyle name="Comma 6" xfId="1382"/>
    <cellStyle name="Comma 6 2" xfId="1383"/>
    <cellStyle name="Comma 6 2 2" xfId="1384"/>
    <cellStyle name="Comma 7" xfId="1385"/>
    <cellStyle name="Comma 7 2" xfId="1386"/>
    <cellStyle name="Comma 7 2 2" xfId="1387"/>
    <cellStyle name="Comma 7 2 3" xfId="1388"/>
    <cellStyle name="Comma 7 2 4" xfId="1613"/>
    <cellStyle name="Comma 7 2 4 2" xfId="1614"/>
    <cellStyle name="Comma 7 2 4 2 2" xfId="1615"/>
    <cellStyle name="Comma 7 2 4 2 2 2" xfId="1616"/>
    <cellStyle name="Comma 7 2 4 2 2 3" xfId="1617"/>
    <cellStyle name="Comma 7 2 5" xfId="1618"/>
    <cellStyle name="Comma 7 3" xfId="1619"/>
    <cellStyle name="Comma 7 3 2" xfId="1620"/>
    <cellStyle name="Comma 7 3 3" xfId="1621"/>
    <cellStyle name="Comma 8" xfId="1389"/>
    <cellStyle name="Comma 8 2" xfId="1390"/>
    <cellStyle name="Comma 8 3" xfId="1391"/>
    <cellStyle name="Comma 8 3 2" xfId="1622"/>
    <cellStyle name="Comma 8 3 3" xfId="1623"/>
    <cellStyle name="Comma 8 3 4" xfId="3930"/>
    <cellStyle name="Comma 8 3 4 2" xfId="5474"/>
    <cellStyle name="Comma 8 4" xfId="1392"/>
    <cellStyle name="Comma 8 5" xfId="1624"/>
    <cellStyle name="Comma 8 6" xfId="1625"/>
    <cellStyle name="Comma 9" xfId="1075"/>
    <cellStyle name="Comma 9 2" xfId="1393"/>
    <cellStyle name="Currency 2" xfId="7"/>
    <cellStyle name="Currency 3" xfId="1394"/>
    <cellStyle name="Currency 4" xfId="1395"/>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header" xfId="8"/>
    <cellStyle name="Header Total" xfId="9"/>
    <cellStyle name="Header1" xfId="10"/>
    <cellStyle name="Header2" xfId="11"/>
    <cellStyle name="Header3" xfId="12"/>
    <cellStyle name="Heading 1 2" xfId="1626"/>
    <cellStyle name="Heading 1 3" xfId="1627"/>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cellStyle name="Normal 11" xfId="1397"/>
    <cellStyle name="Normal 11 2" xfId="1628"/>
    <cellStyle name="Normal 11 3" xfId="1629"/>
    <cellStyle name="Normal 11 4" xfId="5475"/>
    <cellStyle name="Normal 12" xfId="1630"/>
    <cellStyle name="Normal 13" xfId="3899"/>
    <cellStyle name="Normal 13 2" xfId="5476"/>
    <cellStyle name="Normal 14" xfId="5477"/>
    <cellStyle name="Normal 2" xfId="13"/>
    <cellStyle name="Normal 3" xfId="1398"/>
    <cellStyle name="Normal 3 2" xfId="5731"/>
    <cellStyle name="Normal 4" xfId="1399"/>
    <cellStyle name="Normal 4 2" xfId="1631"/>
    <cellStyle name="Normal 4 2 2" xfId="1632"/>
    <cellStyle name="Normal 4 2 2 2" xfId="1633"/>
    <cellStyle name="Normal 4 2 2 2 2" xfId="1634"/>
    <cellStyle name="Normal 5" xfId="1400"/>
    <cellStyle name="Normal 6" xfId="1401"/>
    <cellStyle name="Normal 6 2" xfId="5478"/>
    <cellStyle name="Normal 7" xfId="1402"/>
    <cellStyle name="Normal 7 2" xfId="1403"/>
    <cellStyle name="Normal 7 2 2" xfId="1635"/>
    <cellStyle name="Normal 7 2 3" xfId="1636"/>
    <cellStyle name="Normal 7 3" xfId="1404"/>
    <cellStyle name="Normal 7 3 2" xfId="1637"/>
    <cellStyle name="Normal 7 3 2 2" xfId="1638"/>
    <cellStyle name="Normal 7 3 3" xfId="3931"/>
    <cellStyle name="Normal 7 3 3 2" xfId="5479"/>
    <cellStyle name="Normal 7 4" xfId="1639"/>
    <cellStyle name="Normal 7 4 2" xfId="1640"/>
    <cellStyle name="Normal 7 4 2 2" xfId="1641"/>
    <cellStyle name="Normal 7 4 2 3" xfId="1642"/>
    <cellStyle name="Normal 7 4 2 3 2" xfId="1643"/>
    <cellStyle name="Normal 7 5" xfId="1644"/>
    <cellStyle name="Normal 8" xfId="1405"/>
    <cellStyle name="Normal 8 2" xfId="1406"/>
    <cellStyle name="Normal 8 2 2" xfId="1407"/>
    <cellStyle name="Normal 8 2 2 2" xfId="1645"/>
    <cellStyle name="Normal 8 2 2 2 2" xfId="1646"/>
    <cellStyle name="Normal 8 2 2 2 2 2" xfId="1647"/>
    <cellStyle name="Normal 8 2 2 2 3" xfId="5429"/>
    <cellStyle name="Normal 8 2 2 3" xfId="3902"/>
    <cellStyle name="Normal 8 2 2 3 2" xfId="5480"/>
    <cellStyle name="Normal 8 2 3" xfId="1524"/>
    <cellStyle name="Normal 8 2 3 2" xfId="1648"/>
    <cellStyle name="Normal 8 2 3 3" xfId="3932"/>
    <cellStyle name="Normal 8 2 3 3 2" xfId="5481"/>
    <cellStyle name="Normal 8 2 4" xfId="1649"/>
    <cellStyle name="Normal 8 2 4 2" xfId="1650"/>
    <cellStyle name="Normal 8 2 5" xfId="1651"/>
    <cellStyle name="Normal 8 2 5 2" xfId="3933"/>
    <cellStyle name="Normal 8 2 5 2 2" xfId="5482"/>
    <cellStyle name="Normal 8 2 5 3" xfId="3934"/>
    <cellStyle name="Normal 8 2 5 3 2" xfId="5483"/>
    <cellStyle name="Normal 8 2 6" xfId="3900"/>
    <cellStyle name="Normal 8 2 6 2" xfId="4251"/>
    <cellStyle name="Normal 8 2 6 2 2" xfId="4453"/>
    <cellStyle name="Normal 8 2 6 3" xfId="5484"/>
    <cellStyle name="Normal 8 2 7" xfId="5426"/>
    <cellStyle name="Normal 8 2 8" xfId="5732"/>
    <cellStyle name="Normal 9" xfId="1408"/>
    <cellStyle name="Normal 9 2" xfId="1409"/>
    <cellStyle name="Normal 9 3" xfId="1652"/>
    <cellStyle name="Percent" xfId="2" builtinId="5"/>
    <cellStyle name="Percent 10" xfId="1410"/>
    <cellStyle name="Percent 10 2" xfId="1411"/>
    <cellStyle name="Percent 10 3" xfId="5485"/>
    <cellStyle name="Percent 11" xfId="1412"/>
    <cellStyle name="Percent 11 2" xfId="1413"/>
    <cellStyle name="Percent 11 3" xfId="1414"/>
    <cellStyle name="Percent 11 4" xfId="1653"/>
    <cellStyle name="Percent 11 4 2" xfId="1654"/>
    <cellStyle name="Percent 11 4 2 2" xfId="1655"/>
    <cellStyle name="Percent 11 4 2 3" xfId="1656"/>
    <cellStyle name="Percent 11 5" xfId="1657"/>
    <cellStyle name="Percent 12" xfId="1415"/>
    <cellStyle name="Percent 13" xfId="1416"/>
    <cellStyle name="Percent 14" xfId="3898"/>
    <cellStyle name="Percent 14 2" xfId="4249"/>
    <cellStyle name="Percent 14 2 2" xfId="4451"/>
    <cellStyle name="Percent 14 2 2 2" xfId="5486"/>
    <cellStyle name="Percent 15" xfId="3901"/>
    <cellStyle name="Percent 16" xfId="4246"/>
    <cellStyle name="Percent 16 2" xfId="5487"/>
    <cellStyle name="Percent 16 3" xfId="5729"/>
    <cellStyle name="Percent 17" xfId="5488"/>
    <cellStyle name="Percent 18" xfId="5489"/>
    <cellStyle name="Percent 19" xfId="5726"/>
    <cellStyle name="Percent 2" xfId="14"/>
    <cellStyle name="Percent 3" xfId="1417"/>
    <cellStyle name="Percent 3 2" xfId="1418"/>
    <cellStyle name="Percent 3 3" xfId="1419"/>
    <cellStyle name="Percent 3 4" xfId="1658"/>
    <cellStyle name="Percent 3 5" xfId="1659"/>
    <cellStyle name="Percent 4" xfId="1420"/>
    <cellStyle name="Percent 5" xfId="1421"/>
    <cellStyle name="Percent 5 2" xfId="1422"/>
    <cellStyle name="Percent 5 2 2" xfId="1423"/>
    <cellStyle name="Percent 5 2 3" xfId="1424"/>
    <cellStyle name="Percent 5 2 3 2" xfId="1660"/>
    <cellStyle name="Percent 5 2 3 3" xfId="1661"/>
    <cellStyle name="Percent 5 2 3 4" xfId="1662"/>
    <cellStyle name="Percent 5 2 3 5" xfId="1663"/>
    <cellStyle name="Percent 5 2 3 6" xfId="3903"/>
    <cellStyle name="Percent 5 2 3 6 2" xfId="4250"/>
    <cellStyle name="Percent 5 2 3 6 2 2" xfId="4452"/>
    <cellStyle name="Percent 5 2 3 7" xfId="5428"/>
    <cellStyle name="Percent 5 2 4" xfId="1425"/>
    <cellStyle name="Percent 5 2 5" xfId="1664"/>
    <cellStyle name="Percent 5 2 6" xfId="1665"/>
    <cellStyle name="Percent 5 3" xfId="1426"/>
    <cellStyle name="Percent 5 3 2" xfId="1427"/>
    <cellStyle name="Percent 5 3 2 2" xfId="1666"/>
    <cellStyle name="Percent 5 3 2 3" xfId="1667"/>
    <cellStyle name="Percent 5 3 3" xfId="1428"/>
    <cellStyle name="Percent 5 3 3 2" xfId="1668"/>
    <cellStyle name="Percent 5 3 3 3" xfId="1669"/>
    <cellStyle name="Percent 5 3 3 4" xfId="3935"/>
    <cellStyle name="Percent 5 3 3 4 2" xfId="5490"/>
    <cellStyle name="Percent 5 3 4" xfId="1670"/>
    <cellStyle name="Percent 5 3 4 2" xfId="1671"/>
    <cellStyle name="Percent 5 3 4 2 2" xfId="1672"/>
    <cellStyle name="Percent 5 3 4 2 3" xfId="1673"/>
    <cellStyle name="Percent 5 3 5" xfId="1674"/>
    <cellStyle name="Percent 6" xfId="1429"/>
    <cellStyle name="Percent 6 2" xfId="1430"/>
    <cellStyle name="Percent 6 2 2" xfId="1675"/>
    <cellStyle name="Percent 6 2 3" xfId="1676"/>
    <cellStyle name="Percent 6 2 4" xfId="3936"/>
    <cellStyle name="Percent 6 2 4 2" xfId="5491"/>
    <cellStyle name="Percent 6 3" xfId="1431"/>
    <cellStyle name="Percent 6 4" xfId="1677"/>
    <cellStyle name="Percent 6 5" xfId="1678"/>
    <cellStyle name="Percent 7" xfId="1076"/>
    <cellStyle name="Percent 7 2" xfId="1432"/>
    <cellStyle name="Percent 8" xfId="1433"/>
    <cellStyle name="Percent 8 2" xfId="1434"/>
    <cellStyle name="Percent 8 2 2" xfId="1435"/>
    <cellStyle name="Percent 8 2 2 2" xfId="1679"/>
    <cellStyle name="Percent 8 2 2 3" xfId="1680"/>
    <cellStyle name="Percent 8 2 2 4" xfId="5492"/>
    <cellStyle name="Percent 8 2 3" xfId="1436"/>
    <cellStyle name="Percent 8 2 3 2" xfId="1681"/>
    <cellStyle name="Percent 8 2 3 3" xfId="1682"/>
    <cellStyle name="Percent 8 2 3 4" xfId="3937"/>
    <cellStyle name="Percent 8 2 3 4 2" xfId="5493"/>
    <cellStyle name="Percent 8 2 4" xfId="1683"/>
    <cellStyle name="Percent 8 2 5" xfId="1684"/>
    <cellStyle name="Percent 8 2 6" xfId="1685"/>
    <cellStyle name="Percent 9" xfId="1437"/>
    <cellStyle name="Percent 9 2" xfId="1438"/>
    <cellStyle name="Percent 9 3" xfId="1439"/>
    <cellStyle name="Percent 9 3 2" xfId="1686"/>
    <cellStyle name="Percent 9 3 2 2" xfId="1687"/>
    <cellStyle name="Percent 9 3 3" xfId="3938"/>
    <cellStyle name="Percent 9 3 3 2" xfId="5494"/>
    <cellStyle name="Percent 9 4" xfId="1688"/>
    <cellStyle name="Percent 9 4 2" xfId="1689"/>
    <cellStyle name="Percent 9 4 2 2" xfId="1690"/>
    <cellStyle name="Percent 9 4 2 2 2" xfId="1691"/>
    <cellStyle name="Percent 9 5" xfId="1692"/>
  </cellStyles>
  <dxfs count="10">
    <dxf>
      <font>
        <color rgb="FF9C0006"/>
      </font>
      <fill>
        <patternFill>
          <bgColor rgb="FFFFC7CE"/>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1"/>
                <c:pt idx="0">
                  <c:v> E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Waterfall'!$D$174:$L$174</c:f>
              <c:numCache>
                <c:formatCode>0%</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Waterfall'!$B$175:$C$175</c:f>
              <c:strCache>
                <c:ptCount val="1"/>
                <c:pt idx="0">
                  <c:v> D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Waterfall'!$D$175:$L$175</c:f>
              <c:numCache>
                <c:formatCode>0%</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Waterfall'!$B$176:$C$176</c:f>
              <c:strCache>
                <c:ptCount val="1"/>
                <c:pt idx="0">
                  <c:v> C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Waterfall'!$D$176:$L$176</c:f>
              <c:numCache>
                <c:formatCode>0%</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Waterfall'!$B$177:$C$177</c:f>
              <c:strCache>
                <c:ptCount val="1"/>
                <c:pt idx="0">
                  <c:v> B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Waterfall'!$D$177:$L$177</c:f>
              <c:numCache>
                <c:formatCode>0%</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Waterfall'!$B$178:$C$178</c:f>
              <c:strCache>
                <c:ptCount val="1"/>
                <c:pt idx="0">
                  <c:v> A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Waterfall'!$D$178:$L$178</c:f>
              <c:numCache>
                <c:formatCode>0%</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Waterfall'!$B$179:$C$179</c:f>
              <c:strCache>
                <c:ptCount val="1"/>
                <c:pt idx="0">
                  <c:v> Seed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Waterfall'!$D$179:$L$179</c:f>
              <c:numCache>
                <c:formatCode>0%</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Waterfall'!$B$180:$C$180</c:f>
              <c:strCache>
                <c:ptCount val="1"/>
                <c:pt idx="0">
                  <c:v> Common Holders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Waterfall'!$D$180:$L$180</c:f>
              <c:numCache>
                <c:formatCode>0%</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Waterfall'!$B$181:$C$181</c:f>
              <c:strCache>
                <c:ptCount val="1"/>
                <c:pt idx="0">
                  <c:v> Options Granted and Exercised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Waterfall'!$D$181:$L$181</c:f>
              <c:numCache>
                <c:formatCode>0%</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109615560"/>
        <c:axId val="-2109506312"/>
      </c:areaChart>
      <c:catAx>
        <c:axId val="-2109615560"/>
        <c:scaling>
          <c:orientation val="minMax"/>
        </c:scaling>
        <c:delete val="0"/>
        <c:axPos val="b"/>
        <c:numFmt formatCode="_(* #,##0_);_(* \(#,##0\);_(* &quot;-&quot;??_);_(@_)" sourceLinked="1"/>
        <c:majorTickMark val="none"/>
        <c:minorTickMark val="none"/>
        <c:tickLblPos val="nextTo"/>
        <c:crossAx val="-2109506312"/>
        <c:crosses val="autoZero"/>
        <c:auto val="1"/>
        <c:lblAlgn val="ctr"/>
        <c:lblOffset val="100"/>
        <c:noMultiLvlLbl val="0"/>
      </c:catAx>
      <c:valAx>
        <c:axId val="-2109506312"/>
        <c:scaling>
          <c:orientation val="minMax"/>
        </c:scaling>
        <c:delete val="0"/>
        <c:axPos val="l"/>
        <c:majorGridlines/>
        <c:numFmt formatCode="0%" sourceLinked="1"/>
        <c:majorTickMark val="none"/>
        <c:minorTickMark val="none"/>
        <c:tickLblPos val="nextTo"/>
        <c:crossAx val="-2109615560"/>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1"/>
                <c:pt idx="0">
                  <c:v> E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Waterfall'!$D$161:$L$161</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Waterfall'!$B$162:$C$162</c:f>
              <c:strCache>
                <c:ptCount val="1"/>
                <c:pt idx="0">
                  <c:v> D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Waterfall'!$D$162:$L$162</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Waterfall'!$B$163:$C$163</c:f>
              <c:strCache>
                <c:ptCount val="1"/>
                <c:pt idx="0">
                  <c:v> C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Waterfall'!$D$163:$L$163</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Waterfall'!$B$164:$C$164</c:f>
              <c:strCache>
                <c:ptCount val="1"/>
                <c:pt idx="0">
                  <c:v> B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Waterfall'!$D$164:$L$164</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Waterfall'!$B$165:$C$165</c:f>
              <c:strCache>
                <c:ptCount val="1"/>
                <c:pt idx="0">
                  <c:v> A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Waterfall'!$D$165:$L$165</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Waterfall'!$B$166:$C$166</c:f>
              <c:strCache>
                <c:ptCount val="1"/>
                <c:pt idx="0">
                  <c:v> Seed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Waterfall'!$D$166:$L$166</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Waterfall'!$B$167:$C$167</c:f>
              <c:strCache>
                <c:ptCount val="1"/>
                <c:pt idx="0">
                  <c:v> Common Holders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Waterfall'!$D$167:$L$167</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Waterfall'!$B$168:$C$168</c:f>
              <c:strCache>
                <c:ptCount val="1"/>
                <c:pt idx="0">
                  <c:v> Options Granted and Exercised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Waterfall'!$D$168:$L$168</c:f>
              <c:numCache>
                <c:formatCode>_(* #,##0_);_(* \(#,##0\);_(* "-"??_);_(@_)</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100213288"/>
        <c:axId val="-2106332968"/>
      </c:areaChart>
      <c:catAx>
        <c:axId val="-2100213288"/>
        <c:scaling>
          <c:orientation val="minMax"/>
        </c:scaling>
        <c:delete val="0"/>
        <c:axPos val="b"/>
        <c:numFmt formatCode="_(* #,##0_);_(* \(#,##0\);_(* &quot;-&quot;??_);_(@_)" sourceLinked="1"/>
        <c:majorTickMark val="none"/>
        <c:minorTickMark val="none"/>
        <c:tickLblPos val="nextTo"/>
        <c:crossAx val="-2106332968"/>
        <c:crosses val="autoZero"/>
        <c:auto val="1"/>
        <c:lblAlgn val="ctr"/>
        <c:lblOffset val="100"/>
        <c:noMultiLvlLbl val="0"/>
      </c:catAx>
      <c:valAx>
        <c:axId val="-2106332968"/>
        <c:scaling>
          <c:orientation val="minMax"/>
        </c:scaling>
        <c:delete val="0"/>
        <c:axPos val="l"/>
        <c:majorGridlines/>
        <c:numFmt formatCode="_(* #,##0_);_(* \(#,##0\);_(* &quot;-&quot;??_);_(@_)" sourceLinked="1"/>
        <c:majorTickMark val="none"/>
        <c:minorTickMark val="none"/>
        <c:tickLblPos val="nextTo"/>
        <c:crossAx val="-2100213288"/>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layout/>
      <c:overlay val="0"/>
    </c:title>
    <c:autoTitleDeleted val="0"/>
    <c:plotArea>
      <c:layout/>
      <c:areaChart>
        <c:grouping val="percentStacked"/>
        <c:varyColors val="0"/>
        <c:ser>
          <c:idx val="0"/>
          <c:order val="0"/>
          <c:tx>
            <c:strRef>
              <c:f>'5 - Exit Waterfall Distribution'!$B$100:$C$100</c:f>
              <c:strCache>
                <c:ptCount val="1"/>
                <c:pt idx="0">
                  <c:v> A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45448184"/>
        <c:axId val="2145451160"/>
      </c:areaChart>
      <c:catAx>
        <c:axId val="2145448184"/>
        <c:scaling>
          <c:orientation val="minMax"/>
        </c:scaling>
        <c:delete val="0"/>
        <c:axPos val="b"/>
        <c:numFmt formatCode="_(* #,##0_);_(* \(#,##0\);_(* &quot;-&quot;??_);_(@_)" sourceLinked="1"/>
        <c:majorTickMark val="none"/>
        <c:minorTickMark val="none"/>
        <c:tickLblPos val="nextTo"/>
        <c:crossAx val="2145451160"/>
        <c:crosses val="autoZero"/>
        <c:auto val="1"/>
        <c:lblAlgn val="ctr"/>
        <c:lblOffset val="100"/>
        <c:noMultiLvlLbl val="0"/>
      </c:catAx>
      <c:valAx>
        <c:axId val="2145451160"/>
        <c:scaling>
          <c:orientation val="minMax"/>
        </c:scaling>
        <c:delete val="0"/>
        <c:axPos val="l"/>
        <c:majorGridlines/>
        <c:numFmt formatCode="0%" sourceLinked="1"/>
        <c:majorTickMark val="none"/>
        <c:minorTickMark val="none"/>
        <c:tickLblPos val="nextTo"/>
        <c:crossAx val="2145448184"/>
        <c:crosses val="autoZero"/>
        <c:crossBetween val="midCat"/>
      </c:valAx>
    </c:plotArea>
    <c:legend>
      <c:legendPos val="b"/>
      <c:layout/>
      <c:overlay val="0"/>
    </c:legend>
    <c:plotVisOnly val="1"/>
    <c:dispBlanksAs val="zero"/>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layout/>
      <c:overlay val="0"/>
    </c:title>
    <c:autoTitleDeleted val="0"/>
    <c:plotArea>
      <c:layout/>
      <c:areaChart>
        <c:grouping val="stacked"/>
        <c:varyColors val="0"/>
        <c:ser>
          <c:idx val="0"/>
          <c:order val="0"/>
          <c:tx>
            <c:strRef>
              <c:f>'5 - Exit Waterfall Distribution'!$B$100:$C$100</c:f>
              <c:strCache>
                <c:ptCount val="1"/>
                <c:pt idx="0">
                  <c:v> A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43722408"/>
        <c:axId val="2143725384"/>
      </c:areaChart>
      <c:catAx>
        <c:axId val="2143722408"/>
        <c:scaling>
          <c:orientation val="minMax"/>
        </c:scaling>
        <c:delete val="0"/>
        <c:axPos val="b"/>
        <c:numFmt formatCode="_(* #,##0_);_(* \(#,##0\);_(* &quot;-&quot;??_);_(@_)" sourceLinked="1"/>
        <c:majorTickMark val="none"/>
        <c:minorTickMark val="none"/>
        <c:tickLblPos val="nextTo"/>
        <c:crossAx val="2143725384"/>
        <c:crosses val="autoZero"/>
        <c:auto val="1"/>
        <c:lblAlgn val="ctr"/>
        <c:lblOffset val="100"/>
        <c:noMultiLvlLbl val="0"/>
      </c:catAx>
      <c:valAx>
        <c:axId val="2143725384"/>
        <c:scaling>
          <c:orientation val="minMax"/>
        </c:scaling>
        <c:delete val="0"/>
        <c:axPos val="l"/>
        <c:majorGridlines/>
        <c:numFmt formatCode="_(* #,##0_);_(* \(#,##0\);_(* &quot;-&quot;??_);_(@_)" sourceLinked="1"/>
        <c:majorTickMark val="none"/>
        <c:minorTickMark val="none"/>
        <c:tickLblPos val="nextTo"/>
        <c:crossAx val="2143722408"/>
        <c:crosses val="autoZero"/>
        <c:crossBetween val="midCat"/>
      </c:valAx>
    </c:plotArea>
    <c:legend>
      <c:legendPos val="b"/>
      <c:layout/>
      <c:overlay val="0"/>
    </c:legend>
    <c:plotVisOnly val="1"/>
    <c:dispBlanksAs val="zero"/>
    <c:showDLblsOverMax val="0"/>
  </c:chart>
  <c:spPr>
    <a:ln>
      <a:noFill/>
    </a:ln>
  </c:spPr>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 TargetMode="External"/><Relationship Id="rId1" Type="http://schemas.openxmlformats.org/officeDocument/2006/relationships/hyperlink" Target="https://foresight.is/services"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 xmlns:a16="http://schemas.microsoft.com/office/drawing/2014/main" id="{00000000-0008-0000-0100-000019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 xmlns:a16="http://schemas.microsoft.com/office/drawing/2014/main" id="{00000000-0008-0000-0100-000019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 xmlns:a16="http://schemas.microsoft.com/office/drawing/2014/main" id="{00000000-0008-0000-0100-000019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 xmlns:a16="http://schemas.microsoft.com/office/drawing/2014/main" id="{00000000-0008-0000-0100-000019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 xmlns:a16="http://schemas.microsoft.com/office/drawing/2014/main" id="{00000000-0008-0000-0100-000019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135"/>
  <sheetViews>
    <sheetView showGridLines="0" tabSelected="1" workbookViewId="0">
      <selection activeCell="B1" sqref="B1"/>
    </sheetView>
  </sheetViews>
  <sheetFormatPr baseColWidth="10" defaultColWidth="10.83203125" defaultRowHeight="17" x14ac:dyDescent="0"/>
  <cols>
    <col min="1" max="1" width="5.83203125" style="22" customWidth="1"/>
    <col min="2" max="2" width="183" style="22" customWidth="1"/>
    <col min="3" max="16384" width="10.83203125" style="22"/>
  </cols>
  <sheetData>
    <row r="2" spans="2:2" ht="20">
      <c r="B2" s="21" t="s">
        <v>214</v>
      </c>
    </row>
    <row r="4" spans="2:2">
      <c r="B4" s="23" t="s">
        <v>13</v>
      </c>
    </row>
    <row r="5" spans="2:2">
      <c r="B5" s="269" t="s">
        <v>603</v>
      </c>
    </row>
    <row r="6" spans="2:2">
      <c r="B6" s="23" t="s">
        <v>41</v>
      </c>
    </row>
    <row r="7" spans="2:2">
      <c r="B7" s="269" t="s">
        <v>42</v>
      </c>
    </row>
    <row r="8" spans="2:2">
      <c r="B8" s="269"/>
    </row>
    <row r="9" spans="2:2">
      <c r="B9" s="270" t="s">
        <v>604</v>
      </c>
    </row>
    <row r="10" spans="2:2">
      <c r="B10" s="271" t="s">
        <v>607</v>
      </c>
    </row>
    <row r="11" spans="2:2">
      <c r="B11" s="271" t="s">
        <v>643</v>
      </c>
    </row>
    <row r="12" spans="2:2">
      <c r="B12" s="269" t="s">
        <v>605</v>
      </c>
    </row>
    <row r="13" spans="2:2">
      <c r="B13" s="272" t="s">
        <v>606</v>
      </c>
    </row>
    <row r="14" spans="2:2">
      <c r="B14" s="23"/>
    </row>
    <row r="15" spans="2:2">
      <c r="B15" s="23"/>
    </row>
    <row r="16" spans="2:2">
      <c r="B16" s="24" t="s">
        <v>43</v>
      </c>
    </row>
    <row r="17" spans="2:2" ht="34">
      <c r="B17" s="23" t="s">
        <v>602</v>
      </c>
    </row>
    <row r="18" spans="2:2" ht="85">
      <c r="B18" s="23" t="s">
        <v>246</v>
      </c>
    </row>
    <row r="19" spans="2:2">
      <c r="B19" s="23"/>
    </row>
    <row r="20" spans="2:2">
      <c r="B20" s="24" t="s">
        <v>44</v>
      </c>
    </row>
    <row r="21" spans="2:2" ht="51">
      <c r="B21" s="23" t="s">
        <v>215</v>
      </c>
    </row>
    <row r="22" spans="2:2">
      <c r="B22" s="23"/>
    </row>
    <row r="23" spans="2:2">
      <c r="B23" s="24" t="s">
        <v>45</v>
      </c>
    </row>
    <row r="24" spans="2:2">
      <c r="B24" s="23" t="s">
        <v>644</v>
      </c>
    </row>
    <row r="25" spans="2:2">
      <c r="B25" s="23"/>
    </row>
    <row r="26" spans="2:2">
      <c r="B26" s="24" t="s">
        <v>46</v>
      </c>
    </row>
    <row r="27" spans="2:2">
      <c r="B27" s="23" t="s">
        <v>216</v>
      </c>
    </row>
    <row r="28" spans="2:2" ht="34">
      <c r="B28" s="23" t="s">
        <v>217</v>
      </c>
    </row>
    <row r="29" spans="2:2">
      <c r="B29" s="23" t="s">
        <v>218</v>
      </c>
    </row>
    <row r="30" spans="2:2">
      <c r="B30" s="24" t="s">
        <v>47</v>
      </c>
    </row>
    <row r="31" spans="2:2">
      <c r="B31" s="23" t="s">
        <v>219</v>
      </c>
    </row>
    <row r="32" spans="2:2">
      <c r="B32" s="23" t="s">
        <v>375</v>
      </c>
    </row>
    <row r="33" spans="2:2" ht="68">
      <c r="B33" s="23" t="s">
        <v>238</v>
      </c>
    </row>
    <row r="34" spans="2:2">
      <c r="B34" s="23"/>
    </row>
    <row r="35" spans="2:2">
      <c r="B35" s="24" t="s">
        <v>88</v>
      </c>
    </row>
    <row r="36" spans="2:2" ht="34">
      <c r="B36" s="23" t="s">
        <v>244</v>
      </c>
    </row>
    <row r="37" spans="2:2">
      <c r="B37" s="23" t="s">
        <v>293</v>
      </c>
    </row>
    <row r="38" spans="2:2">
      <c r="B38" s="23" t="s">
        <v>220</v>
      </c>
    </row>
    <row r="39" spans="2:2">
      <c r="B39" s="23" t="s">
        <v>243</v>
      </c>
    </row>
    <row r="40" spans="2:2">
      <c r="B40" s="23" t="s">
        <v>234</v>
      </c>
    </row>
    <row r="41" spans="2:2">
      <c r="B41" s="23" t="s">
        <v>161</v>
      </c>
    </row>
    <row r="42" spans="2:2">
      <c r="B42" s="23" t="s">
        <v>235</v>
      </c>
    </row>
    <row r="43" spans="2:2">
      <c r="B43" s="23" t="s">
        <v>236</v>
      </c>
    </row>
    <row r="44" spans="2:2">
      <c r="B44" s="23" t="s">
        <v>237</v>
      </c>
    </row>
    <row r="45" spans="2:2">
      <c r="B45" s="23" t="s">
        <v>233</v>
      </c>
    </row>
    <row r="46" spans="2:2">
      <c r="B46" s="23" t="s">
        <v>232</v>
      </c>
    </row>
    <row r="47" spans="2:2">
      <c r="B47" s="23" t="s">
        <v>231</v>
      </c>
    </row>
    <row r="48" spans="2:2">
      <c r="B48" s="23" t="s">
        <v>230</v>
      </c>
    </row>
    <row r="49" spans="2:2">
      <c r="B49" s="23" t="s">
        <v>675</v>
      </c>
    </row>
    <row r="50" spans="2:2" ht="34">
      <c r="B50" s="23" t="s">
        <v>425</v>
      </c>
    </row>
    <row r="51" spans="2:2" ht="34">
      <c r="B51" s="23" t="s">
        <v>676</v>
      </c>
    </row>
    <row r="52" spans="2:2">
      <c r="B52" s="23"/>
    </row>
    <row r="53" spans="2:2">
      <c r="B53" s="24" t="s">
        <v>221</v>
      </c>
    </row>
    <row r="54" spans="2:2">
      <c r="B54" s="23" t="s">
        <v>222</v>
      </c>
    </row>
    <row r="55" spans="2:2" s="23" customFormat="1"/>
    <row r="56" spans="2:2" s="23" customFormat="1">
      <c r="B56" s="65" t="s">
        <v>10</v>
      </c>
    </row>
    <row r="57" spans="2:2" s="23" customFormat="1">
      <c r="B57" s="23" t="s">
        <v>223</v>
      </c>
    </row>
    <row r="58" spans="2:2" s="23" customFormat="1">
      <c r="B58" s="23" t="s">
        <v>12</v>
      </c>
    </row>
    <row r="59" spans="2:2" s="23" customFormat="1">
      <c r="B59" s="23" t="s">
        <v>2</v>
      </c>
    </row>
    <row r="60" spans="2:2" s="23" customFormat="1" ht="34">
      <c r="B60" s="23" t="s">
        <v>224</v>
      </c>
    </row>
    <row r="61" spans="2:2" s="23" customFormat="1">
      <c r="B61" s="23" t="s">
        <v>302</v>
      </c>
    </row>
    <row r="62" spans="2:2" s="23" customFormat="1">
      <c r="B62" s="23" t="s">
        <v>291</v>
      </c>
    </row>
    <row r="63" spans="2:2" s="23" customFormat="1"/>
    <row r="64" spans="2:2" s="23" customFormat="1">
      <c r="B64" s="65" t="s">
        <v>17</v>
      </c>
    </row>
    <row r="65" spans="2:2" s="23" customFormat="1">
      <c r="B65" s="23" t="s">
        <v>225</v>
      </c>
    </row>
    <row r="66" spans="2:2" s="23" customFormat="1">
      <c r="B66" s="23" t="s">
        <v>226</v>
      </c>
    </row>
    <row r="67" spans="2:2" s="23" customFormat="1">
      <c r="B67" s="23" t="s">
        <v>227</v>
      </c>
    </row>
    <row r="68" spans="2:2" s="23" customFormat="1"/>
    <row r="69" spans="2:2" s="23" customFormat="1">
      <c r="B69" s="65" t="s">
        <v>24</v>
      </c>
    </row>
    <row r="70" spans="2:2" s="23" customFormat="1">
      <c r="B70" s="23" t="s">
        <v>3</v>
      </c>
    </row>
    <row r="71" spans="2:2" s="23" customFormat="1">
      <c r="B71" s="23" t="s">
        <v>4</v>
      </c>
    </row>
    <row r="72" spans="2:2" s="23" customFormat="1">
      <c r="B72" s="23" t="s">
        <v>5</v>
      </c>
    </row>
    <row r="73" spans="2:2" s="23" customFormat="1">
      <c r="B73" s="23" t="s">
        <v>6</v>
      </c>
    </row>
    <row r="74" spans="2:2" s="23" customFormat="1">
      <c r="B74" s="23" t="s">
        <v>8</v>
      </c>
    </row>
    <row r="75" spans="2:2" s="23" customFormat="1"/>
    <row r="76" spans="2:2" s="23" customFormat="1">
      <c r="B76" s="65" t="s">
        <v>9</v>
      </c>
    </row>
    <row r="77" spans="2:2" s="23" customFormat="1">
      <c r="B77" s="23" t="s">
        <v>7</v>
      </c>
    </row>
    <row r="78" spans="2:2" s="23" customFormat="1">
      <c r="B78" s="23" t="s">
        <v>229</v>
      </c>
    </row>
    <row r="79" spans="2:2" s="23" customFormat="1">
      <c r="B79" s="66" t="s">
        <v>228</v>
      </c>
    </row>
    <row r="80" spans="2:2" s="23" customFormat="1">
      <c r="B80" s="23" t="s">
        <v>18</v>
      </c>
    </row>
    <row r="81" spans="2:2" s="23" customFormat="1">
      <c r="B81" s="23" t="s">
        <v>11</v>
      </c>
    </row>
    <row r="82" spans="2:2" s="23" customFormat="1"/>
    <row r="83" spans="2:2">
      <c r="B83" s="24" t="s">
        <v>16</v>
      </c>
    </row>
    <row r="84" spans="2:2">
      <c r="B84" s="23" t="s">
        <v>48</v>
      </c>
    </row>
    <row r="85" spans="2:2">
      <c r="B85" s="23"/>
    </row>
    <row r="86" spans="2:2">
      <c r="B86" s="273" t="s">
        <v>608</v>
      </c>
    </row>
    <row r="87" spans="2:2">
      <c r="B87" s="271" t="s">
        <v>609</v>
      </c>
    </row>
    <row r="88" spans="2:2">
      <c r="B88" s="271" t="s">
        <v>49</v>
      </c>
    </row>
    <row r="89" spans="2:2">
      <c r="B89" s="271" t="s">
        <v>610</v>
      </c>
    </row>
    <row r="90" spans="2:2">
      <c r="B90" s="271" t="s">
        <v>303</v>
      </c>
    </row>
    <row r="91" spans="2:2">
      <c r="B91" s="274"/>
    </row>
    <row r="92" spans="2:2">
      <c r="B92" s="275" t="s">
        <v>611</v>
      </c>
    </row>
    <row r="93" spans="2:2">
      <c r="B93" s="275"/>
    </row>
    <row r="94" spans="2:2">
      <c r="B94" s="273" t="s">
        <v>612</v>
      </c>
    </row>
    <row r="95" spans="2:2" ht="34">
      <c r="B95" s="271" t="s">
        <v>613</v>
      </c>
    </row>
    <row r="96" spans="2:2">
      <c r="B96" s="271"/>
    </row>
    <row r="97" spans="2:2">
      <c r="B97" s="273" t="s">
        <v>614</v>
      </c>
    </row>
    <row r="98" spans="2:2" ht="85">
      <c r="B98" s="271" t="s">
        <v>615</v>
      </c>
    </row>
    <row r="99" spans="2:2">
      <c r="B99" s="271"/>
    </row>
    <row r="100" spans="2:2">
      <c r="B100" s="273" t="s">
        <v>604</v>
      </c>
    </row>
    <row r="101" spans="2:2" ht="51">
      <c r="B101" s="271" t="s">
        <v>616</v>
      </c>
    </row>
    <row r="102" spans="2:2" ht="34">
      <c r="B102" s="271" t="s">
        <v>617</v>
      </c>
    </row>
    <row r="103" spans="2:2">
      <c r="B103" s="271"/>
    </row>
    <row r="104" spans="2:2">
      <c r="B104" s="273" t="s">
        <v>618</v>
      </c>
    </row>
    <row r="105" spans="2:2" ht="68">
      <c r="B105" s="271" t="s">
        <v>619</v>
      </c>
    </row>
    <row r="106" spans="2:2" ht="34">
      <c r="B106" s="271" t="s">
        <v>620</v>
      </c>
    </row>
    <row r="107" spans="2:2">
      <c r="B107" s="271"/>
    </row>
    <row r="108" spans="2:2">
      <c r="B108" s="273" t="s">
        <v>621</v>
      </c>
    </row>
    <row r="109" spans="2:2" ht="51">
      <c r="B109" s="271" t="s">
        <v>622</v>
      </c>
    </row>
    <row r="110" spans="2:2" ht="68">
      <c r="B110" s="271" t="s">
        <v>623</v>
      </c>
    </row>
    <row r="111" spans="2:2" ht="51">
      <c r="B111" s="271" t="s">
        <v>624</v>
      </c>
    </row>
    <row r="112" spans="2:2" ht="34">
      <c r="B112" s="271" t="s">
        <v>625</v>
      </c>
    </row>
    <row r="113" spans="2:2">
      <c r="B113" s="271"/>
    </row>
    <row r="114" spans="2:2">
      <c r="B114" s="273" t="s">
        <v>626</v>
      </c>
    </row>
    <row r="115" spans="2:2" ht="51">
      <c r="B115" s="271" t="s">
        <v>627</v>
      </c>
    </row>
    <row r="116" spans="2:2">
      <c r="B116" s="271"/>
    </row>
    <row r="117" spans="2:2">
      <c r="B117" s="273" t="s">
        <v>628</v>
      </c>
    </row>
    <row r="118" spans="2:2" ht="51">
      <c r="B118" s="271" t="s">
        <v>629</v>
      </c>
    </row>
    <row r="119" spans="2:2">
      <c r="B119" s="271"/>
    </row>
    <row r="120" spans="2:2">
      <c r="B120" s="273" t="s">
        <v>630</v>
      </c>
    </row>
    <row r="121" spans="2:2">
      <c r="B121" s="271" t="s">
        <v>631</v>
      </c>
    </row>
    <row r="122" spans="2:2">
      <c r="B122" s="271"/>
    </row>
    <row r="123" spans="2:2">
      <c r="B123" s="273" t="s">
        <v>632</v>
      </c>
    </row>
    <row r="124" spans="2:2">
      <c r="B124" s="271" t="s">
        <v>633</v>
      </c>
    </row>
    <row r="125" spans="2:2">
      <c r="B125" s="271" t="s">
        <v>634</v>
      </c>
    </row>
    <row r="126" spans="2:2">
      <c r="B126" s="271" t="s">
        <v>635</v>
      </c>
    </row>
    <row r="127" spans="2:2" ht="51">
      <c r="B127" s="271" t="s">
        <v>636</v>
      </c>
    </row>
    <row r="128" spans="2:2">
      <c r="B128" s="271"/>
    </row>
    <row r="129" spans="2:2">
      <c r="B129" s="273" t="s">
        <v>637</v>
      </c>
    </row>
    <row r="130" spans="2:2" ht="34">
      <c r="B130" s="271" t="s">
        <v>638</v>
      </c>
    </row>
    <row r="131" spans="2:2">
      <c r="B131" s="271"/>
    </row>
    <row r="132" spans="2:2">
      <c r="B132" s="273" t="s">
        <v>639</v>
      </c>
    </row>
    <row r="133" spans="2:2">
      <c r="B133" s="271" t="s">
        <v>640</v>
      </c>
    </row>
    <row r="134" spans="2:2" ht="34">
      <c r="B134" s="271" t="s">
        <v>641</v>
      </c>
    </row>
    <row r="135" spans="2:2" ht="34">
      <c r="B135" s="271" t="s">
        <v>642</v>
      </c>
    </row>
  </sheetData>
  <hyperlinks>
    <hyperlink ref="B121"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G23/G26</f>
        <v>0.2</v>
      </c>
    </row>
    <row r="30" spans="2:11">
      <c r="F30" s="2" t="s">
        <v>116</v>
      </c>
      <c r="G30" s="29">
        <v>0.2</v>
      </c>
    </row>
    <row r="31" spans="2:11">
      <c r="F31" s="2" t="s">
        <v>114</v>
      </c>
      <c r="G31" s="4">
        <f>G30*G26/(G27*(1-G30))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4"/>
  <sheetViews>
    <sheetView showGridLines="0" topLeftCell="A10" workbookViewId="0">
      <pane xSplit="2" topLeftCell="K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4">
      <c r="B6" s="28" t="s">
        <v>55</v>
      </c>
      <c r="C6" s="27" t="s">
        <v>414</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G33*G28/(G29*(1-G33))+G32*G28/G29</f>
        <v>3333333.333333333</v>
      </c>
      <c r="H34" s="10"/>
      <c r="M34" s="2" t="s">
        <v>114</v>
      </c>
      <c r="N34" s="4">
        <f>N33*N28/(N29*(1-N33))+N32*N28/N29</f>
        <v>2420386.9329181272</v>
      </c>
      <c r="O34" s="10"/>
    </row>
    <row r="35" spans="2:15">
      <c r="F35" s="2" t="s">
        <v>177</v>
      </c>
      <c r="G35" s="29">
        <v>0</v>
      </c>
      <c r="H35" s="10" t="s">
        <v>160</v>
      </c>
      <c r="M35" s="2" t="s">
        <v>177</v>
      </c>
      <c r="N35" s="29">
        <v>0.5</v>
      </c>
      <c r="O35" s="10" t="s">
        <v>160</v>
      </c>
    </row>
    <row r="36" spans="2:15">
      <c r="F36" s="2" t="s">
        <v>40</v>
      </c>
      <c r="G36" s="73">
        <f ca="1">EDATE(TODAY(),-18)</f>
        <v>42992</v>
      </c>
      <c r="H36" s="10" t="s">
        <v>182</v>
      </c>
      <c r="M36" s="2" t="s">
        <v>40</v>
      </c>
      <c r="N36" s="73">
        <f ca="1">TODAY()</f>
        <v>43538</v>
      </c>
      <c r="O36" s="10" t="s">
        <v>182</v>
      </c>
    </row>
    <row r="37" spans="2:15">
      <c r="O37" s="10"/>
    </row>
    <row r="38" spans="2:15">
      <c r="B38" s="33" t="s">
        <v>54</v>
      </c>
    </row>
    <row r="39" spans="2:15">
      <c r="B39" s="2" t="s">
        <v>174</v>
      </c>
    </row>
    <row r="40" spans="2:15">
      <c r="B40" s="2" t="s">
        <v>290</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showGridLines="0" topLeftCell="A4" workbookViewId="0">
      <pane xSplit="2" topLeftCell="H1" activePane="topRight" state="frozen"/>
      <selection activeCell="B47" sqref="B47"/>
      <selection pane="topRight" activeCell="O8" sqref="O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4">
      <c r="B6" s="28" t="s">
        <v>55</v>
      </c>
      <c r="C6" s="27" t="s">
        <v>414</v>
      </c>
      <c r="D6" s="27" t="s">
        <v>39</v>
      </c>
      <c r="F6" s="27" t="s">
        <v>61</v>
      </c>
      <c r="G6" s="42" t="s">
        <v>15</v>
      </c>
      <c r="H6" s="42" t="s">
        <v>96</v>
      </c>
      <c r="I6" s="27" t="s">
        <v>128</v>
      </c>
      <c r="J6" s="27" t="s">
        <v>62</v>
      </c>
      <c r="K6" s="27" t="s">
        <v>117</v>
      </c>
      <c r="L6" s="27" t="s">
        <v>414</v>
      </c>
      <c r="M6" s="27" t="s">
        <v>39</v>
      </c>
      <c r="N6" s="27" t="s">
        <v>63</v>
      </c>
      <c r="O6" s="27" t="s">
        <v>650</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showGridLines="0" topLeftCell="A2" workbookViewId="0">
      <pane xSplit="2" topLeftCell="M1" activePane="topRight" state="frozen"/>
      <selection activeCell="B47" sqref="B47"/>
      <selection pane="topRight" activeCell="AC10" sqref="AC10"/>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647</v>
      </c>
      <c r="P6" s="27" t="s">
        <v>665</v>
      </c>
      <c r="R6" s="27" t="s">
        <v>61</v>
      </c>
      <c r="S6" s="42" t="s">
        <v>100</v>
      </c>
      <c r="T6" s="42" t="s">
        <v>101</v>
      </c>
      <c r="U6" s="42" t="s">
        <v>102</v>
      </c>
      <c r="V6" s="42" t="s">
        <v>148</v>
      </c>
      <c r="W6" s="27" t="s">
        <v>143</v>
      </c>
      <c r="X6" s="27" t="s">
        <v>144</v>
      </c>
      <c r="Y6" s="27" t="s">
        <v>117</v>
      </c>
      <c r="Z6" s="27" t="s">
        <v>414</v>
      </c>
      <c r="AA6" s="27" t="s">
        <v>666</v>
      </c>
      <c r="AB6" s="27" t="s">
        <v>63</v>
      </c>
      <c r="AC6" s="27" t="s">
        <v>648</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0.44776119402985076</v>
      </c>
      <c r="AB8" s="4">
        <f ca="1">Z8*S$28</f>
        <v>7200000</v>
      </c>
      <c r="AC8" s="4">
        <f ca="1">Z8</f>
        <v>6000000</v>
      </c>
      <c r="AD8" s="35">
        <f ca="1">IFERROR(AC8/AC$18,0)</f>
        <v>0.44776119402985076</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ca="1">FV(I9/1,DATEDIF(G$29,S$29,"y"),0,-S9)-S9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0.22388059701492538</v>
      </c>
      <c r="AB9" s="4">
        <f ca="1">Z9*S$28</f>
        <v>3600000</v>
      </c>
      <c r="AC9" s="4">
        <f ca="1">Z9</f>
        <v>3000000</v>
      </c>
      <c r="AD9" s="35">
        <f ca="1">IFERROR(AC9/AC$18,0)</f>
        <v>0.22388059701492538</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ca="1">FV(I10/1,DATEDIF(G$29,S$29,"y"),0,-S10)-S10</f>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3.7313432835820892E-2</v>
      </c>
      <c r="AB10" s="4">
        <f ca="1">Z10*S$28</f>
        <v>600000</v>
      </c>
      <c r="AC10" s="4">
        <f ca="1">Z10</f>
        <v>500000</v>
      </c>
      <c r="AD10" s="35">
        <f ca="1">IFERROR(AC10/AC$18,0)</f>
        <v>3.7313432835820892E-2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ca="1">FV(I11/1,DATEDIF(G$29,S$29,"y"),0,-S11)-S11</f>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2.2388059701492536E-2</v>
      </c>
      <c r="AB11" s="4">
        <f ca="1">Z11*S$28</f>
        <v>360000</v>
      </c>
      <c r="AC11" s="4">
        <f ca="1">Z11</f>
        <v>300000</v>
      </c>
      <c r="AD11" s="35">
        <f ca="1">IFERROR(AC11/AC$18,0)</f>
        <v>2.2388059701492536E-2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ca="1">FV(I12/1,DATEDIF(G$29,S$29,"y"),0,-S12)-S12</f>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1.4925373134328358E-2</v>
      </c>
      <c r="AB12" s="4">
        <f ca="1">Z12*S$28</f>
        <v>240000</v>
      </c>
      <c r="AC12" s="4">
        <f ca="1">Z12</f>
        <v>200000</v>
      </c>
      <c r="AD12" s="35">
        <f ca="1">IFERROR(AC12/AC$18,0)</f>
        <v>1.4925373134328358E-2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ca="1">FV(I14/1,DATEDIF(G$29,S$29,"y"),0,-S14)-S14</f>
        <v>40000</v>
      </c>
      <c r="U14" s="6">
        <f ca="1">T14+S14</f>
        <v>540000</v>
      </c>
      <c r="V14" s="6">
        <f ca="1">IFERROR(U14/(1-(MAX(G14,(S$28-H14/L$18)/S$28))),0)</f>
        <v>675000</v>
      </c>
      <c r="W14" s="37">
        <f>S$28</f>
        <v>1.2</v>
      </c>
      <c r="X14" s="37">
        <f ca="1">IF(U14=0,0,IF(H14&lt;&gt;0,MIN(W14*(1-G14),H14/L$18),W14*(1-G14)))</f>
        <v>0.96</v>
      </c>
      <c r="Y14" s="4">
        <f ca="1">IFERROR(R14/W14,0)+IFERROR(U14/X14,0)</f>
        <v>562500</v>
      </c>
      <c r="Z14" s="6">
        <f ca="1">Y14+L14</f>
        <v>562500</v>
      </c>
      <c r="AA14" s="35">
        <f ca="1">IFERROR(Z14/Z$18,0)</f>
        <v>4.1977611940298511E-2</v>
      </c>
      <c r="AB14" s="4">
        <f ca="1">Z14*S$28</f>
        <v>675000</v>
      </c>
      <c r="AC14" s="4">
        <f ca="1">Z14</f>
        <v>562500</v>
      </c>
      <c r="AD14" s="35">
        <f ca="1">IFERROR(AC14/AC$18,0)</f>
        <v>4.1977611940298511E-2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ca="1">FV(I15/1,DATEDIF(G$29,S$29,"y"),0,-S15)-S15</f>
        <v>20000</v>
      </c>
      <c r="U15" s="6">
        <f ca="1">T15+S15</f>
        <v>270000</v>
      </c>
      <c r="V15" s="6">
        <f ca="1">IFERROR(U15/(1-(MAX(G15,(S$28-H15/L$18)/S$28))),0)</f>
        <v>404999.99999999994</v>
      </c>
      <c r="W15" s="37">
        <f>S$28</f>
        <v>1.2</v>
      </c>
      <c r="X15" s="37">
        <f ca="1">IF(U15=0,0,IF(H15&lt;&gt;0,MIN(W15*(1-G15),H15/L$18),W15*(1-G15)))</f>
        <v>0.8</v>
      </c>
      <c r="Y15" s="4">
        <f ca="1">IFERROR(R15/W15,0)+IFERROR(U15/X15,0)</f>
        <v>337500</v>
      </c>
      <c r="Z15" s="6">
        <f ca="1">Y15+L15</f>
        <v>337500</v>
      </c>
      <c r="AA15" s="35">
        <f ca="1">IFERROR(Z15/Z$18,0)</f>
        <v>2.5186567164179104E-2</v>
      </c>
      <c r="AB15" s="4">
        <f ca="1">Z15*S$28</f>
        <v>405000</v>
      </c>
      <c r="AC15" s="4">
        <f ca="1">Z15</f>
        <v>337500</v>
      </c>
      <c r="AD15" s="35">
        <f ca="1">IFERROR(AC15/AC$18,0)</f>
        <v>2.5186567164179104E-2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ca="1">FV(I16/1,DATEDIF(G$29,S$29,"y"),0,-S16)-S16</f>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0.18656716417910449</v>
      </c>
      <c r="AB16" s="4">
        <f ca="1">Z16*S$28</f>
        <v>3000000</v>
      </c>
      <c r="AC16" s="4">
        <f ca="1">Z16</f>
        <v>2500000</v>
      </c>
      <c r="AD16" s="35">
        <f ca="1">IFERROR(AC16/AC$18,0)</f>
        <v>0.18656716417910449</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1080000</v>
      </c>
      <c r="W18" s="45"/>
      <c r="X18" s="45" t="s">
        <v>145</v>
      </c>
      <c r="Y18" s="8">
        <f t="shared" ref="Y18:AD18" ca="1" si="0">SUM(Y8:Y12,Y14:Y16)</f>
        <v>3400000</v>
      </c>
      <c r="Z18" s="8">
        <f t="shared" ca="1" si="0"/>
        <v>13400000</v>
      </c>
      <c r="AA18" s="39">
        <f t="shared" ca="1" si="0"/>
        <v>1</v>
      </c>
      <c r="AB18" s="8">
        <f t="shared" ca="1" si="0"/>
        <v>16080000</v>
      </c>
      <c r="AC18" s="8">
        <f t="shared" ca="1" si="0"/>
        <v>13400000</v>
      </c>
      <c r="AD18" s="39">
        <f t="shared" ca="1" si="0"/>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810000</v>
      </c>
      <c r="T23" s="10" t="s">
        <v>135</v>
      </c>
    </row>
    <row r="24" spans="2:30">
      <c r="F24" s="2" t="s">
        <v>148</v>
      </c>
      <c r="G24" s="6">
        <v>0</v>
      </c>
      <c r="R24" s="2" t="s">
        <v>148</v>
      </c>
      <c r="S24" s="6">
        <f ca="1">V18</f>
        <v>1080000</v>
      </c>
      <c r="T24" s="10" t="s">
        <v>151</v>
      </c>
    </row>
    <row r="25" spans="2:30">
      <c r="F25" s="2" t="s">
        <v>66</v>
      </c>
      <c r="G25" s="137">
        <v>0</v>
      </c>
      <c r="H25" s="10"/>
      <c r="R25" s="2" t="s">
        <v>66</v>
      </c>
      <c r="S25" s="137">
        <v>12000000</v>
      </c>
    </row>
    <row r="26" spans="2:30">
      <c r="F26" s="2" t="s">
        <v>103</v>
      </c>
      <c r="G26" s="14">
        <f>IF(G25=0,0,G25+G22)</f>
        <v>0</v>
      </c>
      <c r="H26" s="10"/>
      <c r="R26" s="2" t="s">
        <v>103</v>
      </c>
      <c r="S26" s="6">
        <f ca="1">S25+S22+S23</f>
        <v>15810000</v>
      </c>
      <c r="T26" s="10" t="s">
        <v>79</v>
      </c>
    </row>
    <row r="27" spans="2:30">
      <c r="F27" s="2" t="s">
        <v>152</v>
      </c>
      <c r="G27" s="6">
        <f>G26</f>
        <v>0</v>
      </c>
      <c r="R27" s="2" t="s">
        <v>152</v>
      </c>
      <c r="S27" s="6">
        <f ca="1">S25+S22+S24</f>
        <v>16080000</v>
      </c>
      <c r="T27" s="10"/>
    </row>
    <row r="28" spans="2:30">
      <c r="F28" s="2" t="s">
        <v>62</v>
      </c>
      <c r="G28" s="37">
        <f>G25/C18</f>
        <v>0</v>
      </c>
      <c r="R28" s="2" t="s">
        <v>62</v>
      </c>
      <c r="S28" s="37">
        <f>S25/L18</f>
        <v>1.2</v>
      </c>
      <c r="T28" s="10" t="s">
        <v>146</v>
      </c>
    </row>
    <row r="29" spans="2:30">
      <c r="F29" s="2" t="s">
        <v>40</v>
      </c>
      <c r="G29" s="25">
        <f ca="1">EDATE(TODAY(),-18)</f>
        <v>42992</v>
      </c>
      <c r="H29" s="10" t="s">
        <v>134</v>
      </c>
      <c r="R29" s="2" t="s">
        <v>40</v>
      </c>
      <c r="S29" s="25">
        <f ca="1">TODAY()</f>
        <v>43538</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646</v>
      </c>
    </row>
    <row r="48" spans="2:2">
      <c r="B48" s="2" t="s">
        <v>649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7"/>
  <sheetViews>
    <sheetView showGridLines="0" workbookViewId="0">
      <pane xSplit="2" topLeftCell="C1" activePane="topRight" state="frozen"/>
      <selection activeCell="B47" sqref="B47"/>
      <selection pane="topRight" activeCell="B2" sqref="B2"/>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IF(S$30="no",IFERROR(U8/(1-G8),0),IFERROR(U8/(1-(MAX(G8,(S$28-H8/L$18)/S$28))),0))</f>
        <v>0</v>
      </c>
      <c r="W8" s="37">
        <f ca="1">S$28</f>
        <v>1.0987499999999999</v>
      </c>
      <c r="X8" s="37">
        <f ca="1">IF(U8=0,0,IF(H8&lt;&gt;0,MIN(W8*(1-G8),H8/L$18),W8*(1-G8)))</f>
        <v>0</v>
      </c>
      <c r="Y8" s="4">
        <f ca="1">IFERROR(R8/W8,0)+IFERROR(U8/X8,0)</f>
        <v>0</v>
      </c>
      <c r="Z8" s="6">
        <f ca="1">Y8+L8</f>
        <v>6000000</v>
      </c>
      <c r="AA8" s="35">
        <f ca="1">IFERROR(Z8/Z$18,0)</f>
        <v>0.43852565081958522</v>
      </c>
      <c r="AB8" s="4">
        <f ca="1">Z8*S$28</f>
        <v>6592499.9999999991</v>
      </c>
      <c r="AC8" s="4">
        <f ca="1">Z8</f>
        <v>6000000</v>
      </c>
      <c r="AD8" s="35">
        <f ca="1">IFERROR(AC8/AC$18,0)</f>
        <v>0.43852565081958522</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ca="1">FV(I9/1,DATEDIF(G$29,S$29,"y"),0,-S9)-S9</f>
        <v>0</v>
      </c>
      <c r="U9" s="6">
        <f ca="1">T9+S9</f>
        <v>0</v>
      </c>
      <c r="V9" s="6">
        <f ca="1">IF(S$30="no",IFERROR(U9/(1-G9),0),IFERROR(U9/(1-(MAX(G9,(S$28-H9/L$18)/S$28))),0))</f>
        <v>0</v>
      </c>
      <c r="W9" s="37">
        <f ca="1">S$28</f>
        <v>1.0987499999999999</v>
      </c>
      <c r="X9" s="37">
        <f ca="1">IF(U9=0,0,IF(H9&lt;&gt;0,MIN(W9*(1-G9),H9/L$18),W9*(1-G9)))</f>
        <v>0</v>
      </c>
      <c r="Y9" s="4">
        <f ca="1">IFERROR(R9/W9,0)+IFERROR(U9/X9,0)</f>
        <v>0</v>
      </c>
      <c r="Z9" s="6">
        <f ca="1">Y9+L9</f>
        <v>3000000</v>
      </c>
      <c r="AA9" s="35">
        <f ca="1">IFERROR(Z9/Z$18,0)</f>
        <v>0.21926282540979261</v>
      </c>
      <c r="AB9" s="4">
        <f ca="1">Z9*S$28</f>
        <v>3296249.9999999995</v>
      </c>
      <c r="AC9" s="4">
        <f ca="1">Z9</f>
        <v>3000000</v>
      </c>
      <c r="AD9" s="35">
        <f ca="1">IFERROR(AC9/AC$18,0)</f>
        <v>0.21926282540979261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ca="1">FV(I10/1,DATEDIF(G$29,S$29,"y"),0,-S10)-S10</f>
        <v>0</v>
      </c>
      <c r="U10" s="6">
        <f ca="1">T10+S10</f>
        <v>0</v>
      </c>
      <c r="V10" s="6">
        <f ca="1">IF(S$30="no",IFERROR(U10/(1-G10),0),IFERROR(U10/(1-(MAX(G10,(S$28-H10/L$18)/S$28))),0))</f>
        <v>0</v>
      </c>
      <c r="W10" s="37">
        <f ca="1">S$28</f>
        <v>1.0987499999999999</v>
      </c>
      <c r="X10" s="37">
        <f ca="1">IF(U10=0,0,IF(H10&lt;&gt;0,MIN(W10*(1-G10),H10/L$18),W10*(1-G10)))</f>
        <v>0</v>
      </c>
      <c r="Y10" s="4">
        <f ca="1">IFERROR(R10/W10,0)+IFERROR(U10/X10,0)</f>
        <v>0</v>
      </c>
      <c r="Z10" s="6">
        <f ca="1">Y10+L10</f>
        <v>500000</v>
      </c>
      <c r="AA10" s="35">
        <f ca="1">IFERROR(Z10/Z$18,0)</f>
        <v>3.6543804234965435E-2</v>
      </c>
      <c r="AB10" s="4">
        <f ca="1">Z10*S$28</f>
        <v>549375</v>
      </c>
      <c r="AC10" s="4">
        <f ca="1">Z10</f>
        <v>500000</v>
      </c>
      <c r="AD10" s="35">
        <f ca="1">IFERROR(AC10/AC$18,0)</f>
        <v>3.6543804234965435E-2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ca="1">FV(I11/1,DATEDIF(G$29,S$29,"y"),0,-S11)-S11</f>
        <v>0</v>
      </c>
      <c r="U11" s="6">
        <f ca="1">T11+S11</f>
        <v>0</v>
      </c>
      <c r="V11" s="6">
        <f ca="1">IF(S$30="no",IFERROR(U11/(1-G11),0),IFERROR(U11/(1-(MAX(G11,(S$28-H11/L$18)/S$28))),0))</f>
        <v>0</v>
      </c>
      <c r="W11" s="37">
        <f ca="1">S$28</f>
        <v>1.0987499999999999</v>
      </c>
      <c r="X11" s="37">
        <f ca="1">IF(U11=0,0,IF(H11&lt;&gt;0,MIN(W11*(1-G11),H11/L$18),W11*(1-G11)))</f>
        <v>0</v>
      </c>
      <c r="Y11" s="4">
        <f ca="1">IFERROR(R11/W11,0)+IFERROR(U11/X11,0)</f>
        <v>0</v>
      </c>
      <c r="Z11" s="6">
        <f ca="1">Y11+L11</f>
        <v>300000</v>
      </c>
      <c r="AA11" s="35">
        <f ca="1">IFERROR(Z11/Z$18,0)</f>
        <v>2.1926282540979263E-2</v>
      </c>
      <c r="AB11" s="4">
        <f ca="1">Z11*S$28</f>
        <v>329624.99999999994</v>
      </c>
      <c r="AC11" s="4">
        <f ca="1">Z11</f>
        <v>300000</v>
      </c>
      <c r="AD11" s="35">
        <f ca="1">IFERROR(AC11/AC$18,0)</f>
        <v>2.1926282540979263E-2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ca="1">FV(I12/1,DATEDIF(G$29,S$29,"y"),0,-S12)-S12</f>
        <v>0</v>
      </c>
      <c r="U12" s="6">
        <f ca="1">T12+S12</f>
        <v>0</v>
      </c>
      <c r="V12" s="6">
        <f ca="1">IF(S$30="no",IFERROR(U12/(1-G12),0),IFERROR(U12/(1-(MAX(G12,(S$28-H12/L$18)/S$28))),0))</f>
        <v>0</v>
      </c>
      <c r="W12" s="37">
        <f ca="1">S$28</f>
        <v>1.0987499999999999</v>
      </c>
      <c r="X12" s="37">
        <f ca="1">IF(U12=0,0,IF(H12&lt;&gt;0,MIN(W12*(1-G12),H12/L$18),W12*(1-G12)))</f>
        <v>0</v>
      </c>
      <c r="Y12" s="4">
        <f ca="1">IFERROR(R12/W12,0)+IFERROR(U12/X12,0)</f>
        <v>0</v>
      </c>
      <c r="Z12" s="6">
        <f ca="1">Y12+L12</f>
        <v>200000</v>
      </c>
      <c r="AA12" s="35">
        <f ca="1">IFERROR(Z12/Z$18,0)</f>
        <v>1.4617521693986174E-2</v>
      </c>
      <c r="AB12" s="4">
        <f ca="1">Z12*S$28</f>
        <v>219749.99999999997</v>
      </c>
      <c r="AC12" s="4">
        <f ca="1">Z12</f>
        <v>200000</v>
      </c>
      <c r="AD12" s="35">
        <f ca="1">IFERROR(AC12/AC$18,0)</f>
        <v>1.4617521693986174E-2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ca="1">FV(I14/1,DATEDIF(G$29,S$29,"y"),0,-S14)-S14</f>
        <v>40000</v>
      </c>
      <c r="U14" s="6">
        <f ca="1">T14+S14</f>
        <v>540000</v>
      </c>
      <c r="V14" s="6">
        <f ca="1">IF(S$30="no",IFERROR(U14/(1-G14),0),IFERROR(U14/(1-(MAX(G14,(S$28-H14/L$18)/S$28))),0))</f>
        <v>675000</v>
      </c>
      <c r="W14" s="37">
        <f ca="1">S$28</f>
        <v>1.0987499999999999</v>
      </c>
      <c r="X14" s="37">
        <f ca="1">IF(U14=0,0,IF(H14&lt;&gt;0,MIN(W14*(1-G14),H14/L$18),W14*(1-G14)))</f>
        <v>0.879</v>
      </c>
      <c r="Y14" s="4">
        <f ca="1">IFERROR(R14/W14,0)+IFERROR(U14/X14,0)</f>
        <v>614334.47098976106</v>
      </c>
      <c r="Z14" s="6">
        <f ca="1">Y14+L14</f>
        <v>614334.47098976106</v>
      </c>
      <c r="AA14" s="35">
        <f ca="1">IFERROR(Z14/Z$18,0)</f>
        <v>4.4900237285281759E-2</v>
      </c>
      <c r="AB14" s="4">
        <f ca="1">Z14*S$28</f>
        <v>674999.99999999988</v>
      </c>
      <c r="AC14" s="4">
        <f ca="1">Z14</f>
        <v>614334.47098976106</v>
      </c>
      <c r="AD14" s="35">
        <f ca="1">IFERROR(AC14/AC$18,0)</f>
        <v>4.4900237285281759E-2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ca="1">FV(I15/1,DATEDIF(G$29,S$29,"y"),0,-S15)-S15</f>
        <v>20000</v>
      </c>
      <c r="U15" s="6">
        <f ca="1">T15+S15</f>
        <v>270000</v>
      </c>
      <c r="V15" s="6">
        <f ca="1">IF(S$30="no",IFERROR(U15/(1-G15),0),IFERROR(U15/(1-(MAX(G15,(S$28-H15/L$18)/S$28))),0))</f>
        <v>337500</v>
      </c>
      <c r="W15" s="37">
        <f ca="1">S$28</f>
        <v>1.0987499999999999</v>
      </c>
      <c r="X15" s="37">
        <f ca="1">IF(U15=0,0,IF(H15&lt;&gt;0,MIN(W15*(1-G15),H15/L$18),W15*(1-G15)))</f>
        <v>0.8</v>
      </c>
      <c r="Y15" s="4">
        <f ca="1">IFERROR(R15/W15,0)+IFERROR(U15/X15,0)</f>
        <v>337500</v>
      </c>
      <c r="Z15" s="6">
        <f ca="1">Y15+L15</f>
        <v>337500</v>
      </c>
      <c r="AA15" s="35">
        <f ca="1">IFERROR(Z15/Z$18,0)</f>
        <v>2.466706785860167E-2</v>
      </c>
      <c r="AB15" s="4">
        <f ca="1">Z15*S$28</f>
        <v>370828.12499999994</v>
      </c>
      <c r="AC15" s="4">
        <f ca="1">Z15</f>
        <v>337500</v>
      </c>
      <c r="AD15" s="35">
        <f ca="1">IFERROR(AC15/AC$18,0)</f>
        <v>2.466706785860167E-2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ca="1">FV(I16/1,DATEDIF(G$29,S$29,"y"),0,-S16)-S16</f>
        <v>0</v>
      </c>
      <c r="U16" s="6">
        <f ca="1">T16+S16</f>
        <v>0</v>
      </c>
      <c r="V16" s="6">
        <f ca="1">IF(S$30="no",IFERROR(U16/(1-G16),0),IFERROR(U16/(1-(MAX(G16,(S$28-H16/L$18)/S$28))),0))</f>
        <v>0</v>
      </c>
      <c r="W16" s="37">
        <f ca="1">S$28</f>
        <v>1.0987499999999999</v>
      </c>
      <c r="X16" s="37">
        <f ca="1">IF(U16=0,0,IF(H16&lt;&gt;0,MIN(W16*(1-G16),H16/L$18),W16*(1-G16)))</f>
        <v>0</v>
      </c>
      <c r="Y16" s="4">
        <f ca="1">IFERROR(R16/W16,0)+IFERROR(U16/X16,0)</f>
        <v>2730375.4266211605</v>
      </c>
      <c r="Z16" s="6">
        <f ca="1">Y16+L16</f>
        <v>2730375.4266211605</v>
      </c>
      <c r="AA16" s="35">
        <f ca="1">IFERROR(Z16/Z$18,0)</f>
        <v>0.19955661015680784</v>
      </c>
      <c r="AB16" s="4">
        <f ca="1">Z16*S$28</f>
        <v>3000000</v>
      </c>
      <c r="AC16" s="4">
        <f ca="1">Z16</f>
        <v>2730375.4266211605</v>
      </c>
      <c r="AD16" s="35">
        <f ca="1">IFERROR(AC16/AC$18,0)</f>
        <v>0.19955661015680784</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3682209.8976109214</v>
      </c>
      <c r="Z18" s="8">
        <f t="shared" ca="1" si="1"/>
        <v>13682209.897610921</v>
      </c>
      <c r="AA18" s="39">
        <f t="shared" ca="1" si="1"/>
        <v>1</v>
      </c>
      <c r="AB18" s="8">
        <f t="shared" ca="1" si="1"/>
        <v>15033328.124999998</v>
      </c>
      <c r="AC18" s="8">
        <f t="shared" ca="1" si="1"/>
        <v>13682209.897610921</v>
      </c>
      <c r="AD18" s="39">
        <f t="shared" ca="1" si="1"/>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T24" s="130"/>
    </row>
    <row r="25" spans="2:30">
      <c r="F25" s="2" t="s">
        <v>66</v>
      </c>
      <c r="G25" s="13">
        <v>0</v>
      </c>
      <c r="H25" s="10"/>
      <c r="R25" s="2" t="s">
        <v>66</v>
      </c>
      <c r="S25" s="6">
        <f ca="1">S26-S24-S22</f>
        <v>10987500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1.0987499999999999</v>
      </c>
      <c r="T28" s="10"/>
    </row>
    <row r="29" spans="2:30">
      <c r="F29" s="2" t="s">
        <v>40</v>
      </c>
      <c r="G29" s="25">
        <f ca="1">EDATE(TODAY(),-18)</f>
        <v>42992</v>
      </c>
      <c r="R29" s="2" t="s">
        <v>40</v>
      </c>
      <c r="S29" s="25">
        <f ca="1">TODAY()</f>
        <v>43538</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657</v>
      </c>
    </row>
    <row r="37" spans="2:2">
      <c r="B37" s="2" t="s">
        <v>658</v>
      </c>
    </row>
  </sheetData>
  <dataValidations count="1">
    <dataValidation type="list" allowBlank="1" showInputMessage="1" showErrorMessage="1" sqref="S3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9"/>
  <sheetViews>
    <sheetView showGridLines="0" workbookViewId="0">
      <pane xSplit="2" topLeftCell="C1" activePane="topRight" state="frozen"/>
      <selection activeCell="B47" sqref="B47"/>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415</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FV(I8/1,DATEDIF(G$30,S$30,"y"),0,-S8)-S8</f>
        <v>0</v>
      </c>
      <c r="U8" s="6">
        <f ca="1">T8+S8</f>
        <v>0</v>
      </c>
      <c r="V8" s="6">
        <f ca="1">IF(S$31="no",IFERROR(U8/(1-G8),0),IFERROR(U8/(1-(MAX(G8,(S$29-H8/L$18)/S$29))),0))</f>
        <v>0</v>
      </c>
      <c r="W8" s="37">
        <f ca="1">S$29</f>
        <v>1.1797500000000001</v>
      </c>
      <c r="X8" s="37">
        <f ca="1">IF(U8=0,0,IF(H8&lt;&gt;0,MIN(W8*(1-G8),H8/L$18),W8*(1-G8)))</f>
        <v>0</v>
      </c>
      <c r="Y8" s="4">
        <f ca="1">IFERROR(R8/W8,0)+IFERROR(U8/X8,0)</f>
        <v>0</v>
      </c>
      <c r="Z8" s="6">
        <f ca="1">Y8+L8</f>
        <v>6000000</v>
      </c>
      <c r="AA8" s="35">
        <f ca="1">IFERROR(Z8/Z$18,0)</f>
        <v>0.44601153897727586</v>
      </c>
      <c r="AB8" s="4">
        <f ca="1">Z8*S$29</f>
        <v>7078500</v>
      </c>
      <c r="AC8" s="4">
        <f ca="1">Z8</f>
        <v>6000000</v>
      </c>
      <c r="AD8" s="35">
        <f ca="1">IFERROR(AC8/AC$18,0)</f>
        <v>0.44601153897727586</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ca="1">FV(I9/1,DATEDIF(G$30,S$30,"y"),0,-S9)-S9</f>
        <v>0</v>
      </c>
      <c r="U9" s="6">
        <f ca="1">T9+S9</f>
        <v>0</v>
      </c>
      <c r="V9" s="6">
        <f ca="1">IF(S$31="no",IFERROR(U9/(1-G9),0),IFERROR(U9/(1-(MAX(G9,(S$29-H9/L$18)/S$29))),0))</f>
        <v>0</v>
      </c>
      <c r="W9" s="37">
        <f ca="1">S$29</f>
        <v>1.1797500000000001</v>
      </c>
      <c r="X9" s="37">
        <f ca="1">IF(U9=0,0,IF(H9&lt;&gt;0,MIN(W9*(1-G9),H9/L$18),W9*(1-G9)))</f>
        <v>0</v>
      </c>
      <c r="Y9" s="4">
        <f ca="1">IFERROR(R9/W9,0)+IFERROR(U9/X9,0)</f>
        <v>0</v>
      </c>
      <c r="Z9" s="6">
        <f ca="1">Y9+L9</f>
        <v>3000000</v>
      </c>
      <c r="AA9" s="35">
        <f ca="1">IFERROR(Z9/Z$18,0)</f>
        <v>0.22300576948863793</v>
      </c>
      <c r="AB9" s="4">
        <f ca="1">Z9*S$29</f>
        <v>3539250</v>
      </c>
      <c r="AC9" s="4">
        <f ca="1">Z9</f>
        <v>3000000</v>
      </c>
      <c r="AD9" s="35">
        <f ca="1">IFERROR(AC9/AC$18,0)</f>
        <v>0.22300576948863793</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ca="1">FV(I10/1,DATEDIF(G$30,S$30,"y"),0,-S10)-S10</f>
        <v>0</v>
      </c>
      <c r="U10" s="6">
        <f ca="1">T10+S10</f>
        <v>0</v>
      </c>
      <c r="V10" s="6">
        <f ca="1">IF(S$31="no",IFERROR(U10/(1-G10),0),IFERROR(U10/(1-(MAX(G10,(S$29-H10/L$18)/S$29))),0))</f>
        <v>0</v>
      </c>
      <c r="W10" s="37">
        <f ca="1">S$29</f>
        <v>1.1797500000000001</v>
      </c>
      <c r="X10" s="37">
        <f ca="1">IF(U10=0,0,IF(H10&lt;&gt;0,MIN(W10*(1-G10),H10/L$18),W10*(1-G10)))</f>
        <v>0</v>
      </c>
      <c r="Y10" s="4">
        <f ca="1">IFERROR(R10/W10,0)+IFERROR(U10/X10,0)</f>
        <v>0</v>
      </c>
      <c r="Z10" s="6">
        <f ca="1">Y10+L10</f>
        <v>500000</v>
      </c>
      <c r="AA10" s="35">
        <f ca="1">IFERROR(Z10/Z$18,0)</f>
        <v>3.7167628248106321E-2</v>
      </c>
      <c r="AB10" s="4">
        <f ca="1">Z10*S$29</f>
        <v>589875</v>
      </c>
      <c r="AC10" s="4">
        <f ca="1">Z10</f>
        <v>500000</v>
      </c>
      <c r="AD10" s="35">
        <f ca="1">IFERROR(AC10/AC$18,0)</f>
        <v>3.7167628248106321E-2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ca="1">FV(I11/1,DATEDIF(G$30,S$30,"y"),0,-S11)-S11</f>
        <v>0</v>
      </c>
      <c r="U11" s="6">
        <f ca="1">T11+S11</f>
        <v>0</v>
      </c>
      <c r="V11" s="6">
        <f ca="1">IF(S$31="no",IFERROR(U11/(1-G11),0),IFERROR(U11/(1-(MAX(G11,(S$29-H11/L$18)/S$29))),0))</f>
        <v>0</v>
      </c>
      <c r="W11" s="37">
        <f ca="1">S$29</f>
        <v>1.1797500000000001</v>
      </c>
      <c r="X11" s="37">
        <f ca="1">IF(U11=0,0,IF(H11&lt;&gt;0,MIN(W11*(1-G11),H11/L$18),W11*(1-G11)))</f>
        <v>0</v>
      </c>
      <c r="Y11" s="4">
        <f ca="1">IFERROR(R11/W11,0)+IFERROR(U11/X11,0)</f>
        <v>0</v>
      </c>
      <c r="Z11" s="6">
        <f ca="1">Y11+L11</f>
        <v>300000</v>
      </c>
      <c r="AA11" s="35">
        <f ca="1">IFERROR(Z11/Z$18,0)</f>
        <v>2.2300576948863792E-2</v>
      </c>
      <c r="AB11" s="4">
        <f ca="1">Z11*S$29</f>
        <v>353925</v>
      </c>
      <c r="AC11" s="4">
        <f ca="1">Z11</f>
        <v>300000</v>
      </c>
      <c r="AD11" s="35">
        <f ca="1">IFERROR(AC11/AC$18,0)</f>
        <v>2.2300576948863792E-2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ca="1">FV(I12/1,DATEDIF(G$30,S$30,"y"),0,-S12)-S12</f>
        <v>0</v>
      </c>
      <c r="U12" s="6">
        <f ca="1">T12+S12</f>
        <v>0</v>
      </c>
      <c r="V12" s="6">
        <f ca="1">IF(S$31="no",IFERROR(U12/(1-G12),0),IFERROR(U12/(1-(MAX(G12,(S$29-H12/L$18)/S$29))),0))</f>
        <v>0</v>
      </c>
      <c r="W12" s="37">
        <f ca="1">S$29</f>
        <v>1.1797500000000001</v>
      </c>
      <c r="X12" s="37">
        <f ca="1">IF(U12=0,0,IF(H12&lt;&gt;0,MIN(W12*(1-G12),H12/L$18),W12*(1-G12)))</f>
        <v>0</v>
      </c>
      <c r="Y12" s="4">
        <f ca="1">IFERROR(R12/W12,0)+IFERROR(U12/X12,0)</f>
        <v>0</v>
      </c>
      <c r="Z12" s="6">
        <f ca="1">Y12+L12</f>
        <v>200000</v>
      </c>
      <c r="AA12" s="35">
        <f ca="1">IFERROR(Z12/Z$18,0)</f>
        <v>1.4867051299242529E-2</v>
      </c>
      <c r="AB12" s="4">
        <f ca="1">Z12*S$29</f>
        <v>235950.00000000003</v>
      </c>
      <c r="AC12" s="4">
        <f ca="1">Z12</f>
        <v>200000</v>
      </c>
      <c r="AD12" s="35">
        <f ca="1">IFERROR(AC12/AC$18,0)</f>
        <v>1.4867051299242529E-2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ca="1">FV(I14/1,DATEDIF(G$30,S$30,"y"),0,-S14)-S14</f>
        <v>40000</v>
      </c>
      <c r="U14" s="6">
        <f ca="1">T14+S14</f>
        <v>540000</v>
      </c>
      <c r="V14" s="6">
        <f ca="1">IF(S$31="no",IFERROR(U14/(1-G14),0),IFERROR(U14/(1-(MAX(G14,(S$29-H14/L$18)/S$29))),0))</f>
        <v>675000</v>
      </c>
      <c r="W14" s="37">
        <f ca="1">S$29</f>
        <v>1.1797500000000001</v>
      </c>
      <c r="X14" s="37">
        <f ca="1">IF(U14=0,0,IF(H14&lt;&gt;0,MIN(W14*(1-G14),H14/L$18),W14*(1-G14)))</f>
        <v>0.94380000000000008</v>
      </c>
      <c r="Y14" s="4">
        <f ca="1">IFERROR(R14/W14,0)+IFERROR(U14/X14,0)</f>
        <v>572155.11760966305</v>
      </c>
      <c r="Z14" s="6">
        <f ca="1">Y14+L14</f>
        <v>572155.11760966305</v>
      </c>
      <c r="AA14" s="35">
        <f ca="1">IFERROR(Z14/Z$18,0)</f>
        <v>4.2531297423135016E-2</v>
      </c>
      <c r="AB14" s="4">
        <f ca="1">Z14*S$29</f>
        <v>675000</v>
      </c>
      <c r="AC14" s="4">
        <f ca="1">Z14</f>
        <v>572155.11760966305</v>
      </c>
      <c r="AD14" s="35">
        <f ca="1">IFERROR(AC14/AC$18,0)</f>
        <v>4.2531297423135016E-2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ca="1">FV(I15/1,DATEDIF(G$30,S$30,"y"),0,-S15)-S15</f>
        <v>20000</v>
      </c>
      <c r="U15" s="6">
        <f ca="1">T15+S15</f>
        <v>270000</v>
      </c>
      <c r="V15" s="6">
        <f ca="1">IF(S$31="no",IFERROR(U15/(1-G15),0),IFERROR(U15/(1-(MAX(G15,(S$29-H15/L$18)/S$29))),0))</f>
        <v>337500</v>
      </c>
      <c r="W15" s="37">
        <f ca="1">S$29</f>
        <v>1.1797500000000001</v>
      </c>
      <c r="X15" s="37">
        <f ca="1">IF(U15=0,0,IF(H15&lt;&gt;0,MIN(W15*(1-G15),H15/L$18),W15*(1-G15)))</f>
        <v>0.8</v>
      </c>
      <c r="Y15" s="4">
        <f ca="1">IFERROR(R15/W15,0)+IFERROR(U15/X15,0)</f>
        <v>337500</v>
      </c>
      <c r="Z15" s="6">
        <f ca="1">Y15+L15</f>
        <v>337500</v>
      </c>
      <c r="AA15" s="35">
        <f ca="1">IFERROR(Z15/Z$18,0)</f>
        <v>2.5088149067471768E-2</v>
      </c>
      <c r="AB15" s="4">
        <f ca="1">Z15*S$29</f>
        <v>398165.625</v>
      </c>
      <c r="AC15" s="4">
        <f ca="1">Z15</f>
        <v>337500</v>
      </c>
      <c r="AD15" s="35">
        <f ca="1">IFERROR(AC15/AC$18,0)</f>
        <v>2.5088149067471768E-2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ca="1">FV(I16/1,DATEDIF(G$30,S$30,"y"),0,-S16)-S16</f>
        <v>0</v>
      </c>
      <c r="U16" s="6">
        <f ca="1">T16+S16</f>
        <v>0</v>
      </c>
      <c r="V16" s="6">
        <f ca="1">IF(S$31="no",IFERROR(U16/(1-G16),0),IFERROR(U16/(1-(MAX(G16,(S$29-H16/L$18)/S$29))),0))</f>
        <v>0</v>
      </c>
      <c r="W16" s="37">
        <f ca="1">S$29</f>
        <v>1.1797500000000001</v>
      </c>
      <c r="X16" s="37">
        <f ca="1">IF(U16=0,0,IF(H16&lt;&gt;0,MIN(W16*(1-G16),H16/L$18),W16*(1-G16)))</f>
        <v>0</v>
      </c>
      <c r="Y16" s="4">
        <f ca="1">IFERROR(R16/W16,0)+IFERROR(U16/X16,0)</f>
        <v>2542911.6338207247</v>
      </c>
      <c r="Z16" s="6">
        <f ca="1">Y16+L16</f>
        <v>2542911.6338207247</v>
      </c>
      <c r="AA16" s="35">
        <f ca="1">IFERROR(Z16/Z$18,0)</f>
        <v>0.18902798854726674</v>
      </c>
      <c r="AB16" s="4">
        <f ca="1">Z16*S$29</f>
        <v>3000000</v>
      </c>
      <c r="AC16" s="4">
        <f ca="1">Z16</f>
        <v>2542911.6338207247</v>
      </c>
      <c r="AD16" s="35">
        <f ca="1">IFERROR(AC16/AC$18,0)</f>
        <v>0.18902798854726674</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3452566.7514303876</v>
      </c>
      <c r="Z18" s="8">
        <f t="shared" ca="1" si="1"/>
        <v>13452566.751430389</v>
      </c>
      <c r="AA18" s="39">
        <f t="shared" ca="1" si="1"/>
        <v>0.99999999999999989</v>
      </c>
      <c r="AB18" s="8">
        <f t="shared" ca="1" si="1"/>
        <v>15870665.625</v>
      </c>
      <c r="AC18" s="8">
        <f t="shared" ca="1" si="1"/>
        <v>13452566.751430389</v>
      </c>
      <c r="AD18" s="39">
        <f t="shared" ca="1" si="1"/>
        <v>0.99999999999999989</v>
      </c>
    </row>
    <row r="19" spans="2:30">
      <c r="X19" s="2">
        <f ca="1">(W15-X15)/W15</f>
        <v>0.32189023098114006</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V24" s="53"/>
    </row>
    <row r="25" spans="2:30">
      <c r="F25" s="2" t="s">
        <v>113</v>
      </c>
      <c r="G25" s="6">
        <v>0</v>
      </c>
      <c r="R25" s="2" t="s">
        <v>113</v>
      </c>
      <c r="S25" s="6">
        <f ca="1">S26-(S24-S23)</f>
        <v>11797500</v>
      </c>
      <c r="T25" s="10" t="s">
        <v>160</v>
      </c>
    </row>
    <row r="26" spans="2:30">
      <c r="F26" s="2" t="s">
        <v>66</v>
      </c>
      <c r="G26" s="13">
        <v>0</v>
      </c>
      <c r="R26" s="2" t="s">
        <v>66</v>
      </c>
      <c r="S26" s="13">
        <v>12000000</v>
      </c>
      <c r="T26" s="10" t="s">
        <v>78</v>
      </c>
    </row>
    <row r="27" spans="2:30">
      <c r="F27" s="2" t="s">
        <v>103</v>
      </c>
      <c r="G27" s="6">
        <f>IF(G26=0,0,G26+G22)</f>
        <v>0</v>
      </c>
      <c r="R27" s="2" t="s">
        <v>103</v>
      </c>
      <c r="S27" s="6">
        <f ca="1">S26+S22+S23</f>
        <v>15810000</v>
      </c>
      <c r="T27" s="10" t="s">
        <v>78</v>
      </c>
    </row>
    <row r="28" spans="2:30">
      <c r="F28" s="2" t="s">
        <v>152</v>
      </c>
      <c r="G28" s="6">
        <f>G27</f>
        <v>0</v>
      </c>
      <c r="R28" s="2" t="s">
        <v>152</v>
      </c>
      <c r="S28" s="6">
        <f ca="1">S26+S22+S23</f>
        <v>15810000</v>
      </c>
      <c r="T28" s="10"/>
    </row>
    <row r="29" spans="2:30">
      <c r="F29" s="2" t="s">
        <v>62</v>
      </c>
      <c r="G29" s="54">
        <f>G26/C18</f>
        <v>0</v>
      </c>
      <c r="R29" s="2" t="s">
        <v>62</v>
      </c>
      <c r="S29" s="3">
        <f ca="1">S25/L18</f>
        <v>1.1797500000000001</v>
      </c>
    </row>
    <row r="30" spans="2:30">
      <c r="F30" s="2" t="s">
        <v>40</v>
      </c>
      <c r="G30" s="25">
        <f ca="1">EDATE(TODAY(),-18)</f>
        <v>42992</v>
      </c>
      <c r="R30" s="2" t="s">
        <v>40</v>
      </c>
      <c r="S30" s="25">
        <f ca="1">TODAY()</f>
        <v>43538</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256</v>
      </c>
    </row>
    <row r="38" spans="2:6">
      <c r="B38" s="2" t="s">
        <v>657</v>
      </c>
    </row>
    <row r="39" spans="2:6">
      <c r="B39" s="2" t="s">
        <v>658</v>
      </c>
    </row>
  </sheetData>
  <dataValidations count="1">
    <dataValidation type="list" allowBlank="1" showInputMessage="1" showErrorMessage="1" sqref="S31">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57"/>
  <sheetViews>
    <sheetView showGridLines="0" topLeftCell="A3" workbookViewId="0">
      <pane xSplit="2" topLeftCell="C1" activePane="topRight" state="frozen"/>
      <selection activeCell="I52" sqref="I52"/>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664</v>
      </c>
    </row>
    <row r="3" spans="2:31">
      <c r="B3" s="34" t="s">
        <v>58</v>
      </c>
    </row>
    <row r="4" spans="2:31">
      <c r="B4" s="19"/>
    </row>
    <row r="6" spans="2:31" ht="51">
      <c r="B6" s="28" t="s">
        <v>55</v>
      </c>
      <c r="C6" s="27" t="s">
        <v>414</v>
      </c>
      <c r="D6" s="27" t="s">
        <v>39</v>
      </c>
      <c r="F6" s="27" t="s">
        <v>61</v>
      </c>
      <c r="G6" s="42" t="s">
        <v>15</v>
      </c>
      <c r="H6" s="42" t="s">
        <v>96</v>
      </c>
      <c r="I6" s="27" t="s">
        <v>128</v>
      </c>
      <c r="J6" s="27" t="s">
        <v>62</v>
      </c>
      <c r="K6" s="27" t="s">
        <v>117</v>
      </c>
      <c r="L6" s="27" t="s">
        <v>414</v>
      </c>
      <c r="M6" s="27" t="s">
        <v>666</v>
      </c>
      <c r="N6" s="27" t="s">
        <v>63</v>
      </c>
      <c r="O6" s="27" t="s">
        <v>661</v>
      </c>
      <c r="P6" s="27" t="s">
        <v>665</v>
      </c>
      <c r="R6" s="27" t="s">
        <v>61</v>
      </c>
      <c r="S6" s="42" t="s">
        <v>100</v>
      </c>
      <c r="T6" s="42" t="s">
        <v>101</v>
      </c>
      <c r="U6" s="42" t="s">
        <v>102</v>
      </c>
      <c r="V6" s="42" t="s">
        <v>148</v>
      </c>
      <c r="W6" s="27" t="s">
        <v>143</v>
      </c>
      <c r="X6" s="27" t="s">
        <v>144</v>
      </c>
      <c r="Y6" s="27" t="s">
        <v>117</v>
      </c>
      <c r="Z6" s="27" t="s">
        <v>414</v>
      </c>
      <c r="AA6" s="27" t="s">
        <v>666</v>
      </c>
      <c r="AB6" s="27" t="s">
        <v>63</v>
      </c>
      <c r="AC6" s="27" t="s">
        <v>662</v>
      </c>
      <c r="AD6" s="27" t="s">
        <v>665</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IFERROR(F8/(H8/C$21),0)+L8</f>
        <v>6000000</v>
      </c>
      <c r="P8" s="35">
        <f>IFERROR(O8/O$21,0)</f>
        <v>0.55491329479768781</v>
      </c>
      <c r="R8" s="137">
        <v>0</v>
      </c>
      <c r="S8" s="137">
        <f>IF(SUM(G8:I8)&lt;&gt;0,F8,0)</f>
        <v>0</v>
      </c>
      <c r="T8" s="4">
        <f ca="1">FV(I8/1,DATEDIF(G$39,S$39,"y"),0,-S8)-S8</f>
        <v>0</v>
      </c>
      <c r="U8" s="4">
        <f ca="1">T8+S8</f>
        <v>0</v>
      </c>
      <c r="V8" s="6">
        <f ca="1">IF(AND(S$42="no",S$40&lt;&gt;"premoney"),IFERROR(U8/(1-G8),0),IFERROR(U8/(1-(MAX(G8,(S$32-H8/L$21)/S$32))),0))</f>
        <v>0</v>
      </c>
      <c r="W8" s="37">
        <f>S$32</f>
        <v>1.2</v>
      </c>
      <c r="X8" s="37">
        <f ca="1">IF(U8=0,0,IF(H8&lt;&gt;0,MIN(W8*(1-G8),H8/L$21),W8*(1-G8)))</f>
        <v>0</v>
      </c>
      <c r="Y8" s="4">
        <f ca="1">IFERROR(R8/W8,0)+IFERROR(U8/X8,0)</f>
        <v>0</v>
      </c>
      <c r="Z8" s="6">
        <f ca="1">Y8+L8</f>
        <v>6000000</v>
      </c>
      <c r="AA8" s="35">
        <f ca="1">IFERROR(Z8/Z$21,0)</f>
        <v>0.34807606010570047</v>
      </c>
      <c r="AB8" s="4">
        <f ca="1">Z8*S$32</f>
        <v>7200000</v>
      </c>
      <c r="AC8" s="4">
        <f ca="1">IF(S8=0,IFERROR((T8+FV(I8/1,DATEDIF(G$39,S$39,"y"),0,-S8)-S8)/(V8/L$21),0),0)+Z8</f>
        <v>6000000</v>
      </c>
      <c r="AD8" s="35">
        <f ca="1">IFERROR(AC8/AC$21,0)</f>
        <v>0.34807606010570047</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IFERROR(F9/(H9/C$21),0)+L9</f>
        <v>3000000</v>
      </c>
      <c r="P9" s="35">
        <f t="shared" ref="P9:P19" si="0">IFERROR(O9/O$21,0)</f>
        <v>0.2774566473988439</v>
      </c>
      <c r="R9" s="137">
        <v>0</v>
      </c>
      <c r="S9" s="137">
        <f>IF(SUM(G9:I9)&lt;&gt;0,F9,0)</f>
        <v>0</v>
      </c>
      <c r="T9" s="4">
        <f t="shared" ref="T9:T19" ca="1" si="1">FV(I9/1,DATEDIF(G$39,S$39,"y"),0,-S9)-S9</f>
        <v>0</v>
      </c>
      <c r="U9" s="4">
        <f t="shared" ref="U9:U19" ca="1" si="2">T9+S9</f>
        <v>0</v>
      </c>
      <c r="V9" s="6">
        <f ca="1">IF(AND(S$42="no",S$40&lt;&gt;"premoney"),IFERROR(U9/(1-G9),0),IFERROR(U9/(1-(MAX(G9,(S$32-H9/L$21)/S$32))),0))</f>
        <v>0</v>
      </c>
      <c r="W9" s="37">
        <f>S$32</f>
        <v>1.2</v>
      </c>
      <c r="X9" s="37">
        <f t="shared" ref="X9:X19" ca="1" si="3">IF(U9=0,0,IF(H9&lt;&gt;0,MIN(W9*(1-G9),H9/L$21),W9*(1-G9)))</f>
        <v>0</v>
      </c>
      <c r="Y9" s="4">
        <f t="shared" ref="Y9:Y16" ca="1" si="4">IFERROR(R9/W9,0)+IFERROR(U9/X9,0)</f>
        <v>0</v>
      </c>
      <c r="Z9" s="6">
        <f ca="1">Y9+L9</f>
        <v>3000000</v>
      </c>
      <c r="AA9" s="35">
        <f ca="1">IFERROR(Z9/Z$21,0)</f>
        <v>0.17403803005285023</v>
      </c>
      <c r="AB9" s="4">
        <f ca="1">Z9*S$32</f>
        <v>3600000</v>
      </c>
      <c r="AC9" s="4">
        <f ca="1">IF(S9=0,IFERROR((T9+FV(I9/1,DATEDIF(G$39,S$39,"y"),0,-S9)-S9)/(V9/L$21),0),0)+Z9</f>
        <v>3000000</v>
      </c>
      <c r="AD9" s="35">
        <f t="shared" ref="AD9:AD19" ca="1" si="5">IFERROR(AC9/AC$21,0)</f>
        <v>0.17403803005285023</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6">K10+C10</f>
        <v>700000.00000000012</v>
      </c>
      <c r="M10" s="35">
        <f>IFERROR(L10/L$21,0)</f>
        <v>7.0000000000000007E-2</v>
      </c>
      <c r="N10" s="4">
        <f>L10*G$32</f>
        <v>0</v>
      </c>
      <c r="O10" s="4">
        <f>IFERROR(F10/(H10/C$21),0)+L10</f>
        <v>700000.00000000012</v>
      </c>
      <c r="P10" s="35">
        <f t="shared" si="0"/>
        <v>6.4739884393063593E-2</v>
      </c>
      <c r="R10" s="137">
        <v>0</v>
      </c>
      <c r="S10" s="137">
        <f>IF(SUM(G10:I10)&lt;&gt;0,F10,0)</f>
        <v>0</v>
      </c>
      <c r="T10" s="4">
        <f t="shared" ca="1" si="1"/>
        <v>0</v>
      </c>
      <c r="U10" s="4">
        <f t="shared" ca="1" si="2"/>
        <v>0</v>
      </c>
      <c r="V10" s="6">
        <f ca="1">IF(AND(S$42="no",S$40&lt;&gt;"premoney"),IFERROR(U10/(1-G10),0),IFERROR(U10/(1-(MAX(G10,(S$32-H10/L$21)/S$32))),0))</f>
        <v>0</v>
      </c>
      <c r="W10" s="37">
        <f>S$32</f>
        <v>1.2</v>
      </c>
      <c r="X10" s="37">
        <f t="shared" ca="1" si="3"/>
        <v>0</v>
      </c>
      <c r="Y10" s="4">
        <f t="shared" ca="1" si="4"/>
        <v>0</v>
      </c>
      <c r="Z10" s="6">
        <f ca="1">Y10+L10</f>
        <v>700000.00000000012</v>
      </c>
      <c r="AA10" s="35">
        <f ca="1">IFERROR(Z10/Z$21,0)</f>
        <v>4.0608873678998396E-2</v>
      </c>
      <c r="AB10" s="4">
        <f ca="1">Z10*S$32</f>
        <v>840000.00000000012</v>
      </c>
      <c r="AC10" s="4">
        <f ca="1">IF(S10=0,IFERROR((T10+FV(I10/1,DATEDIF(G$39,S$39,"y"),0,-S10)-S10)/(V10/L$21),0),0)+Z10</f>
        <v>700000.00000000012</v>
      </c>
      <c r="AD10" s="35">
        <f t="shared" ca="1" si="5"/>
        <v>4.0608873678998396E-2</v>
      </c>
    </row>
    <row r="11" spans="2:31">
      <c r="B11" s="137" t="s">
        <v>59</v>
      </c>
      <c r="C11" s="14">
        <f>D11*C$21</f>
        <v>300000</v>
      </c>
      <c r="D11" s="277">
        <v>0.03</v>
      </c>
      <c r="F11" s="137">
        <v>0</v>
      </c>
      <c r="G11" s="276">
        <v>0</v>
      </c>
      <c r="H11" s="137">
        <v>0</v>
      </c>
      <c r="I11" s="277">
        <v>0</v>
      </c>
      <c r="J11" s="37">
        <f>G$32</f>
        <v>0</v>
      </c>
      <c r="K11" s="10">
        <f>IFERROR(F11/J11,0)</f>
        <v>0</v>
      </c>
      <c r="L11" s="6">
        <f t="shared" si="6"/>
        <v>300000</v>
      </c>
      <c r="M11" s="35">
        <f>IFERROR(L11/L$21,0)</f>
        <v>0.03</v>
      </c>
      <c r="N11" s="4">
        <f>L11*G$32</f>
        <v>0</v>
      </c>
      <c r="O11" s="4">
        <f>IFERROR(F11/(H11/C$21),0)+L11</f>
        <v>300000</v>
      </c>
      <c r="P11" s="35">
        <f t="shared" si="0"/>
        <v>2.7745664739884393E-2</v>
      </c>
      <c r="R11" s="137">
        <v>0</v>
      </c>
      <c r="S11" s="137">
        <f>IF(SUM(G11:I11)&lt;&gt;0,F11,0)</f>
        <v>0</v>
      </c>
      <c r="T11" s="4">
        <f t="shared" ca="1" si="1"/>
        <v>0</v>
      </c>
      <c r="U11" s="4">
        <f t="shared" ca="1" si="2"/>
        <v>0</v>
      </c>
      <c r="V11" s="6">
        <f ca="1">IF(AND(S$42="no",S$40&lt;&gt;"premoney"),IFERROR(U11/(1-G11),0),IFERROR(U11/(1-(MAX(G11,(S$32-H11/L$21)/S$32))),0))</f>
        <v>0</v>
      </c>
      <c r="W11" s="37">
        <f>S$32</f>
        <v>1.2</v>
      </c>
      <c r="X11" s="37">
        <f t="shared" ca="1" si="3"/>
        <v>0</v>
      </c>
      <c r="Y11" s="4">
        <f t="shared" ca="1" si="4"/>
        <v>0</v>
      </c>
      <c r="Z11" s="6">
        <f ca="1">Y11+L11</f>
        <v>300000</v>
      </c>
      <c r="AA11" s="35">
        <f ca="1">IFERROR(Z11/Z$21,0)</f>
        <v>1.7403803005285025E-2</v>
      </c>
      <c r="AB11" s="4">
        <f ca="1">Z11*S$32</f>
        <v>360000</v>
      </c>
      <c r="AC11" s="4">
        <f ca="1">IF(S11=0,IFERROR((T11+FV(I11/1,DATEDIF(G$39,S$39,"y"),0,-S11)-S11)/(V11/L$21),0),0)+Z11</f>
        <v>300000</v>
      </c>
      <c r="AD11" s="35">
        <f t="shared" ca="1" si="5"/>
        <v>1.7403803005285025E-2</v>
      </c>
    </row>
    <row r="12" spans="2:31">
      <c r="B12" s="137" t="s">
        <v>64</v>
      </c>
      <c r="C12" s="14">
        <f>D12*C$21</f>
        <v>0</v>
      </c>
      <c r="D12" s="277">
        <v>0</v>
      </c>
      <c r="F12" s="137">
        <v>0</v>
      </c>
      <c r="G12" s="276">
        <v>0</v>
      </c>
      <c r="H12" s="137">
        <v>0</v>
      </c>
      <c r="I12" s="277">
        <v>0</v>
      </c>
      <c r="J12" s="37">
        <f>G$32</f>
        <v>0</v>
      </c>
      <c r="K12" s="10">
        <f>IFERROR(F12/J12,0)</f>
        <v>0</v>
      </c>
      <c r="L12" s="6">
        <f t="shared" si="6"/>
        <v>0</v>
      </c>
      <c r="M12" s="35">
        <f>IFERROR(L12/L$21,0)</f>
        <v>0</v>
      </c>
      <c r="N12" s="4">
        <f>L12*G$32</f>
        <v>0</v>
      </c>
      <c r="O12" s="4">
        <f>IFERROR(F12/(H12/C$21),0)+L12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1.2</v>
      </c>
      <c r="X12" s="37">
        <f t="shared" ca="1" si="3"/>
        <v>0</v>
      </c>
      <c r="Y12" s="4">
        <f t="shared" ca="1" si="4"/>
        <v>83333.333333333343</v>
      </c>
      <c r="Z12" s="6">
        <f ca="1">Y12+L12</f>
        <v>83333.333333333343</v>
      </c>
      <c r="AA12" s="35">
        <f ca="1">IFERROR(Z12/Z$21,0)</f>
        <v>4.8343897236902845E-3</v>
      </c>
      <c r="AB12" s="4">
        <f ca="1">Z12*S$32</f>
        <v>100000.00000000001</v>
      </c>
      <c r="AC12" s="4">
        <f ca="1">IF(S12=0,IFERROR((T12+FV(I12/1,DATEDIF(G$39,S$39,"y"),0,-S12)-S12)/(V12/L$21),0),0)+Z12</f>
        <v>83333.333333333343</v>
      </c>
      <c r="AD12" s="35">
        <f t="shared" ca="1" si="5"/>
        <v>4.8343897236902845E-3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0.2</v>
      </c>
      <c r="H14" s="137">
        <v>10000000</v>
      </c>
      <c r="I14" s="277">
        <v>0.08</v>
      </c>
      <c r="J14" s="37">
        <f>G$32</f>
        <v>0</v>
      </c>
      <c r="K14" s="4">
        <f>IFERROR(F14/J14,0)</f>
        <v>0</v>
      </c>
      <c r="L14" s="6">
        <f t="shared" si="6"/>
        <v>0</v>
      </c>
      <c r="M14" s="35">
        <f>IFERROR(L14/L$21,0)</f>
        <v>0</v>
      </c>
      <c r="N14" s="4">
        <f>L14*G$32</f>
        <v>0</v>
      </c>
      <c r="O14" s="4">
        <f>IFERROR(F14/(H14/C$21),0)+L14</f>
        <v>500000</v>
      </c>
      <c r="P14" s="35">
        <f t="shared" si="0"/>
        <v>4.6242774566473986E-2</v>
      </c>
      <c r="R14" s="137">
        <v>584107.32530946471</v>
      </c>
      <c r="S14" s="137">
        <f>IF(SUM(G14:I14)&lt;&gt;0,F14,0)</f>
        <v>500000</v>
      </c>
      <c r="T14" s="4">
        <f t="shared" ca="1" si="1"/>
        <v>40000</v>
      </c>
      <c r="U14" s="4">
        <f t="shared" ca="1" si="2"/>
        <v>540000</v>
      </c>
      <c r="V14" s="6">
        <f ca="1">IF(AND(S$42="no",S$40&lt;&gt;"premoney"),IFERROR(U14/(1-G14),0),IFERROR(U14/(1-(MAX(G14,(S$32-H14/L$21)/S$32))),0))</f>
        <v>675000</v>
      </c>
      <c r="W14" s="37">
        <f>S$32</f>
        <v>1.2</v>
      </c>
      <c r="X14" s="37">
        <f t="shared" ca="1" si="3"/>
        <v>0.96</v>
      </c>
      <c r="Y14" s="4">
        <f t="shared" ca="1" si="4"/>
        <v>1049256.1044245539</v>
      </c>
      <c r="Z14" s="6">
        <f ca="1">Y14+L14</f>
        <v>1049256.1044245539</v>
      </c>
      <c r="AA14" s="35">
        <f ca="1">IFERROR(Z14/Z$21,0)</f>
        <v>6.0870155144992361E-2</v>
      </c>
      <c r="AB14" s="4">
        <f ca="1">Z14*S$32</f>
        <v>1259107.3253094647</v>
      </c>
      <c r="AC14" s="4">
        <f ca="1">IF(S14=0,IFERROR((T14+FV(I14/1,DATEDIF(G$39,S$39,"y"),0,-S14)-S14)/(V14/L$21),0),0)+Z14</f>
        <v>1049256.1044245539</v>
      </c>
      <c r="AD14" s="35">
        <f t="shared" ca="1" si="5"/>
        <v>6.0870155144992361E-2</v>
      </c>
      <c r="AE14" s="10" t="s">
        <v>83</v>
      </c>
    </row>
    <row r="15" spans="2:31">
      <c r="B15" s="137" t="s">
        <v>64</v>
      </c>
      <c r="C15" s="14">
        <f>D15*C$21</f>
        <v>0</v>
      </c>
      <c r="D15" s="277">
        <v>0</v>
      </c>
      <c r="F15" s="137">
        <v>250000</v>
      </c>
      <c r="G15" s="276">
        <v>0.2</v>
      </c>
      <c r="H15" s="137">
        <v>8000000</v>
      </c>
      <c r="I15" s="277">
        <v>0.08</v>
      </c>
      <c r="J15" s="37">
        <f>G$32</f>
        <v>0</v>
      </c>
      <c r="K15" s="4">
        <f>IFERROR(F15/J15,0)</f>
        <v>0</v>
      </c>
      <c r="L15" s="6">
        <f t="shared" si="6"/>
        <v>0</v>
      </c>
      <c r="M15" s="35">
        <f>IFERROR(L15/L$21,0)</f>
        <v>0</v>
      </c>
      <c r="N15" s="4">
        <f>L15*G$32</f>
        <v>0</v>
      </c>
      <c r="O15" s="4">
        <f>IFERROR(F15/(H15/C$21),0)+L15</f>
        <v>312500</v>
      </c>
      <c r="P15" s="35">
        <f t="shared" si="0"/>
        <v>2.8901734104046242E-2</v>
      </c>
      <c r="R15" s="137">
        <v>0</v>
      </c>
      <c r="S15" s="137">
        <f>IF(SUM(G15:I15)&lt;&gt;0,F15,0)</f>
        <v>250000</v>
      </c>
      <c r="T15" s="4">
        <f t="shared" ca="1" si="1"/>
        <v>20000</v>
      </c>
      <c r="U15" s="4">
        <f t="shared" ca="1" si="2"/>
        <v>270000</v>
      </c>
      <c r="V15" s="6">
        <f ca="1">IF(AND(S$42="no",S$40&lt;&gt;"premoney"),IFERROR(U15/(1-G15),0),IFERROR(U15/(1-(MAX(G15,(S$32-H15/L$21)/S$32))),0))</f>
        <v>404999.99999999994</v>
      </c>
      <c r="W15" s="37">
        <f>S$32</f>
        <v>1.2</v>
      </c>
      <c r="X15" s="37">
        <f t="shared" ca="1" si="3"/>
        <v>0.8</v>
      </c>
      <c r="Y15" s="4">
        <f t="shared" ca="1" si="4"/>
        <v>337500</v>
      </c>
      <c r="Z15" s="6">
        <f ca="1">Y15+L15</f>
        <v>337500</v>
      </c>
      <c r="AA15" s="35">
        <f ca="1">IFERROR(Z15/Z$21,0)</f>
        <v>1.9579278380945652E-2</v>
      </c>
      <c r="AB15" s="4">
        <f ca="1">Z15*S$32</f>
        <v>405000</v>
      </c>
      <c r="AC15" s="4">
        <f ca="1">IF(S15=0,IFERROR((T15+FV(I15/1,DATEDIF(G$39,S$39,"y"),0,-S15)-S15)/(V15/L$21),0),0)+Z15</f>
        <v>337500</v>
      </c>
      <c r="AD15" s="35">
        <f t="shared" ca="1" si="5"/>
        <v>1.9579278380945652E-2</v>
      </c>
    </row>
    <row r="16" spans="2:31">
      <c r="B16" s="137" t="s">
        <v>91</v>
      </c>
      <c r="C16" s="14">
        <f>D16*C$21</f>
        <v>0</v>
      </c>
      <c r="D16" s="277">
        <v>0</v>
      </c>
      <c r="F16" s="137">
        <v>0</v>
      </c>
      <c r="G16" s="276">
        <v>0</v>
      </c>
      <c r="H16" s="137">
        <v>0</v>
      </c>
      <c r="I16" s="277">
        <v>0</v>
      </c>
      <c r="J16" s="37">
        <f>G$32</f>
        <v>0</v>
      </c>
      <c r="K16" s="4">
        <f>IFERROR(F16/J16,0)</f>
        <v>0</v>
      </c>
      <c r="L16" s="6">
        <f t="shared" si="6"/>
        <v>0</v>
      </c>
      <c r="M16" s="35">
        <f>IFERROR(L16/L$21,0)</f>
        <v>0</v>
      </c>
      <c r="N16" s="4">
        <f>L16*G$32</f>
        <v>0</v>
      </c>
      <c r="O16" s="4">
        <f>IFERROR(F16/(H16/C$21),0)+L16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1.2</v>
      </c>
      <c r="X16" s="37">
        <f t="shared" ca="1" si="3"/>
        <v>0</v>
      </c>
      <c r="Y16" s="4">
        <f t="shared" ca="1" si="4"/>
        <v>2500000</v>
      </c>
      <c r="Z16" s="6">
        <f ca="1">Y16+L16</f>
        <v>2500000</v>
      </c>
      <c r="AA16" s="35">
        <f ca="1">IFERROR(Z16/Z$21,0)</f>
        <v>0.14503169171070854</v>
      </c>
      <c r="AB16" s="4">
        <f ca="1">Z16*S$32</f>
        <v>3000000</v>
      </c>
      <c r="AC16" s="4">
        <f ca="1">IF(S16=0,IFERROR((T16+FV(I16/1,DATEDIF(G$39,S$39,"y"),0,-S16)-S16)/(V16/L$21),0),0)+Z16</f>
        <v>2500000</v>
      </c>
      <c r="AD16" s="35">
        <f t="shared" ca="1" si="5"/>
        <v>0.14503169171070854</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7">K18+C18</f>
        <v>0</v>
      </c>
      <c r="M18" s="35">
        <f>IFERROR(L18/L$21,0)</f>
        <v>0</v>
      </c>
      <c r="N18" s="4">
        <f>L18*G$32</f>
        <v>0</v>
      </c>
      <c r="O18" s="4">
        <f>IFERROR(F18/(H18/C$21),0)+L18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1.2</v>
      </c>
      <c r="X18" s="37">
        <f t="shared" ca="1" si="3"/>
        <v>0</v>
      </c>
      <c r="Y18" s="4">
        <f>L19*S38</f>
        <v>0</v>
      </c>
      <c r="Z18" s="6">
        <f>Y18+L18</f>
        <v>0</v>
      </c>
      <c r="AA18" s="35">
        <f ca="1">IFERROR(Z18/Z$21,0)</f>
        <v>0</v>
      </c>
      <c r="AB18" s="4">
        <f>Z18*S$32</f>
        <v>0</v>
      </c>
      <c r="AC18" s="4">
        <f ca="1">IF(S18=0,IFERROR((T18+FV(I18/1,DATEDIF(G$39,S$39,"y"),0,-S18)-S18)/(V18/L$21),0),0)+Z18</f>
        <v>0</v>
      </c>
      <c r="AD18" s="35">
        <f t="shared" ca="1" si="5"/>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1.2</v>
      </c>
      <c r="X19" s="37">
        <f t="shared" ca="1" si="3"/>
        <v>0</v>
      </c>
      <c r="Y19" s="4">
        <f>S37</f>
        <v>3267522.3594394722</v>
      </c>
      <c r="Z19" s="6">
        <f>Y19+L19-Y18</f>
        <v>3267522.3594394722</v>
      </c>
      <c r="AA19" s="35">
        <f ca="1">IFERROR(Z19/Z$21,0)</f>
        <v>0.18955771819682898</v>
      </c>
      <c r="AB19" s="4">
        <f>Z19*S$32</f>
        <v>3921026.8313273666</v>
      </c>
      <c r="AC19" s="4">
        <f ca="1">IF(S19=0,IFERROR((T19+FV(I19/1,DATEDIF(G$39,S$39,"y"),0,-S19)-S19)/(V19/L$21),0),0)+Z19</f>
        <v>3267522.3594394722</v>
      </c>
      <c r="AD19" s="35">
        <f t="shared" ca="1" si="5"/>
        <v>0.18955771819682898</v>
      </c>
    </row>
    <row r="20" spans="2:30">
      <c r="D20" s="36"/>
    </row>
    <row r="21" spans="2:30">
      <c r="B21" s="38" t="s">
        <v>20</v>
      </c>
      <c r="C21" s="278">
        <v>10000000</v>
      </c>
      <c r="D21" s="7">
        <f>SUM(D8:D12,D14:D16,D18:D19)</f>
        <v>1</v>
      </c>
      <c r="F21" s="8">
        <f>SUM(F8:F12,F14:F16,F18:F19)</f>
        <v>750000</v>
      </c>
      <c r="G21" s="8"/>
      <c r="H21" s="8"/>
      <c r="I21" s="8"/>
      <c r="J21" s="38"/>
      <c r="K21" s="8">
        <f t="shared" ref="K21:P21" si="8">SUM(K8:K12,K14:K16,K18:K19)</f>
        <v>0</v>
      </c>
      <c r="L21" s="8">
        <f t="shared" si="8"/>
        <v>10000000</v>
      </c>
      <c r="M21" s="7">
        <f t="shared" si="8"/>
        <v>1</v>
      </c>
      <c r="N21" s="8">
        <f t="shared" si="8"/>
        <v>0</v>
      </c>
      <c r="O21" s="8">
        <f t="shared" si="8"/>
        <v>10812500</v>
      </c>
      <c r="P21" s="7">
        <f t="shared" si="8"/>
        <v>0.99999999999999989</v>
      </c>
      <c r="R21" s="8">
        <f>SUM(R8:R12,R14:R16,R18:R19)</f>
        <v>3684107.3253094647</v>
      </c>
      <c r="S21" s="8">
        <f>SUM(S8:S12,S14:S16,S18:S19)</f>
        <v>750000</v>
      </c>
      <c r="T21" s="8">
        <f ca="1">SUM(T8:T12,T14:T16,T18:T19)</f>
        <v>60000</v>
      </c>
      <c r="U21" s="8">
        <f ca="1">SUM(U8:U12,U14:U16,U18:U19)</f>
        <v>810000</v>
      </c>
      <c r="V21" s="8">
        <f ca="1">SUM(V8:V12,V14:V16,V18:V19)</f>
        <v>1080000</v>
      </c>
      <c r="W21" s="38"/>
      <c r="X21" s="38"/>
      <c r="Y21" s="8">
        <f t="shared" ref="Y21:AD21" ca="1" si="9">SUM(Y8:Y12,Y14:Y16,Y18:Y19)</f>
        <v>7237611.7971973587</v>
      </c>
      <c r="Z21" s="8">
        <f t="shared" ca="1" si="9"/>
        <v>17237611.797197361</v>
      </c>
      <c r="AA21" s="7">
        <f t="shared" ca="1" si="9"/>
        <v>0.99999999999999989</v>
      </c>
      <c r="AB21" s="8">
        <f t="shared" ca="1" si="9"/>
        <v>20685134.15663683</v>
      </c>
      <c r="AC21" s="8">
        <f t="shared" ca="1" si="9"/>
        <v>17237611.797197361</v>
      </c>
      <c r="AD21" s="7">
        <f t="shared" ca="1" si="9"/>
        <v>0.99999999999999989</v>
      </c>
    </row>
    <row r="24" spans="2:30">
      <c r="F24" s="34" t="s">
        <v>65</v>
      </c>
      <c r="G24" s="34"/>
      <c r="H24" s="34"/>
      <c r="R24" s="34" t="s">
        <v>89</v>
      </c>
      <c r="V24" s="34"/>
    </row>
    <row r="25" spans="2:30">
      <c r="F25" s="2" t="s">
        <v>67</v>
      </c>
      <c r="G25" s="6">
        <f>F21</f>
        <v>750000</v>
      </c>
      <c r="R25" s="2" t="s">
        <v>67</v>
      </c>
      <c r="S25" s="6">
        <f>R21</f>
        <v>3684107.3253094647</v>
      </c>
    </row>
    <row r="26" spans="2:30">
      <c r="F26" s="2" t="s">
        <v>100</v>
      </c>
      <c r="G26" s="6">
        <v>0</v>
      </c>
      <c r="R26" s="2" t="s">
        <v>100</v>
      </c>
      <c r="S26" s="6">
        <f ca="1">U21</f>
        <v>810000</v>
      </c>
    </row>
    <row r="27" spans="2:30">
      <c r="F27" s="2" t="s">
        <v>148</v>
      </c>
      <c r="G27" s="6">
        <v>0</v>
      </c>
      <c r="R27" s="2" t="s">
        <v>148</v>
      </c>
      <c r="S27" s="6">
        <f ca="1">V21</f>
        <v>1080000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15684107.325309465</v>
      </c>
    </row>
    <row r="31" spans="2:30">
      <c r="F31" s="2" t="s">
        <v>152</v>
      </c>
      <c r="G31" s="6">
        <f>IF(G29=0,0,G29+G25+G27+IFERROR(G36*G30/(G32*(1-G36)),G36*C21/(1-G36))*G32)</f>
        <v>0</v>
      </c>
      <c r="R31" s="2" t="s">
        <v>152</v>
      </c>
      <c r="S31" s="6">
        <f ca="1">IF(S29=0,0,IF(S40="% ownership",S30,S29+S25+IF(S40="premoney",S27,IF(S40="$ invested",S26,0)))+IFERROR(S36*S30/(S32*(1-S36)),S36*L21/(1-S36))*S32)</f>
        <v>20685134.15663683</v>
      </c>
    </row>
    <row r="32" spans="2:30">
      <c r="F32" s="2" t="s">
        <v>62</v>
      </c>
      <c r="G32" s="37">
        <f>G28/C21</f>
        <v>0</v>
      </c>
      <c r="R32" s="2" t="s">
        <v>62</v>
      </c>
      <c r="S32" s="37">
        <f>S28/L21</f>
        <v>1.2</v>
      </c>
    </row>
    <row r="33" spans="2:25">
      <c r="F33" s="2" t="s">
        <v>94</v>
      </c>
      <c r="G33" s="5">
        <f>IFERROR(G25/G30,0)</f>
        <v>0</v>
      </c>
      <c r="R33" s="2" t="s">
        <v>94</v>
      </c>
      <c r="S33" s="5">
        <f>IFERROR(S25/S30,0)</f>
        <v>0.23489429451712662</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458</v>
      </c>
      <c r="R37" s="2" t="s">
        <v>114</v>
      </c>
      <c r="S37" s="279">
        <f>IFERROR(S36*S30/(S32*(1-S36)),S36*L21/(1-S36))+IFERROR(S35*S30/S32,S35*L21)</f>
        <v>3267522.3594394722</v>
      </c>
      <c r="T37" s="10" t="s">
        <v>458</v>
      </c>
    </row>
    <row r="38" spans="2:25">
      <c r="F38" s="2" t="s">
        <v>177</v>
      </c>
      <c r="G38" s="277">
        <v>0</v>
      </c>
      <c r="H38" s="10" t="s">
        <v>160</v>
      </c>
      <c r="R38" s="2" t="s">
        <v>177</v>
      </c>
      <c r="S38" s="277">
        <v>0.5</v>
      </c>
      <c r="T38" s="10" t="s">
        <v>160</v>
      </c>
    </row>
    <row r="39" spans="2:25">
      <c r="F39" s="2" t="s">
        <v>40</v>
      </c>
      <c r="G39" s="25">
        <f ca="1">EDATE(TODAY(),-18)</f>
        <v>42992</v>
      </c>
      <c r="H39" s="10" t="s">
        <v>182</v>
      </c>
      <c r="R39" s="2" t="s">
        <v>40</v>
      </c>
      <c r="S39" s="25">
        <f ca="1">TODAY()</f>
        <v>43538</v>
      </c>
      <c r="T39" s="10" t="s">
        <v>182</v>
      </c>
    </row>
    <row r="40" spans="2:25">
      <c r="R40" s="2" t="s">
        <v>667</v>
      </c>
      <c r="S40" s="55" t="s">
        <v>668</v>
      </c>
      <c r="T40" s="10" t="s">
        <v>146</v>
      </c>
      <c r="Y40" s="10"/>
    </row>
    <row r="41" spans="2:25">
      <c r="R41" s="2" t="s">
        <v>671</v>
      </c>
      <c r="S41" s="46" t="str">
        <f>IF(OR(S40="$ invested",S40="% ownership"),"Yes","No")</f>
        <v>No</v>
      </c>
      <c r="T41" s="10" t="s">
        <v>151</v>
      </c>
    </row>
    <row r="42" spans="2:25">
      <c r="R42" s="2" t="s">
        <v>210</v>
      </c>
      <c r="S42" s="55" t="s">
        <v>211</v>
      </c>
      <c r="T42" s="10" t="s">
        <v>151</v>
      </c>
    </row>
    <row r="43" spans="2:25">
      <c r="R43" s="2" t="s">
        <v>672</v>
      </c>
      <c r="S43" s="4">
        <f ca="1">AB21-S31</f>
        <v>0</v>
      </c>
      <c r="T43" s="10" t="s">
        <v>460</v>
      </c>
    </row>
    <row r="44" spans="2:25">
      <c r="S44" s="4"/>
      <c r="T44" s="10"/>
    </row>
    <row r="45" spans="2:25">
      <c r="B45" s="33" t="s">
        <v>54</v>
      </c>
    </row>
    <row r="46" spans="2:25">
      <c r="B46" s="2" t="s">
        <v>174</v>
      </c>
    </row>
    <row r="47" spans="2:25">
      <c r="B47" s="2" t="s">
        <v>290</v>
      </c>
    </row>
    <row r="48" spans="2:25">
      <c r="B48" s="2" t="s">
        <v>179</v>
      </c>
    </row>
    <row r="49" spans="2:2">
      <c r="B49" s="2" t="s">
        <v>183</v>
      </c>
    </row>
    <row r="50" spans="2:2">
      <c r="B50" s="2" t="s">
        <v>186</v>
      </c>
    </row>
    <row r="51" spans="2:2">
      <c r="B51" s="2" t="s">
        <v>187</v>
      </c>
    </row>
    <row r="52" spans="2:2">
      <c r="B52" s="2" t="s">
        <v>659</v>
      </c>
    </row>
    <row r="53" spans="2:2">
      <c r="B53" s="2" t="s">
        <v>660</v>
      </c>
    </row>
    <row r="54" spans="2:2">
      <c r="B54" s="2" t="s">
        <v>663</v>
      </c>
    </row>
    <row r="55" spans="2:2">
      <c r="B55" s="2" t="s">
        <v>669</v>
      </c>
    </row>
    <row r="56" spans="2:2">
      <c r="B56" s="2" t="s">
        <v>670</v>
      </c>
    </row>
    <row r="57" spans="2:2">
      <c r="B57" s="2" t="s">
        <v>673</v>
      </c>
    </row>
  </sheetData>
  <conditionalFormatting sqref="S43">
    <cfRule type="expression" dxfId="0" priority="1">
      <formula>"&lt;&gt;0"</formula>
    </cfRule>
  </conditionalFormatting>
  <dataValidations disablePrompts="1" count="2">
    <dataValidation type="list" allowBlank="1" showInputMessage="1" showErrorMessage="1" sqref="S42">
      <formula1>"no,yes"</formula1>
    </dataValidation>
    <dataValidation type="list" allowBlank="1" showInputMessage="1" showErrorMessage="1" sqref="S40">
      <formula1>"premoney,%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54"/>
  <sheetViews>
    <sheetView showGridLines="0" topLeftCell="B1" workbookViewId="0">
      <selection activeCell="J10" sqref="J10"/>
    </sheetView>
  </sheetViews>
  <sheetFormatPr baseColWidth="10" defaultRowHeight="17" x14ac:dyDescent="0"/>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251</v>
      </c>
      <c r="J5" s="20"/>
      <c r="K5" s="10"/>
      <c r="L5" s="10"/>
      <c r="M5" s="10"/>
      <c r="N5" s="10"/>
    </row>
    <row r="6" spans="2:14">
      <c r="B6" s="1" t="str">
        <f>"# of "&amp;'Cap Table'!D61&amp;"s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44269</v>
      </c>
      <c r="F8" s="20"/>
      <c r="G8" s="20"/>
      <c r="H8" s="20"/>
      <c r="I8" s="30" t="s">
        <v>252</v>
      </c>
      <c r="J8" s="20"/>
      <c r="K8" s="10"/>
      <c r="L8" s="10"/>
      <c r="M8" s="10"/>
      <c r="N8" s="10"/>
    </row>
    <row r="9" spans="2:14">
      <c r="B9" s="1" t="s">
        <v>163</v>
      </c>
      <c r="C9" s="50" t="s">
        <v>50</v>
      </c>
      <c r="D9" s="136">
        <v>0.75</v>
      </c>
      <c r="F9" s="20"/>
      <c r="G9" s="20"/>
      <c r="H9" s="20"/>
      <c r="I9" s="30" t="s">
        <v>253</v>
      </c>
      <c r="J9" s="20"/>
      <c r="K9" s="10"/>
      <c r="L9" s="10"/>
      <c r="M9" s="10"/>
      <c r="N9" s="10"/>
    </row>
    <row r="10" spans="2:14">
      <c r="B10" s="10" t="s">
        <v>210</v>
      </c>
      <c r="D10" s="55" t="s">
        <v>211</v>
      </c>
      <c r="F10" s="20"/>
      <c r="G10" s="20"/>
      <c r="H10" s="20"/>
      <c r="I10" s="2" t="s">
        <v>254</v>
      </c>
      <c r="J10" s="20"/>
      <c r="K10" s="10"/>
      <c r="L10" s="10"/>
      <c r="M10" s="10"/>
      <c r="N10" s="10"/>
    </row>
    <row r="11" spans="2:14">
      <c r="B11" s="10" t="s">
        <v>250</v>
      </c>
      <c r="D11" s="46" t="str">
        <f>IF(SUM(D83:H83)=0,"Yes","No")</f>
        <v>No</v>
      </c>
      <c r="F11" s="20"/>
      <c r="G11" s="20"/>
      <c r="H11" s="20"/>
      <c r="I11" s="72" t="s">
        <v>255</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257</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258</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259</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260</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261</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262</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262</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263</v>
      </c>
      <c r="J32" s="10"/>
      <c r="K32" s="10"/>
      <c r="L32" s="10"/>
    </row>
    <row r="33" spans="2:22">
      <c r="B33" s="10" t="s">
        <v>28</v>
      </c>
      <c r="C33" s="9"/>
      <c r="D33" s="137">
        <f>D30</f>
        <v>3584107.3253094642</v>
      </c>
      <c r="E33" s="137">
        <f>E30</f>
        <v>750000</v>
      </c>
      <c r="F33" s="137">
        <v>0</v>
      </c>
      <c r="G33" s="137">
        <v>0</v>
      </c>
      <c r="H33" s="56">
        <f>SUM(D33:G33)</f>
        <v>4334107.3253094647</v>
      </c>
      <c r="I33" s="60" t="s">
        <v>292</v>
      </c>
      <c r="K33" s="10"/>
      <c r="V33" s="32">
        <f>SUMIFS(D33:E33,D34:E34,"&lt;&gt;"&amp;#REF!)</f>
        <v>0</v>
      </c>
    </row>
    <row r="34" spans="2:22">
      <c r="B34" s="1" t="s">
        <v>167</v>
      </c>
      <c r="C34" s="1"/>
      <c r="D34" s="140" t="s">
        <v>427</v>
      </c>
      <c r="E34" s="140" t="s">
        <v>424</v>
      </c>
      <c r="F34" s="49" t="s">
        <v>27</v>
      </c>
      <c r="G34" s="49" t="s">
        <v>27</v>
      </c>
      <c r="I34" s="60" t="s">
        <v>264</v>
      </c>
    </row>
    <row r="35" spans="2:22">
      <c r="B35" s="1" t="s">
        <v>168</v>
      </c>
      <c r="C35" s="1"/>
      <c r="D35" s="141">
        <v>1</v>
      </c>
      <c r="E35" s="141">
        <v>1</v>
      </c>
      <c r="F35" s="49" t="s">
        <v>27</v>
      </c>
      <c r="G35" s="49" t="s">
        <v>27</v>
      </c>
      <c r="I35" s="30" t="s">
        <v>265</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266</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267</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268</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269</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270</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271</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413</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272</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273</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274</v>
      </c>
    </row>
    <row r="52" spans="2:9">
      <c r="B52" s="10" t="s">
        <v>203</v>
      </c>
      <c r="C52" s="50" t="s">
        <v>420</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275</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276</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277</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278</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279</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280</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420</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281</v>
      </c>
    </row>
    <row r="83" spans="2:9" s="34" customFormat="1">
      <c r="B83" s="9" t="s">
        <v>249</v>
      </c>
      <c r="C83" s="71" t="str">
        <f>C5</f>
        <v>$</v>
      </c>
      <c r="D83" s="79">
        <f>D40-D82</f>
        <v>0</v>
      </c>
      <c r="E83" s="79">
        <f t="shared" ref="E83:H83" si="2">E40-E82</f>
        <v>0</v>
      </c>
      <c r="F83" s="79">
        <f t="shared" si="2"/>
        <v>2697216.2638983</v>
      </c>
      <c r="G83" s="79">
        <f t="shared" si="2"/>
        <v>2697216.2638982981</v>
      </c>
      <c r="H83" s="79">
        <f t="shared" si="2"/>
        <v>3584107.3253094628</v>
      </c>
      <c r="I83" s="9" t="s">
        <v>248</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282</v>
      </c>
    </row>
    <row r="90" spans="2:9">
      <c r="B90" s="11"/>
      <c r="D90" s="11"/>
      <c r="E90" s="11"/>
      <c r="F90" s="11"/>
      <c r="G90" s="11"/>
      <c r="H90" s="11"/>
      <c r="I90" s="30"/>
    </row>
    <row r="91" spans="2:9">
      <c r="B91" s="129" t="s">
        <v>247</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283</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412</v>
      </c>
    </row>
    <row r="94" spans="2:9">
      <c r="B94" s="57" t="str">
        <f>B71&amp;" (including Options)"</f>
        <v>Common (including Options)</v>
      </c>
      <c r="C94" s="50" t="str">
        <f>C5</f>
        <v>$</v>
      </c>
      <c r="D94" s="68">
        <v>0</v>
      </c>
      <c r="E94" s="68">
        <v>0</v>
      </c>
      <c r="F94" s="68">
        <v>0</v>
      </c>
      <c r="G94" s="68">
        <v>0</v>
      </c>
      <c r="H94" s="68">
        <v>0</v>
      </c>
      <c r="I94" s="68" t="s">
        <v>411</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284</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285</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286</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287</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288</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289</v>
      </c>
    </row>
    <row r="154" spans="9:9">
      <c r="I154" s="30" t="s">
        <v>312</v>
      </c>
    </row>
  </sheetData>
  <dataValidations count="2">
    <dataValidation type="list" allowBlank="1" showInputMessage="1" showErrorMessage="1" sqref="D34:E34">
      <formula1>"Non Participating Preferred,Full Participating Preferred,Participating Preferred with a Cap"</formula1>
    </dataValidation>
    <dataValidation type="list" allowBlank="1" showInputMessage="1" showErrorMessage="1" sqref="D1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0"/>
  <sheetViews>
    <sheetView showGridLines="0" workbookViewId="0">
      <selection activeCell="I43" sqref="I43:I44"/>
    </sheetView>
  </sheetViews>
  <sheetFormatPr baseColWidth="10" defaultRowHeight="17" outlineLevelRow="1" x14ac:dyDescent="0"/>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326</v>
      </c>
      <c r="C2" s="94"/>
      <c r="D2" s="95"/>
    </row>
    <row r="3" spans="2:11">
      <c r="B3" s="34" t="s">
        <v>361</v>
      </c>
      <c r="D3" s="46"/>
      <c r="F3" s="109"/>
      <c r="K3" s="2" t="s">
        <v>327</v>
      </c>
    </row>
    <row r="4" spans="2:11">
      <c r="B4" s="34" t="s">
        <v>362</v>
      </c>
      <c r="D4" s="46"/>
      <c r="F4" s="109"/>
      <c r="K4" s="2" t="s">
        <v>328</v>
      </c>
    </row>
    <row r="5" spans="2:11">
      <c r="D5" s="46"/>
    </row>
    <row r="6" spans="2:11">
      <c r="B6" s="2" t="s">
        <v>358</v>
      </c>
      <c r="D6" s="119" t="s">
        <v>26</v>
      </c>
      <c r="E6" s="119" t="s">
        <v>33</v>
      </c>
      <c r="F6" s="119" t="s">
        <v>34</v>
      </c>
      <c r="G6" s="119" t="s">
        <v>35</v>
      </c>
      <c r="H6" s="119" t="s">
        <v>36</v>
      </c>
      <c r="I6" s="119" t="s">
        <v>37</v>
      </c>
      <c r="K6" s="111" t="s">
        <v>329</v>
      </c>
    </row>
    <row r="8" spans="2:11">
      <c r="B8" s="19" t="s">
        <v>352</v>
      </c>
      <c r="D8" s="43"/>
      <c r="E8" s="43"/>
      <c r="F8" s="43"/>
      <c r="G8" s="43"/>
      <c r="H8" s="43"/>
      <c r="I8" s="43"/>
    </row>
    <row r="9" spans="2:11">
      <c r="B9" s="2" t="s">
        <v>332</v>
      </c>
      <c r="C9" s="43" t="s">
        <v>50</v>
      </c>
      <c r="D9" s="110">
        <v>1</v>
      </c>
      <c r="E9" s="96">
        <v>0.5</v>
      </c>
      <c r="F9" s="96">
        <v>0.25</v>
      </c>
      <c r="G9" s="96">
        <v>0.25</v>
      </c>
      <c r="H9" s="96">
        <v>0.25</v>
      </c>
      <c r="I9" s="96">
        <v>0.25</v>
      </c>
      <c r="K9" s="111" t="s">
        <v>330</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331</v>
      </c>
    </row>
    <row r="11" spans="2:11">
      <c r="B11" s="2" t="s">
        <v>333</v>
      </c>
      <c r="C11" s="43" t="s">
        <v>170</v>
      </c>
      <c r="D11" s="125">
        <v>0</v>
      </c>
      <c r="E11" s="99">
        <v>10</v>
      </c>
      <c r="F11" s="99">
        <v>6</v>
      </c>
      <c r="G11" s="99">
        <v>5</v>
      </c>
      <c r="H11" s="99">
        <v>2.5</v>
      </c>
      <c r="I11" s="99">
        <v>1.6</v>
      </c>
      <c r="K11" s="111" t="s">
        <v>334</v>
      </c>
    </row>
    <row r="12" spans="2:11">
      <c r="B12" s="2" t="s">
        <v>317</v>
      </c>
      <c r="C12" s="43" t="s">
        <v>170</v>
      </c>
      <c r="D12" s="125">
        <v>0</v>
      </c>
      <c r="E12" s="99">
        <v>5</v>
      </c>
      <c r="F12" s="99">
        <v>3.5</v>
      </c>
      <c r="G12" s="99">
        <v>2</v>
      </c>
      <c r="H12" s="99">
        <v>2</v>
      </c>
      <c r="I12" s="99">
        <v>2</v>
      </c>
      <c r="K12" s="111" t="s">
        <v>335</v>
      </c>
    </row>
    <row r="13" spans="2:11">
      <c r="B13" s="2" t="s">
        <v>318</v>
      </c>
      <c r="C13" s="43" t="s">
        <v>170</v>
      </c>
      <c r="D13" s="125">
        <v>0</v>
      </c>
      <c r="E13" s="103">
        <v>18</v>
      </c>
      <c r="F13" s="103">
        <v>18</v>
      </c>
      <c r="G13" s="103">
        <v>18</v>
      </c>
      <c r="H13" s="103">
        <v>18</v>
      </c>
      <c r="I13" s="103">
        <v>18</v>
      </c>
      <c r="K13" s="111" t="s">
        <v>336</v>
      </c>
    </row>
    <row r="14" spans="2:11">
      <c r="B14" s="2" t="s">
        <v>40</v>
      </c>
      <c r="C14" s="43" t="s">
        <v>301</v>
      </c>
      <c r="D14" s="100">
        <v>43101</v>
      </c>
      <c r="E14" s="101">
        <f>EDATE(D14,E13)</f>
        <v>43647</v>
      </c>
      <c r="F14" s="101">
        <f>EDATE(E14,F13)</f>
        <v>44197</v>
      </c>
      <c r="G14" s="101">
        <f>EDATE(F14,G13)</f>
        <v>44743</v>
      </c>
      <c r="H14" s="101">
        <f>EDATE(G14,H13)</f>
        <v>45292</v>
      </c>
      <c r="I14" s="101">
        <f>EDATE(H14,I13)</f>
        <v>45839</v>
      </c>
      <c r="K14" s="111" t="s">
        <v>337</v>
      </c>
    </row>
    <row r="15" spans="2:11">
      <c r="B15" s="2" t="s">
        <v>319</v>
      </c>
      <c r="C15" s="290" t="s">
        <v>156</v>
      </c>
      <c r="D15" s="103">
        <v>1000000</v>
      </c>
      <c r="E15" s="104">
        <f>E12*D15</f>
        <v>5000000</v>
      </c>
      <c r="F15" s="104">
        <f>F12*E15</f>
        <v>17500000</v>
      </c>
      <c r="G15" s="104">
        <f>G12*F15</f>
        <v>35000000</v>
      </c>
      <c r="H15" s="104">
        <f>H12*G15</f>
        <v>70000000</v>
      </c>
      <c r="I15" s="104">
        <f>I12*H15</f>
        <v>140000000</v>
      </c>
      <c r="J15" s="6"/>
      <c r="K15" s="111" t="s">
        <v>338</v>
      </c>
    </row>
    <row r="16" spans="2:11">
      <c r="B16" s="2" t="s">
        <v>245</v>
      </c>
      <c r="C16" s="102" t="str">
        <f>$C$15</f>
        <v>$</v>
      </c>
      <c r="D16" s="103">
        <v>3000000</v>
      </c>
      <c r="E16" s="6">
        <f>E11*D16</f>
        <v>30000000</v>
      </c>
      <c r="F16" s="6">
        <f>F11*E16</f>
        <v>180000000</v>
      </c>
      <c r="G16" s="6">
        <f>G11*F16</f>
        <v>900000000</v>
      </c>
      <c r="H16" s="6">
        <f>H11*G16</f>
        <v>2250000000</v>
      </c>
      <c r="I16" s="6">
        <f>I11*H16</f>
        <v>3600000000</v>
      </c>
      <c r="K16" s="111" t="s">
        <v>339</v>
      </c>
    </row>
    <row r="17" spans="2:11">
      <c r="B17" s="2" t="s">
        <v>320</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340</v>
      </c>
    </row>
    <row r="18" spans="2:11">
      <c r="B18" s="2" t="s">
        <v>321</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341</v>
      </c>
    </row>
    <row r="19" spans="2:11">
      <c r="B19" s="2" t="s">
        <v>322</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343</v>
      </c>
    </row>
    <row r="20" spans="2:11">
      <c r="B20" s="2" t="s">
        <v>342</v>
      </c>
      <c r="C20" s="43" t="s">
        <v>50</v>
      </c>
      <c r="D20" s="96">
        <v>0.2</v>
      </c>
      <c r="E20" s="96">
        <v>0.2</v>
      </c>
      <c r="F20" s="96">
        <v>0.15</v>
      </c>
      <c r="G20" s="96">
        <v>0.15</v>
      </c>
      <c r="H20" s="96">
        <v>0.1</v>
      </c>
      <c r="I20" s="96">
        <v>0.05</v>
      </c>
      <c r="K20" s="111" t="s">
        <v>359</v>
      </c>
    </row>
    <row r="21" spans="2:11">
      <c r="B21" s="2" t="s">
        <v>344</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345</v>
      </c>
    </row>
    <row r="22" spans="2:11">
      <c r="B22" s="2" t="s">
        <v>346</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347</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348</v>
      </c>
    </row>
    <row r="24" spans="2:11">
      <c r="B24" s="2" t="s">
        <v>323</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349</v>
      </c>
    </row>
    <row r="25" spans="2:11">
      <c r="B25" s="2" t="s">
        <v>357</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350</v>
      </c>
    </row>
    <row r="26" spans="2:11">
      <c r="D26" s="43"/>
      <c r="E26" s="43"/>
      <c r="F26" s="43"/>
      <c r="G26" s="43"/>
      <c r="H26" s="43"/>
      <c r="I26" s="43"/>
      <c r="J26" s="43"/>
    </row>
    <row r="27" spans="2:11">
      <c r="D27" s="43"/>
      <c r="E27" s="43"/>
      <c r="F27" s="43"/>
      <c r="G27" s="43"/>
      <c r="H27" s="43"/>
      <c r="I27" s="43"/>
      <c r="J27" s="43"/>
    </row>
    <row r="28" spans="2:11">
      <c r="B28" s="19" t="s">
        <v>351</v>
      </c>
      <c r="C28" s="94"/>
      <c r="D28" s="94"/>
      <c r="E28" s="94"/>
      <c r="F28" s="94"/>
      <c r="G28" s="94"/>
      <c r="H28" s="94"/>
      <c r="I28" s="94"/>
      <c r="J28" s="94"/>
    </row>
    <row r="29" spans="2:11">
      <c r="B29" s="11" t="s">
        <v>386</v>
      </c>
      <c r="C29" s="93" t="s">
        <v>50</v>
      </c>
      <c r="D29" s="97">
        <f>1-E9</f>
        <v>0.5</v>
      </c>
      <c r="E29" s="97">
        <f>1-F9</f>
        <v>0.75</v>
      </c>
      <c r="F29" s="97">
        <f>1-G9</f>
        <v>0.75</v>
      </c>
      <c r="G29" s="97">
        <f>1-H9</f>
        <v>0.75</v>
      </c>
      <c r="H29" s="97">
        <f>1-I9</f>
        <v>0.75</v>
      </c>
      <c r="I29" s="96">
        <v>1</v>
      </c>
      <c r="K29" s="111" t="s">
        <v>353</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354</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387</v>
      </c>
    </row>
    <row r="32" spans="2:11">
      <c r="B32" s="2" t="s">
        <v>355</v>
      </c>
      <c r="C32" s="43" t="s">
        <v>170</v>
      </c>
      <c r="D32" s="106">
        <v>1.2</v>
      </c>
      <c r="E32" s="106">
        <v>1.4</v>
      </c>
      <c r="F32" s="106">
        <v>1.4</v>
      </c>
      <c r="G32" s="106">
        <v>1.4</v>
      </c>
      <c r="H32" s="106">
        <v>1.2</v>
      </c>
      <c r="I32" s="106">
        <v>1.1000000000000001</v>
      </c>
      <c r="K32" s="111" t="s">
        <v>389</v>
      </c>
    </row>
    <row r="33" spans="2:11">
      <c r="B33" s="2" t="s">
        <v>356</v>
      </c>
      <c r="C33" s="43" t="s">
        <v>170</v>
      </c>
      <c r="D33" s="103">
        <v>12</v>
      </c>
      <c r="E33" s="103">
        <f>D33</f>
        <v>12</v>
      </c>
      <c r="F33" s="103">
        <f t="shared" ref="F33:I33" si="6">E33</f>
        <v>12</v>
      </c>
      <c r="G33" s="103">
        <f t="shared" si="6"/>
        <v>12</v>
      </c>
      <c r="H33" s="103">
        <f t="shared" si="6"/>
        <v>12</v>
      </c>
      <c r="I33" s="103">
        <f t="shared" si="6"/>
        <v>12</v>
      </c>
      <c r="K33" s="111" t="s">
        <v>388</v>
      </c>
    </row>
    <row r="34" spans="2:11">
      <c r="B34" s="2" t="s">
        <v>40</v>
      </c>
      <c r="C34" s="43" t="s">
        <v>301</v>
      </c>
      <c r="D34" s="108">
        <f t="shared" ref="D34:I34" si="7">EDATE(D14,D33)</f>
        <v>43466</v>
      </c>
      <c r="E34" s="108">
        <f t="shared" si="7"/>
        <v>44013</v>
      </c>
      <c r="F34" s="108">
        <f t="shared" si="7"/>
        <v>44562</v>
      </c>
      <c r="G34" s="108">
        <f t="shared" si="7"/>
        <v>45108</v>
      </c>
      <c r="H34" s="108">
        <f t="shared" si="7"/>
        <v>45658</v>
      </c>
      <c r="I34" s="108">
        <f t="shared" si="7"/>
        <v>46204</v>
      </c>
    </row>
    <row r="35" spans="2:11">
      <c r="B35" s="2" t="s">
        <v>324</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390</v>
      </c>
    </row>
    <row r="36" spans="2:11">
      <c r="B36" s="2" t="s">
        <v>325</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391</v>
      </c>
    </row>
    <row r="37" spans="2:11">
      <c r="B37" s="2" t="s">
        <v>368</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392</v>
      </c>
    </row>
    <row r="38" spans="2:11">
      <c r="C38" s="102"/>
      <c r="D38" s="107"/>
      <c r="E38" s="107"/>
      <c r="F38" s="107"/>
      <c r="G38" s="107"/>
      <c r="H38" s="107"/>
      <c r="I38" s="107"/>
    </row>
    <row r="39" spans="2:11">
      <c r="C39" s="102"/>
      <c r="D39" s="107"/>
      <c r="E39" s="107"/>
      <c r="F39" s="107"/>
      <c r="G39" s="107"/>
      <c r="H39" s="107"/>
      <c r="I39" s="107"/>
    </row>
    <row r="40" spans="2:11">
      <c r="B40" s="19" t="s">
        <v>393</v>
      </c>
      <c r="C40" s="102"/>
      <c r="D40" s="107"/>
      <c r="E40" s="107"/>
      <c r="F40" s="107"/>
      <c r="G40" s="107"/>
      <c r="H40" s="107"/>
      <c r="I40" s="107"/>
    </row>
    <row r="41" spans="2:11">
      <c r="B41" s="41" t="s">
        <v>405</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406</v>
      </c>
      <c r="C43" s="102"/>
      <c r="D43" s="127" t="str">
        <f>IF(D15&gt;=1000000,$C$15&amp;ROUNDUP(D15/1000000,2)&amp;"m",$C$15&amp;ROUNDUP(D15/1000,0)&amp;"k")&amp;" at "</f>
        <v xml:space="preserve">$1m at </v>
      </c>
      <c r="E43" s="127" t="str">
        <f>IF(E15&gt;=1000000,$C$15&amp;ROUNDUP(E15/1000000,2)&amp;"m",$C$15&amp;ROUNDUP(E15/1000,0)&amp;"k")&amp;" at "</f>
        <v xml:space="preserve">$5m at </v>
      </c>
      <c r="F43" s="127" t="str">
        <f>IF(F15&gt;=1000000,$C$15&amp;ROUNDUP(F15/1000000,2)&amp;"m",$C$15&amp;ROUNDUP(F15/1000,0)&amp;"k")&amp;" at "</f>
        <v xml:space="preserve">$17.5m at </v>
      </c>
      <c r="G43" s="127" t="str">
        <f>IF(G15&gt;=1000000,$C$15&amp;ROUNDUP(G15/1000000,2)&amp;"m",$C$15&amp;ROUNDUP(G15/1000,0)&amp;"k")&amp;" at "</f>
        <v xml:space="preserve">$35m at </v>
      </c>
      <c r="H43" s="127" t="str">
        <f>IF(H15&gt;=1000000,$C$15&amp;ROUNDUP(H15/1000000,2)&amp;"m",$C$15&amp;ROUNDUP(H15/1000,0)&amp;"k")&amp;" at "</f>
        <v xml:space="preserve">$70m at </v>
      </c>
      <c r="I43" s="127" t="str">
        <f>IF(I15&gt;=1000000,$C$15&amp;ROUNDUP(I15/1000000,2)&amp;"m",$C$15&amp;ROUNDUP(I15/1000,0)&amp;"k")&amp;" at "</f>
        <v xml:space="preserve">$140m at </v>
      </c>
    </row>
    <row r="44" spans="2:11">
      <c r="B44" s="2" t="s">
        <v>407</v>
      </c>
      <c r="C44" s="102"/>
      <c r="D44" s="127" t="str">
        <f>IF(D16&gt;=1000000,$C$15&amp;ROUNDUP(D16/1000000,2)&amp;"m",$C$15&amp;ROUNDUP(D16/1000,0)&amp;"k")&amp;" pre"</f>
        <v>$3m pre</v>
      </c>
      <c r="E44" s="127" t="str">
        <f>IF(E16&gt;=1000000,$C$15&amp;ROUNDUP(E16/1000000,2)&amp;"m",$C$15&amp;ROUNDUP(E16/1000,0)&amp;"k")&amp;" pre"</f>
        <v>$30m pre</v>
      </c>
      <c r="F44" s="127" t="str">
        <f>IF(F16&gt;=1000000,$C$15&amp;ROUNDUP(F16/1000000,2)&amp;"m",$C$15&amp;ROUNDUP(F16/1000,0)&amp;"k")&amp;" pre"</f>
        <v>$180m pre</v>
      </c>
      <c r="G44" s="127" t="str">
        <f>IF(G16&gt;=1000000,$C$15&amp;ROUNDUP(G16/1000000,2)&amp;"m",$C$15&amp;ROUNDUP(G16/1000,0)&amp;"k")&amp;" pre"</f>
        <v>$900m pre</v>
      </c>
      <c r="H44" s="127" t="str">
        <f>IF(H16&gt;=1000000,$C$15&amp;ROUNDUP(H16/1000000,2)&amp;"m",$C$15&amp;ROUNDUP(H16/1000,0)&amp;"k")&amp;" pre"</f>
        <v>$2250m pre</v>
      </c>
      <c r="I44" s="127" t="str">
        <f>IF(I16&gt;=1000000,$C$15&amp;ROUNDUP(I16/1000000,2)&amp;"m",$C$15&amp;ROUNDUP(I16/1000,0)&amp;"k")&amp;" pre"</f>
        <v>$3600m pre</v>
      </c>
    </row>
    <row r="45" spans="2:11">
      <c r="C45" s="102"/>
      <c r="D45" s="107"/>
      <c r="E45" s="107"/>
      <c r="F45" s="107"/>
      <c r="G45" s="107"/>
      <c r="H45" s="107"/>
      <c r="I45" s="107"/>
    </row>
    <row r="46" spans="2:11">
      <c r="B46" s="2" t="s">
        <v>408</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404</v>
      </c>
    </row>
    <row r="47" spans="2:11">
      <c r="B47" s="2" t="s">
        <v>409</v>
      </c>
      <c r="C47" s="102"/>
      <c r="D47" s="127" t="str">
        <f t="shared" ref="D47:I47" si="12">D29*D31*100&amp;"% fail"</f>
        <v>40% fail</v>
      </c>
      <c r="E47" s="127" t="str">
        <f t="shared" si="12"/>
        <v>45% fail</v>
      </c>
      <c r="F47" s="127" t="str">
        <f t="shared" si="12"/>
        <v>26.25% fail</v>
      </c>
      <c r="G47" s="127" t="str">
        <f t="shared" si="12"/>
        <v>11.25% fail</v>
      </c>
      <c r="H47" s="127" t="str">
        <f t="shared" si="12"/>
        <v>7.5% fail</v>
      </c>
      <c r="I47" s="127" t="str">
        <f t="shared" si="12"/>
        <v>5% fail</v>
      </c>
    </row>
    <row r="48" spans="2:11">
      <c r="B48" s="2" t="s">
        <v>410</v>
      </c>
      <c r="C48" s="102"/>
      <c r="D48" s="127" t="str">
        <f t="shared" ref="D48:I48" si="13">D29*(1-D31)*100&amp;"% sell"</f>
        <v>10% sell</v>
      </c>
      <c r="E48" s="127" t="str">
        <f t="shared" si="13"/>
        <v>30% sell</v>
      </c>
      <c r="F48" s="127" t="str">
        <f t="shared" si="13"/>
        <v>48.75% sell</v>
      </c>
      <c r="G48" s="127" t="str">
        <f t="shared" si="13"/>
        <v>63.75% sell</v>
      </c>
      <c r="H48" s="127" t="str">
        <f t="shared" si="13"/>
        <v>67.5% sell</v>
      </c>
      <c r="I48" s="127" t="str">
        <f t="shared" si="13"/>
        <v>95% sell</v>
      </c>
    </row>
    <row r="49" spans="2:11">
      <c r="C49" s="102"/>
      <c r="D49" s="107"/>
      <c r="E49" s="107"/>
      <c r="F49" s="107"/>
      <c r="G49" s="107"/>
      <c r="H49" s="107"/>
      <c r="I49" s="107"/>
    </row>
    <row r="50" spans="2:11">
      <c r="C50" s="102"/>
      <c r="D50" s="107"/>
      <c r="E50" s="107"/>
      <c r="F50" s="107"/>
      <c r="G50" s="107"/>
      <c r="H50" s="107"/>
      <c r="I50" s="107"/>
    </row>
    <row r="51" spans="2:11">
      <c r="B51" s="19" t="s">
        <v>377</v>
      </c>
      <c r="C51" s="102"/>
      <c r="D51" s="107"/>
      <c r="E51" s="107"/>
      <c r="F51" s="107"/>
      <c r="G51" s="107"/>
      <c r="H51" s="107"/>
      <c r="I51" s="107"/>
    </row>
    <row r="52" spans="2:11">
      <c r="B52" s="2" t="s">
        <v>364</v>
      </c>
      <c r="C52" s="93" t="s">
        <v>50</v>
      </c>
      <c r="D52" s="115">
        <v>1</v>
      </c>
      <c r="E52" s="115">
        <v>1</v>
      </c>
      <c r="F52" s="115">
        <v>1</v>
      </c>
      <c r="G52" s="115">
        <v>1</v>
      </c>
      <c r="H52" s="115">
        <v>1</v>
      </c>
      <c r="I52" s="115">
        <v>1</v>
      </c>
      <c r="K52" s="2" t="s">
        <v>394</v>
      </c>
    </row>
    <row r="53" spans="2:11">
      <c r="B53" s="2" t="s">
        <v>363</v>
      </c>
      <c r="C53" s="102" t="str">
        <f>$C$15</f>
        <v>$</v>
      </c>
      <c r="D53" s="6">
        <f t="shared" ref="D53:I53" si="14">D52*D15</f>
        <v>1000000</v>
      </c>
      <c r="E53" s="6">
        <f t="shared" si="14"/>
        <v>5000000</v>
      </c>
      <c r="F53" s="6">
        <f t="shared" si="14"/>
        <v>17500000</v>
      </c>
      <c r="G53" s="6">
        <f t="shared" si="14"/>
        <v>35000000</v>
      </c>
      <c r="H53" s="6">
        <f t="shared" si="14"/>
        <v>70000000</v>
      </c>
      <c r="I53" s="6">
        <f t="shared" si="14"/>
        <v>140000000</v>
      </c>
      <c r="K53" s="2" t="s">
        <v>395</v>
      </c>
    </row>
    <row r="54" spans="2:11">
      <c r="B54" s="2" t="s">
        <v>366</v>
      </c>
      <c r="C54" s="102" t="s">
        <v>170</v>
      </c>
      <c r="D54" s="6">
        <f t="shared" ref="D54:I54" si="15">D53/D23</f>
        <v>3333333.3333333335</v>
      </c>
      <c r="E54" s="6">
        <f t="shared" si="15"/>
        <v>2777777.7777777775</v>
      </c>
      <c r="F54" s="6">
        <f t="shared" si="15"/>
        <v>2363040.1234567896</v>
      </c>
      <c r="G54" s="6">
        <f t="shared" si="15"/>
        <v>1220131.8284515452</v>
      </c>
      <c r="H54" s="6">
        <f t="shared" si="15"/>
        <v>1193017.7878192884</v>
      </c>
      <c r="I54" s="6">
        <f t="shared" si="15"/>
        <v>1708519.3010745365</v>
      </c>
      <c r="K54" s="2"/>
    </row>
    <row r="55" spans="2:11">
      <c r="B55" s="2" t="s">
        <v>367</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365</v>
      </c>
      <c r="C56" s="93" t="s">
        <v>50</v>
      </c>
      <c r="D56" s="116">
        <f t="shared" ref="D56:I56" si="16">D55/D22</f>
        <v>0.2</v>
      </c>
      <c r="E56" s="116">
        <f t="shared" si="16"/>
        <v>0.25142857142857145</v>
      </c>
      <c r="F56" s="116">
        <f t="shared" si="16"/>
        <v>0.27009403254972875</v>
      </c>
      <c r="G56" s="116">
        <f t="shared" si="16"/>
        <v>0.25280420844977808</v>
      </c>
      <c r="H56" s="116">
        <f t="shared" si="16"/>
        <v>0.24781401815120718</v>
      </c>
      <c r="I56" s="116">
        <f t="shared" si="16"/>
        <v>0.26217217702597023</v>
      </c>
      <c r="K56" s="117"/>
    </row>
    <row r="57" spans="2:11">
      <c r="B57" s="2" t="s">
        <v>369</v>
      </c>
      <c r="C57" s="102" t="str">
        <f>$C$15</f>
        <v>$</v>
      </c>
      <c r="D57" s="107">
        <f t="shared" ref="D57:I57" si="17">D55*D36</f>
        <v>239999.99999999994</v>
      </c>
      <c r="E57" s="107">
        <f t="shared" si="17"/>
        <v>6160000</v>
      </c>
      <c r="F57" s="107">
        <f t="shared" si="17"/>
        <v>57109000</v>
      </c>
      <c r="G57" s="107">
        <f t="shared" si="17"/>
        <v>330920708.86075944</v>
      </c>
      <c r="H57" s="107">
        <f t="shared" si="17"/>
        <v>689914226.53296077</v>
      </c>
      <c r="I57" s="107">
        <f t="shared" si="17"/>
        <v>1078576336.2848415</v>
      </c>
    </row>
    <row r="58" spans="2:11">
      <c r="C58" s="102"/>
      <c r="D58" s="107"/>
      <c r="E58" s="107"/>
      <c r="F58" s="107"/>
      <c r="G58" s="107"/>
      <c r="H58" s="107"/>
      <c r="I58" s="107"/>
    </row>
    <row r="59" spans="2:11">
      <c r="B59" s="2" t="s">
        <v>371</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396</v>
      </c>
    </row>
    <row r="60" spans="2:11">
      <c r="B60" s="2" t="s">
        <v>372</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397</v>
      </c>
    </row>
    <row r="61" spans="2:11">
      <c r="B61" s="11" t="s">
        <v>374</v>
      </c>
      <c r="C61" s="126" t="s">
        <v>50</v>
      </c>
      <c r="D61" s="118">
        <f t="shared" ref="D61:I61" ca="1" si="18">IFERROR(LOOKUP(2,1/(ISNUMBER(D85:D90)),D85:D90),"na")</f>
        <v>-0.75999999754130854</v>
      </c>
      <c r="E61" s="118">
        <f t="shared" ca="1" si="18"/>
        <v>2.1185663342475892E-2</v>
      </c>
      <c r="F61" s="118">
        <f t="shared" ca="1" si="18"/>
        <v>0.70131539106369023</v>
      </c>
      <c r="G61" s="118">
        <f t="shared" ca="1" si="18"/>
        <v>1.0787555575370791</v>
      </c>
      <c r="H61" s="118">
        <f t="shared" ca="1" si="18"/>
        <v>0.8280052304267882</v>
      </c>
      <c r="I61" s="118">
        <f t="shared" ca="1" si="18"/>
        <v>0.59170518517494208</v>
      </c>
      <c r="K61" s="111" t="s">
        <v>398</v>
      </c>
    </row>
    <row r="62" spans="2:11">
      <c r="C62" s="102"/>
      <c r="D62" s="102"/>
      <c r="E62" s="102"/>
      <c r="F62" s="102"/>
      <c r="G62" s="102"/>
      <c r="H62" s="102"/>
      <c r="I62" s="102"/>
    </row>
    <row r="63" spans="2:11">
      <c r="C63" s="102"/>
      <c r="D63" s="107"/>
      <c r="E63" s="107"/>
      <c r="F63" s="107"/>
      <c r="G63" s="107"/>
      <c r="H63" s="107"/>
      <c r="I63" s="107"/>
    </row>
    <row r="64" spans="2:11">
      <c r="B64" s="19" t="s">
        <v>380</v>
      </c>
      <c r="C64" s="102"/>
      <c r="D64" s="107"/>
      <c r="E64" s="107"/>
      <c r="F64" s="107"/>
      <c r="G64" s="107"/>
      <c r="H64" s="107"/>
      <c r="I64" s="107"/>
    </row>
    <row r="65" spans="2:11">
      <c r="B65" s="34" t="s">
        <v>384</v>
      </c>
      <c r="C65" s="102"/>
      <c r="D65" s="107"/>
      <c r="E65" s="107"/>
      <c r="F65" s="107"/>
      <c r="G65" s="107"/>
      <c r="H65" s="107"/>
      <c r="I65" s="107"/>
    </row>
    <row r="66" spans="2:11">
      <c r="B66" s="34" t="s">
        <v>385</v>
      </c>
      <c r="C66" s="102"/>
      <c r="D66" s="107"/>
      <c r="E66" s="107"/>
      <c r="F66" s="107"/>
      <c r="G66" s="107"/>
      <c r="H66" s="107"/>
      <c r="I66" s="107"/>
    </row>
    <row r="67" spans="2:11">
      <c r="B67" s="19"/>
      <c r="C67" s="102"/>
      <c r="D67" s="107"/>
      <c r="E67" s="107"/>
      <c r="F67" s="107"/>
      <c r="G67" s="107"/>
      <c r="H67" s="107"/>
      <c r="I67" s="107"/>
    </row>
    <row r="68" spans="2:11">
      <c r="B68" s="2" t="s">
        <v>378</v>
      </c>
      <c r="C68" s="102"/>
      <c r="D68" s="122" t="str">
        <f t="shared" ref="D68:I68" si="19">D6</f>
        <v>Seed</v>
      </c>
      <c r="E68" s="122" t="str">
        <f t="shared" si="19"/>
        <v>A</v>
      </c>
      <c r="F68" s="122" t="str">
        <f t="shared" si="19"/>
        <v>B</v>
      </c>
      <c r="G68" s="122" t="str">
        <f t="shared" si="19"/>
        <v>C</v>
      </c>
      <c r="H68" s="122" t="str">
        <f t="shared" si="19"/>
        <v>D</v>
      </c>
      <c r="I68" s="122" t="str">
        <f t="shared" si="19"/>
        <v>E</v>
      </c>
      <c r="K68" s="111" t="s">
        <v>399</v>
      </c>
    </row>
    <row r="69" spans="2:11">
      <c r="B69" s="41" t="str">
        <f>D$6</f>
        <v>Seed</v>
      </c>
      <c r="C69" s="102" t="str">
        <f>$C$15</f>
        <v>$</v>
      </c>
      <c r="D69" s="107">
        <f t="shared" ref="D69:I69" si="20">IF(INDEX($D$54:$I$54,0,MATCH($B$69,$D$6:$I$6,0))=0,0,IF(INDEX($D$14:$I$14,0,MATCH($B69,$D$6:$I$6,0))&gt;INDEX($D$14:$I$14,0,MATCH(D$68,$D$6:$I$6,0)),0,SUM($D$54:$D$54)*D$36))</f>
        <v>239999.99999999994</v>
      </c>
      <c r="E69" s="107">
        <f t="shared" si="20"/>
        <v>3360000</v>
      </c>
      <c r="F69" s="107">
        <f t="shared" si="20"/>
        <v>22464000.000000004</v>
      </c>
      <c r="G69" s="107">
        <f t="shared" si="20"/>
        <v>113785518.98734176</v>
      </c>
      <c r="H69" s="107">
        <f t="shared" si="20"/>
        <v>211229038.3034687</v>
      </c>
      <c r="I69" s="107">
        <f t="shared" si="20"/>
        <v>285432342.70748901</v>
      </c>
    </row>
    <row r="70" spans="2:11">
      <c r="B70" s="41" t="str">
        <f>E$6</f>
        <v>A</v>
      </c>
      <c r="C70" s="102" t="str">
        <f>$C$15</f>
        <v>$</v>
      </c>
      <c r="D70" s="107">
        <f t="shared" ref="D70:I70" si="21">IF(INDEX($D$54:$I$54,0,MATCH($B$70,$D$6:$I$6,0))=0,0,IF(INDEX($D$14:$I$14,0,MATCH($B70,$D$6:$I$6,0))&gt;INDEX($D$14:$I$14,0,MATCH(D$68,$D$6:$I$6,0)),0,SUM($D$54:$E$54)*D$36))</f>
        <v>0</v>
      </c>
      <c r="E70" s="107">
        <f t="shared" si="21"/>
        <v>6160000</v>
      </c>
      <c r="F70" s="107">
        <f t="shared" si="21"/>
        <v>41184000</v>
      </c>
      <c r="G70" s="107">
        <f t="shared" si="21"/>
        <v>208606784.81012654</v>
      </c>
      <c r="H70" s="107">
        <f t="shared" si="21"/>
        <v>387253236.8896926</v>
      </c>
      <c r="I70" s="107">
        <f t="shared" si="21"/>
        <v>523292628.29706311</v>
      </c>
    </row>
    <row r="71" spans="2:11">
      <c r="B71" s="41" t="str">
        <f>F$6</f>
        <v>B</v>
      </c>
      <c r="C71" s="102" t="str">
        <f>$C$15</f>
        <v>$</v>
      </c>
      <c r="D71" s="107">
        <f t="shared" ref="D71:I71" si="22">IF(INDEX($D$54:$I$54,0,MATCH($B$71,$D$6:$I$6,0))=0,0,IF(INDEX($D$14:$I$14,0,MATCH($B71,$D$6:$I$6,0))&gt;INDEX($D$14:$I$14,0,MATCH(D$68,$D$6:$I$6,0)),0,SUM($D$54:$F$54)*D$36))</f>
        <v>0</v>
      </c>
      <c r="E71" s="107">
        <f t="shared" si="22"/>
        <v>0</v>
      </c>
      <c r="F71" s="107">
        <f t="shared" si="22"/>
        <v>57109000</v>
      </c>
      <c r="G71" s="107">
        <f t="shared" si="22"/>
        <v>289270708.86075944</v>
      </c>
      <c r="H71" s="107">
        <f t="shared" si="22"/>
        <v>536996044.7147789</v>
      </c>
      <c r="I71" s="107">
        <f t="shared" si="22"/>
        <v>725639051.80208278</v>
      </c>
    </row>
    <row r="72" spans="2:11">
      <c r="B72" s="41" t="str">
        <f>G$6</f>
        <v>C</v>
      </c>
      <c r="C72" s="102" t="str">
        <f>$C$15</f>
        <v>$</v>
      </c>
      <c r="D72" s="107">
        <f t="shared" ref="D72:I72" si="23">IF(INDEX($D$54:$I$54,0,MATCH($B$72,$D$6:$I$6,0))=0,0,IF(INDEX($D$14:$I$14,0,MATCH($B72,$D$6:$I$6,0))&gt;INDEX($D$14:$I$14,0,MATCH(D$68,$D$6:$I$6,0)),0,SUM($D$54:$G$54)*D$36))</f>
        <v>0</v>
      </c>
      <c r="E72" s="107">
        <f t="shared" si="23"/>
        <v>0</v>
      </c>
      <c r="F72" s="107">
        <f t="shared" si="23"/>
        <v>0</v>
      </c>
      <c r="G72" s="107">
        <f t="shared" si="23"/>
        <v>330920708.86075944</v>
      </c>
      <c r="H72" s="107">
        <f t="shared" si="23"/>
        <v>614314226.53296077</v>
      </c>
      <c r="I72" s="107">
        <f t="shared" si="23"/>
        <v>830118577.66415179</v>
      </c>
    </row>
    <row r="73" spans="2:11">
      <c r="B73" s="41" t="str">
        <f>H$6</f>
        <v>D</v>
      </c>
      <c r="C73" s="102" t="str">
        <f>$C$15</f>
        <v>$</v>
      </c>
      <c r="D73" s="107">
        <f t="shared" ref="D73:I73" si="24">IF(INDEX($D$54:$I$54,0,MATCH($B$73,$D$6:$I$6,0))=0,0,IF(INDEX($D$14:$I$14,0,MATCH($B73,$D$6:$I$6,0))&gt;INDEX($D$14:$I$14,0,MATCH(D$68,$D$6:$I$6,0)),0,SUM($D$54:$H$54)*D$36))</f>
        <v>0</v>
      </c>
      <c r="E73" s="107">
        <f t="shared" si="24"/>
        <v>0</v>
      </c>
      <c r="F73" s="107">
        <f t="shared" si="24"/>
        <v>0</v>
      </c>
      <c r="G73" s="107">
        <f t="shared" si="24"/>
        <v>0</v>
      </c>
      <c r="H73" s="107">
        <f t="shared" si="24"/>
        <v>689914226.53296077</v>
      </c>
      <c r="I73" s="107">
        <f t="shared" si="24"/>
        <v>932276336.28484154</v>
      </c>
    </row>
    <row r="74" spans="2:11">
      <c r="B74" s="41" t="str">
        <f>I$6</f>
        <v>E</v>
      </c>
      <c r="C74" s="102" t="str">
        <f>$C$15</f>
        <v>$</v>
      </c>
      <c r="D74" s="107">
        <f t="shared" ref="D74:I74" si="25">IF(INDEX($D$54:$I$54,0,MATCH($B$74,$D$6:$I$6,0))=0,0,IF(INDEX($D$14:$I$14,0,MATCH($B74,$D$6:$I$6,0))&gt;INDEX($D$14:$I$14,0,MATCH(D$68,$D$6:$I$6,0)),0,SUM($D$54:$I$54)*D$36))</f>
        <v>0</v>
      </c>
      <c r="E74" s="107">
        <f t="shared" si="25"/>
        <v>0</v>
      </c>
      <c r="F74" s="107">
        <f t="shared" si="25"/>
        <v>0</v>
      </c>
      <c r="G74" s="107">
        <f t="shared" si="25"/>
        <v>0</v>
      </c>
      <c r="H74" s="107">
        <f t="shared" si="25"/>
        <v>0</v>
      </c>
      <c r="I74" s="107">
        <f t="shared" si="25"/>
        <v>1078576336.2848415</v>
      </c>
    </row>
    <row r="75" spans="2:11">
      <c r="C75" s="102"/>
      <c r="D75" s="107"/>
      <c r="E75" s="107"/>
      <c r="F75" s="107"/>
      <c r="G75" s="107"/>
      <c r="H75" s="107"/>
      <c r="I75" s="107"/>
    </row>
    <row r="76" spans="2:11">
      <c r="B76" s="2" t="s">
        <v>382</v>
      </c>
      <c r="C76" s="102"/>
      <c r="D76" s="122" t="str">
        <f t="shared" ref="D76:I76" si="26">D6</f>
        <v>Seed</v>
      </c>
      <c r="E76" s="122" t="str">
        <f t="shared" si="26"/>
        <v>A</v>
      </c>
      <c r="F76" s="122" t="str">
        <f t="shared" si="26"/>
        <v>B</v>
      </c>
      <c r="G76" s="122" t="str">
        <f t="shared" si="26"/>
        <v>C</v>
      </c>
      <c r="H76" s="122" t="str">
        <f t="shared" si="26"/>
        <v>D</v>
      </c>
      <c r="I76" s="122" t="str">
        <f t="shared" si="26"/>
        <v>E</v>
      </c>
    </row>
    <row r="77" spans="2:11">
      <c r="B77" s="41" t="str">
        <f>D$6</f>
        <v>Seed</v>
      </c>
      <c r="C77" s="102" t="s">
        <v>170</v>
      </c>
      <c r="D77" s="49">
        <f t="shared" ref="D77:I77" si="27">IFERROR(D69/(SUM($D$53:$D$53)),0)</f>
        <v>0.23999999999999994</v>
      </c>
      <c r="E77" s="49">
        <f t="shared" si="27"/>
        <v>3.36</v>
      </c>
      <c r="F77" s="49">
        <f t="shared" si="27"/>
        <v>22.464000000000002</v>
      </c>
      <c r="G77" s="49">
        <f t="shared" si="27"/>
        <v>113.78551898734176</v>
      </c>
      <c r="H77" s="49">
        <f t="shared" si="27"/>
        <v>211.22903830346871</v>
      </c>
      <c r="I77" s="49">
        <f t="shared" si="27"/>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376</v>
      </c>
      <c r="C84" s="102"/>
      <c r="D84" s="122" t="str">
        <f t="shared" ref="D84:I84" si="28">D6</f>
        <v>Seed</v>
      </c>
      <c r="E84" s="122" t="str">
        <f t="shared" si="28"/>
        <v>A</v>
      </c>
      <c r="F84" s="122" t="str">
        <f t="shared" si="28"/>
        <v>B</v>
      </c>
      <c r="G84" s="122" t="str">
        <f t="shared" si="28"/>
        <v>C</v>
      </c>
      <c r="H84" s="122" t="str">
        <f t="shared" si="28"/>
        <v>D</v>
      </c>
      <c r="I84" s="122" t="str">
        <f t="shared" si="28"/>
        <v>E</v>
      </c>
      <c r="K84" s="111" t="s">
        <v>400</v>
      </c>
    </row>
    <row r="85" spans="2:11">
      <c r="B85" s="41" t="str">
        <f>D$6</f>
        <v>Seed</v>
      </c>
      <c r="C85" s="102" t="s">
        <v>50</v>
      </c>
      <c r="D85" s="123">
        <f t="shared" ref="D85:I85" ca="1" si="29">INDEX($P109:$P114,MATCH(D$34,$J$108:$O$108,0))</f>
        <v>-0.75999999754130854</v>
      </c>
      <c r="E85" s="123">
        <f t="shared" ca="1" si="29"/>
        <v>0.62424349188804629</v>
      </c>
      <c r="F85" s="123">
        <f t="shared" ca="1" si="29"/>
        <v>1.1759079098701479</v>
      </c>
      <c r="G85" s="123">
        <f t="shared" ca="1" si="29"/>
        <v>1.3655227541923527</v>
      </c>
      <c r="H85" s="123">
        <f t="shared" ca="1" si="29"/>
        <v>1.147078359127045</v>
      </c>
      <c r="I85" s="123">
        <f t="shared" ca="1" si="29"/>
        <v>0.94462641477584852</v>
      </c>
    </row>
    <row r="86" spans="2:11">
      <c r="B86" s="41" t="str">
        <f>E$6</f>
        <v>A</v>
      </c>
      <c r="C86" s="102" t="s">
        <v>50</v>
      </c>
      <c r="D86" s="123" t="str">
        <f t="shared" ref="D86:I86" ca="1" si="30">INDEX($P116:$P121,MATCH(D$34,$J$108:$O$108,0))</f>
        <v>na</v>
      </c>
      <c r="E86" s="123">
        <f t="shared" ca="1" si="30"/>
        <v>2.1185663342475892E-2</v>
      </c>
      <c r="F86" s="123">
        <f t="shared" ca="1" si="30"/>
        <v>0.95042604207992554</v>
      </c>
      <c r="G86" s="123">
        <f t="shared" ca="1" si="30"/>
        <v>1.2356731772422793</v>
      </c>
      <c r="H86" s="123">
        <f t="shared" ca="1" si="30"/>
        <v>1.0277454257011416</v>
      </c>
      <c r="I86" s="123">
        <f t="shared" ca="1" si="30"/>
        <v>0.83385850191116329</v>
      </c>
    </row>
    <row r="87" spans="2:11">
      <c r="B87" s="41" t="str">
        <f>F$6</f>
        <v>B</v>
      </c>
      <c r="C87" s="102" t="s">
        <v>50</v>
      </c>
      <c r="D87" s="123" t="str">
        <f t="shared" ref="D87:I87" ca="1" si="31">INDEX($P123:$P128,MATCH(D$34,$J$108:$O$108,0))</f>
        <v>na</v>
      </c>
      <c r="E87" s="123" t="str">
        <f t="shared" ca="1" si="31"/>
        <v>na</v>
      </c>
      <c r="F87" s="123">
        <f t="shared" ca="1" si="31"/>
        <v>0.70131539106369023</v>
      </c>
      <c r="G87" s="123">
        <f t="shared" ca="1" si="31"/>
        <v>1.1434364914894104</v>
      </c>
      <c r="H87" s="123">
        <f t="shared" ca="1" si="31"/>
        <v>0.93457933664321913</v>
      </c>
      <c r="I87" s="123">
        <f t="shared" ca="1" si="31"/>
        <v>0.74172877073287968</v>
      </c>
    </row>
    <row r="88" spans="2:11">
      <c r="B88" s="41" t="str">
        <f>G$6</f>
        <v>C</v>
      </c>
      <c r="C88" s="102" t="s">
        <v>50</v>
      </c>
      <c r="D88" s="123" t="str">
        <f t="shared" ref="D88:I88" ca="1" si="32">INDEX($P130:$P135,MATCH(D$34,$J$108:$O$108,0))</f>
        <v>na</v>
      </c>
      <c r="E88" s="123" t="str">
        <f t="shared" ca="1" si="32"/>
        <v>na</v>
      </c>
      <c r="F88" s="123" t="str">
        <f t="shared" ca="1" si="32"/>
        <v>na</v>
      </c>
      <c r="G88" s="123">
        <f t="shared" ca="1" si="32"/>
        <v>1.0787555575370791</v>
      </c>
      <c r="H88" s="123">
        <f t="shared" ca="1" si="32"/>
        <v>0.86607216596603398</v>
      </c>
      <c r="I88" s="123">
        <f t="shared" ca="1" si="32"/>
        <v>0.67146843075752261</v>
      </c>
    </row>
    <row r="89" spans="2:11">
      <c r="B89" s="41" t="str">
        <f>H$6</f>
        <v>D</v>
      </c>
      <c r="C89" s="102" t="s">
        <v>50</v>
      </c>
      <c r="D89" s="123" t="str">
        <f t="shared" ref="D89:I89" ca="1" si="33">INDEX($P137:$P142,MATCH(D$34,$J$108:$O$108,0))</f>
        <v>na</v>
      </c>
      <c r="E89" s="123" t="str">
        <f t="shared" ca="1" si="33"/>
        <v>na</v>
      </c>
      <c r="F89" s="123" t="str">
        <f t="shared" ca="1" si="33"/>
        <v>na</v>
      </c>
      <c r="G89" s="123" t="str">
        <f t="shared" ca="1" si="33"/>
        <v>na</v>
      </c>
      <c r="H89" s="123">
        <f t="shared" ca="1" si="33"/>
        <v>0.8280052304267882</v>
      </c>
      <c r="I89" s="123">
        <f t="shared" ca="1" si="33"/>
        <v>0.53287493586540235</v>
      </c>
    </row>
    <row r="90" spans="2:11">
      <c r="B90" s="41" t="str">
        <f>I$6</f>
        <v>E</v>
      </c>
      <c r="C90" s="102" t="s">
        <v>50</v>
      </c>
      <c r="D90" s="123" t="str">
        <f t="shared" ref="D90:I90" ca="1" si="34">INDEX($P144:$P149,MATCH(D$34,$J$108:$O$108,0))</f>
        <v>na</v>
      </c>
      <c r="E90" s="123" t="str">
        <f t="shared" ca="1" si="34"/>
        <v>na</v>
      </c>
      <c r="F90" s="123" t="str">
        <f t="shared" ca="1" si="34"/>
        <v>na</v>
      </c>
      <c r="G90" s="123" t="str">
        <f t="shared" ca="1" si="34"/>
        <v>na</v>
      </c>
      <c r="H90" s="123" t="str">
        <f t="shared" ca="1" si="34"/>
        <v>na</v>
      </c>
      <c r="I90" s="123">
        <f t="shared" ca="1" si="34"/>
        <v>0.59170518517494208</v>
      </c>
    </row>
    <row r="91" spans="2:11">
      <c r="C91" s="102"/>
      <c r="D91" s="107"/>
      <c r="E91" s="107"/>
      <c r="F91" s="107"/>
      <c r="G91" s="107"/>
      <c r="H91" s="107"/>
      <c r="I91" s="107"/>
    </row>
    <row r="92" spans="2:11">
      <c r="C92" s="102"/>
      <c r="D92" s="107"/>
      <c r="E92" s="107"/>
      <c r="F92" s="107"/>
      <c r="G92" s="107"/>
      <c r="H92" s="107"/>
      <c r="I92" s="107"/>
    </row>
    <row r="93" spans="2:11">
      <c r="B93" s="19" t="s">
        <v>381</v>
      </c>
      <c r="D93" s="6"/>
      <c r="E93" s="6"/>
      <c r="F93" s="6"/>
      <c r="G93" s="6"/>
      <c r="H93" s="6"/>
      <c r="I93" s="6"/>
    </row>
    <row r="94" spans="2:11">
      <c r="B94" s="34" t="s">
        <v>383</v>
      </c>
      <c r="D94" s="6"/>
      <c r="E94" s="6"/>
      <c r="F94" s="6"/>
      <c r="G94" s="6"/>
      <c r="H94" s="6"/>
      <c r="I94" s="6"/>
    </row>
    <row r="95" spans="2:11">
      <c r="B95" s="19"/>
      <c r="D95" s="6"/>
      <c r="E95" s="6"/>
      <c r="F95" s="6"/>
      <c r="G95" s="6"/>
      <c r="H95" s="6"/>
      <c r="I95" s="6"/>
    </row>
    <row r="96" spans="2:11">
      <c r="B96" s="2" t="s">
        <v>371</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372</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401</v>
      </c>
    </row>
    <row r="98" spans="2:16">
      <c r="B98" s="2" t="s">
        <v>374</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402</v>
      </c>
    </row>
    <row r="99" spans="2:16">
      <c r="D99" s="6"/>
      <c r="E99" s="6"/>
      <c r="F99" s="6"/>
      <c r="G99" s="6"/>
      <c r="H99" s="6"/>
      <c r="I99" s="6"/>
    </row>
    <row r="100" spans="2:16">
      <c r="D100" s="6"/>
      <c r="E100" s="6"/>
      <c r="F100" s="6"/>
      <c r="G100" s="6"/>
      <c r="H100" s="6"/>
      <c r="I100" s="6"/>
    </row>
    <row r="101" spans="2:16">
      <c r="B101" s="33" t="s">
        <v>54</v>
      </c>
      <c r="E101" s="2"/>
    </row>
    <row r="102" spans="2:16">
      <c r="B102" s="2" t="s">
        <v>327</v>
      </c>
    </row>
    <row r="103" spans="2:16">
      <c r="B103" s="2" t="s">
        <v>328</v>
      </c>
    </row>
    <row r="106" spans="2:16">
      <c r="B106" s="34" t="s">
        <v>379</v>
      </c>
      <c r="E106" s="108"/>
      <c r="K106" s="111" t="s">
        <v>403</v>
      </c>
    </row>
    <row r="107" spans="2:16" outlineLevel="1">
      <c r="E107" s="2"/>
      <c r="J107" s="124" t="str">
        <f t="shared" ref="J107:O107" si="35">D68</f>
        <v>Seed</v>
      </c>
      <c r="K107" s="124" t="str">
        <f t="shared" si="35"/>
        <v>A</v>
      </c>
      <c r="L107" s="124" t="str">
        <f t="shared" si="35"/>
        <v>B</v>
      </c>
      <c r="M107" s="124" t="str">
        <f t="shared" si="35"/>
        <v>C</v>
      </c>
      <c r="N107" s="124" t="str">
        <f t="shared" si="35"/>
        <v>D</v>
      </c>
      <c r="O107" s="124" t="str">
        <f t="shared" si="35"/>
        <v>E</v>
      </c>
    </row>
    <row r="108" spans="2:16" outlineLevel="1">
      <c r="B108" s="2" t="s">
        <v>373</v>
      </c>
      <c r="C108" s="43" t="s">
        <v>301</v>
      </c>
      <c r="D108" s="108">
        <f t="shared" ref="D108:I108" si="36">D14</f>
        <v>43101</v>
      </c>
      <c r="E108" s="108">
        <f t="shared" si="36"/>
        <v>43647</v>
      </c>
      <c r="F108" s="108">
        <f t="shared" si="36"/>
        <v>44197</v>
      </c>
      <c r="G108" s="108">
        <f t="shared" si="36"/>
        <v>44743</v>
      </c>
      <c r="H108" s="108">
        <f t="shared" si="36"/>
        <v>45292</v>
      </c>
      <c r="I108" s="108">
        <f t="shared" si="36"/>
        <v>45839</v>
      </c>
      <c r="J108" s="108">
        <f t="shared" ref="J108:O108" si="37">D34</f>
        <v>43466</v>
      </c>
      <c r="K108" s="108">
        <f t="shared" si="37"/>
        <v>44013</v>
      </c>
      <c r="L108" s="108">
        <f t="shared" si="37"/>
        <v>44562</v>
      </c>
      <c r="M108" s="108">
        <f t="shared" si="37"/>
        <v>45108</v>
      </c>
      <c r="N108" s="108">
        <f t="shared" si="37"/>
        <v>45658</v>
      </c>
      <c r="O108" s="108">
        <f t="shared" si="37"/>
        <v>46204</v>
      </c>
      <c r="P108" s="46" t="s">
        <v>370</v>
      </c>
    </row>
    <row r="109" spans="2:16" outlineLevel="1">
      <c r="B109" s="41" t="str">
        <f>D$6</f>
        <v>Seed</v>
      </c>
      <c r="C109" s="102" t="str">
        <f>$C$15</f>
        <v>$</v>
      </c>
      <c r="D109" s="4">
        <f t="shared" ref="D109:I114" si="38">IF(D$108&lt;=INDEX($D$14:$I$14,0,MATCH($B109,$D$6:$I$6,0)),-1*INDEX($D$53:$I$53,0,MATCH(D$108,$D$14:$I$14,0)),0)</f>
        <v>-1000000</v>
      </c>
      <c r="E109" s="4">
        <f t="shared" si="38"/>
        <v>0</v>
      </c>
      <c r="F109" s="4">
        <f t="shared" si="38"/>
        <v>0</v>
      </c>
      <c r="G109" s="4">
        <f t="shared" si="38"/>
        <v>0</v>
      </c>
      <c r="H109" s="4">
        <f t="shared" si="38"/>
        <v>0</v>
      </c>
      <c r="I109" s="4">
        <f t="shared" si="38"/>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39">D$6</f>
        <v>Seed</v>
      </c>
      <c r="C110" s="102" t="str">
        <f t="shared" ref="C110:C114" si="40">$C$15</f>
        <v>$</v>
      </c>
      <c r="D110" s="4">
        <f t="shared" si="38"/>
        <v>-1000000</v>
      </c>
      <c r="E110" s="4">
        <f t="shared" si="38"/>
        <v>0</v>
      </c>
      <c r="F110" s="4">
        <f t="shared" si="38"/>
        <v>0</v>
      </c>
      <c r="G110" s="4">
        <f t="shared" si="38"/>
        <v>0</v>
      </c>
      <c r="H110" s="4">
        <f t="shared" si="38"/>
        <v>0</v>
      </c>
      <c r="I110" s="4">
        <f t="shared" si="38"/>
        <v>0</v>
      </c>
      <c r="J110" s="4">
        <v>0</v>
      </c>
      <c r="K110" s="4">
        <f>INDEX($D$69:$I$69,0,MATCH(K$107,$D$68:$I$68,0))</f>
        <v>3360000</v>
      </c>
      <c r="L110" s="4">
        <v>0</v>
      </c>
      <c r="M110" s="4">
        <v>0</v>
      </c>
      <c r="N110" s="4">
        <v>0</v>
      </c>
      <c r="O110" s="4">
        <v>0</v>
      </c>
      <c r="P110" s="120">
        <f t="shared" ref="P110:P114" ca="1" si="41">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39"/>
        <v>Seed</v>
      </c>
      <c r="C111" s="102" t="str">
        <f t="shared" si="40"/>
        <v>$</v>
      </c>
      <c r="D111" s="4">
        <f t="shared" si="38"/>
        <v>-1000000</v>
      </c>
      <c r="E111" s="4">
        <f t="shared" si="38"/>
        <v>0</v>
      </c>
      <c r="F111" s="4">
        <f t="shared" si="38"/>
        <v>0</v>
      </c>
      <c r="G111" s="4">
        <f t="shared" si="38"/>
        <v>0</v>
      </c>
      <c r="H111" s="4">
        <f t="shared" si="38"/>
        <v>0</v>
      </c>
      <c r="I111" s="4">
        <f t="shared" si="38"/>
        <v>0</v>
      </c>
      <c r="J111" s="4">
        <v>0</v>
      </c>
      <c r="K111" s="4">
        <v>0</v>
      </c>
      <c r="L111" s="4">
        <f>INDEX($D$69:$I$69,0,MATCH(L$107,$D$68:$I$68,0))</f>
        <v>22464000.000000004</v>
      </c>
      <c r="M111" s="4">
        <v>0</v>
      </c>
      <c r="N111" s="4">
        <v>0</v>
      </c>
      <c r="O111" s="4">
        <v>0</v>
      </c>
      <c r="P111" s="120">
        <f t="shared" ca="1" si="41"/>
        <v>1.1759079098701479</v>
      </c>
    </row>
    <row r="112" spans="2:16" outlineLevel="1">
      <c r="B112" s="41" t="str">
        <f t="shared" si="39"/>
        <v>Seed</v>
      </c>
      <c r="C112" s="102" t="str">
        <f t="shared" si="40"/>
        <v>$</v>
      </c>
      <c r="D112" s="4">
        <f t="shared" si="38"/>
        <v>-1000000</v>
      </c>
      <c r="E112" s="4">
        <f t="shared" si="38"/>
        <v>0</v>
      </c>
      <c r="F112" s="4">
        <f t="shared" si="38"/>
        <v>0</v>
      </c>
      <c r="G112" s="4">
        <f t="shared" si="38"/>
        <v>0</v>
      </c>
      <c r="H112" s="4">
        <f t="shared" si="38"/>
        <v>0</v>
      </c>
      <c r="I112" s="4">
        <f t="shared" si="38"/>
        <v>0</v>
      </c>
      <c r="J112" s="4">
        <v>0</v>
      </c>
      <c r="K112" s="4">
        <v>0</v>
      </c>
      <c r="L112" s="4">
        <v>0</v>
      </c>
      <c r="M112" s="4">
        <f>INDEX($D$69:$I$69,0,MATCH(M$107,$D$68:$I$68,0))</f>
        <v>113785518.98734176</v>
      </c>
      <c r="N112" s="4">
        <v>0</v>
      </c>
      <c r="O112" s="4">
        <v>0</v>
      </c>
      <c r="P112" s="120">
        <f t="shared" ca="1" si="41"/>
        <v>1.3655227541923527</v>
      </c>
    </row>
    <row r="113" spans="2:16" outlineLevel="1">
      <c r="B113" s="41" t="str">
        <f t="shared" si="39"/>
        <v>Seed</v>
      </c>
      <c r="C113" s="102" t="str">
        <f t="shared" si="40"/>
        <v>$</v>
      </c>
      <c r="D113" s="4">
        <f t="shared" si="38"/>
        <v>-1000000</v>
      </c>
      <c r="E113" s="4">
        <f t="shared" si="38"/>
        <v>0</v>
      </c>
      <c r="F113" s="4">
        <f t="shared" si="38"/>
        <v>0</v>
      </c>
      <c r="G113" s="4">
        <f t="shared" si="38"/>
        <v>0</v>
      </c>
      <c r="H113" s="4">
        <f t="shared" si="38"/>
        <v>0</v>
      </c>
      <c r="I113" s="4">
        <f t="shared" si="38"/>
        <v>0</v>
      </c>
      <c r="J113" s="4">
        <v>0</v>
      </c>
      <c r="K113" s="4">
        <v>0</v>
      </c>
      <c r="L113" s="4">
        <v>0</v>
      </c>
      <c r="M113" s="4">
        <v>0</v>
      </c>
      <c r="N113" s="4">
        <f>INDEX($D$69:$I$69,0,MATCH(N$107,$D$68:$I$68,0))</f>
        <v>211229038.3034687</v>
      </c>
      <c r="O113" s="4">
        <v>0</v>
      </c>
      <c r="P113" s="120">
        <f t="shared" ca="1" si="41"/>
        <v>1.147078359127045</v>
      </c>
    </row>
    <row r="114" spans="2:16" outlineLevel="1">
      <c r="B114" s="41" t="str">
        <f t="shared" si="39"/>
        <v>Seed</v>
      </c>
      <c r="C114" s="102" t="str">
        <f t="shared" si="40"/>
        <v>$</v>
      </c>
      <c r="D114" s="4">
        <f t="shared" si="38"/>
        <v>-1000000</v>
      </c>
      <c r="E114" s="4">
        <f t="shared" si="38"/>
        <v>0</v>
      </c>
      <c r="F114" s="4">
        <f t="shared" si="38"/>
        <v>0</v>
      </c>
      <c r="G114" s="4">
        <f t="shared" si="38"/>
        <v>0</v>
      </c>
      <c r="H114" s="4">
        <f t="shared" si="38"/>
        <v>0</v>
      </c>
      <c r="I114" s="4">
        <f t="shared" si="38"/>
        <v>0</v>
      </c>
      <c r="J114" s="4">
        <v>0</v>
      </c>
      <c r="K114" s="4">
        <v>0</v>
      </c>
      <c r="L114" s="4">
        <v>0</v>
      </c>
      <c r="M114" s="4">
        <v>0</v>
      </c>
      <c r="N114" s="4">
        <v>0</v>
      </c>
      <c r="O114" s="4">
        <f>INDEX($D$69:$I$69,0,MATCH(O$107,$D$68:$I$68,0))</f>
        <v>285432342.70748901</v>
      </c>
      <c r="P114" s="120">
        <f t="shared" ca="1" si="41"/>
        <v>0.94462641477584852</v>
      </c>
    </row>
    <row r="115" spans="2:16" outlineLevel="1">
      <c r="P115" s="5"/>
    </row>
    <row r="116" spans="2:16" outlineLevel="1">
      <c r="B116" s="41" t="str">
        <f>E$6</f>
        <v>A</v>
      </c>
      <c r="C116" s="102" t="str">
        <f>$C$15</f>
        <v>$</v>
      </c>
      <c r="D116" s="4">
        <f t="shared" ref="D116:I121" si="42">IF(D$108&lt;=INDEX($D$14:$I$14,0,MATCH($B116,$D$6:$I$6,0)),-1*INDEX($D$53:$I$53,0,MATCH(D$108,$D$14:$I$14,0)),0)</f>
        <v>-1000000</v>
      </c>
      <c r="E116" s="4">
        <f t="shared" si="42"/>
        <v>-5000000</v>
      </c>
      <c r="F116" s="4">
        <f t="shared" si="42"/>
        <v>0</v>
      </c>
      <c r="G116" s="4">
        <f t="shared" si="42"/>
        <v>0</v>
      </c>
      <c r="H116" s="4">
        <f t="shared" si="42"/>
        <v>0</v>
      </c>
      <c r="I116" s="4">
        <f t="shared" si="42"/>
        <v>0</v>
      </c>
      <c r="J116" s="4">
        <v>0</v>
      </c>
      <c r="K116" s="4">
        <v>0</v>
      </c>
      <c r="L116" s="4">
        <v>0</v>
      </c>
      <c r="M116" s="4">
        <v>0</v>
      </c>
      <c r="N116" s="4">
        <v>0</v>
      </c>
      <c r="O116" s="4">
        <v>0</v>
      </c>
      <c r="P116" s="120" t="str">
        <f t="shared" ref="P116:P121" ca="1" si="43">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4">E$6</f>
        <v>A</v>
      </c>
      <c r="C117" s="102" t="str">
        <f t="shared" ref="C117:C121" si="45">$C$15</f>
        <v>$</v>
      </c>
      <c r="D117" s="4">
        <f t="shared" si="42"/>
        <v>-1000000</v>
      </c>
      <c r="E117" s="4">
        <f t="shared" si="42"/>
        <v>-5000000</v>
      </c>
      <c r="F117" s="4">
        <f t="shared" si="42"/>
        <v>0</v>
      </c>
      <c r="G117" s="4">
        <f t="shared" si="42"/>
        <v>0</v>
      </c>
      <c r="H117" s="4">
        <f t="shared" si="42"/>
        <v>0</v>
      </c>
      <c r="I117" s="4">
        <f t="shared" si="42"/>
        <v>0</v>
      </c>
      <c r="J117" s="4">
        <v>0</v>
      </c>
      <c r="K117" s="4">
        <f>INDEX($D$70:$I$70,0,MATCH(K$107,$D$68:$I$68,0))</f>
        <v>6160000</v>
      </c>
      <c r="L117" s="4">
        <v>0</v>
      </c>
      <c r="M117" s="4">
        <v>0</v>
      </c>
      <c r="N117" s="4">
        <v>0</v>
      </c>
      <c r="O117" s="4">
        <v>0</v>
      </c>
      <c r="P117" s="120">
        <f t="shared" ca="1" si="43"/>
        <v>2.1185663342475892E-2</v>
      </c>
    </row>
    <row r="118" spans="2:16" outlineLevel="1">
      <c r="B118" s="41" t="str">
        <f t="shared" si="44"/>
        <v>A</v>
      </c>
      <c r="C118" s="102" t="str">
        <f t="shared" si="45"/>
        <v>$</v>
      </c>
      <c r="D118" s="4">
        <f t="shared" si="42"/>
        <v>-1000000</v>
      </c>
      <c r="E118" s="4">
        <f t="shared" si="42"/>
        <v>-5000000</v>
      </c>
      <c r="F118" s="4">
        <f t="shared" si="42"/>
        <v>0</v>
      </c>
      <c r="G118" s="4">
        <f t="shared" si="42"/>
        <v>0</v>
      </c>
      <c r="H118" s="4">
        <f t="shared" si="42"/>
        <v>0</v>
      </c>
      <c r="I118" s="4">
        <f t="shared" si="42"/>
        <v>0</v>
      </c>
      <c r="J118" s="4">
        <v>0</v>
      </c>
      <c r="K118" s="4">
        <v>0</v>
      </c>
      <c r="L118" s="4">
        <f>INDEX($D$70:$I$70,0,MATCH(L$107,$D$68:$I$68,0))</f>
        <v>41184000</v>
      </c>
      <c r="M118" s="4">
        <v>0</v>
      </c>
      <c r="N118" s="4">
        <v>0</v>
      </c>
      <c r="O118" s="4">
        <v>0</v>
      </c>
      <c r="P118" s="120">
        <f t="shared" ca="1" si="43"/>
        <v>0.95042604207992554</v>
      </c>
    </row>
    <row r="119" spans="2:16" outlineLevel="1">
      <c r="B119" s="41" t="str">
        <f t="shared" si="44"/>
        <v>A</v>
      </c>
      <c r="C119" s="102" t="str">
        <f t="shared" si="45"/>
        <v>$</v>
      </c>
      <c r="D119" s="4">
        <f t="shared" si="42"/>
        <v>-1000000</v>
      </c>
      <c r="E119" s="4">
        <f t="shared" si="42"/>
        <v>-5000000</v>
      </c>
      <c r="F119" s="4">
        <f t="shared" si="42"/>
        <v>0</v>
      </c>
      <c r="G119" s="4">
        <f t="shared" si="42"/>
        <v>0</v>
      </c>
      <c r="H119" s="4">
        <f t="shared" si="42"/>
        <v>0</v>
      </c>
      <c r="I119" s="4">
        <f t="shared" si="42"/>
        <v>0</v>
      </c>
      <c r="J119" s="4">
        <v>0</v>
      </c>
      <c r="K119" s="4">
        <v>0</v>
      </c>
      <c r="L119" s="4">
        <v>0</v>
      </c>
      <c r="M119" s="4">
        <f>INDEX($D$70:$I$70,0,MATCH(M$107,$D$68:$I$68,0))</f>
        <v>208606784.81012654</v>
      </c>
      <c r="N119" s="4">
        <v>0</v>
      </c>
      <c r="O119" s="4">
        <v>0</v>
      </c>
      <c r="P119" s="120">
        <f t="shared" ca="1" si="43"/>
        <v>1.2356731772422793</v>
      </c>
    </row>
    <row r="120" spans="2:16" outlineLevel="1">
      <c r="B120" s="41" t="str">
        <f t="shared" si="44"/>
        <v>A</v>
      </c>
      <c r="C120" s="102" t="str">
        <f t="shared" si="45"/>
        <v>$</v>
      </c>
      <c r="D120" s="4">
        <f t="shared" si="42"/>
        <v>-1000000</v>
      </c>
      <c r="E120" s="4">
        <f t="shared" si="42"/>
        <v>-5000000</v>
      </c>
      <c r="F120" s="4">
        <f t="shared" si="42"/>
        <v>0</v>
      </c>
      <c r="G120" s="4">
        <f t="shared" si="42"/>
        <v>0</v>
      </c>
      <c r="H120" s="4">
        <f t="shared" si="42"/>
        <v>0</v>
      </c>
      <c r="I120" s="4">
        <f t="shared" si="42"/>
        <v>0</v>
      </c>
      <c r="J120" s="4">
        <v>0</v>
      </c>
      <c r="K120" s="4">
        <v>0</v>
      </c>
      <c r="L120" s="4">
        <v>0</v>
      </c>
      <c r="M120" s="4">
        <v>0</v>
      </c>
      <c r="N120" s="4">
        <f>INDEX($D$70:$I$70,0,MATCH(N$107,$D$68:$I$68,0))</f>
        <v>387253236.8896926</v>
      </c>
      <c r="O120" s="4">
        <v>0</v>
      </c>
      <c r="P120" s="120">
        <f t="shared" ca="1" si="43"/>
        <v>1.0277454257011416</v>
      </c>
    </row>
    <row r="121" spans="2:16" outlineLevel="1">
      <c r="B121" s="41" t="str">
        <f t="shared" si="44"/>
        <v>A</v>
      </c>
      <c r="C121" s="102" t="str">
        <f t="shared" si="45"/>
        <v>$</v>
      </c>
      <c r="D121" s="4">
        <f t="shared" si="42"/>
        <v>-1000000</v>
      </c>
      <c r="E121" s="4">
        <f t="shared" si="42"/>
        <v>-5000000</v>
      </c>
      <c r="F121" s="4">
        <f t="shared" si="42"/>
        <v>0</v>
      </c>
      <c r="G121" s="4">
        <f t="shared" si="42"/>
        <v>0</v>
      </c>
      <c r="H121" s="4">
        <f t="shared" si="42"/>
        <v>0</v>
      </c>
      <c r="I121" s="4">
        <f t="shared" si="42"/>
        <v>0</v>
      </c>
      <c r="J121" s="4">
        <v>0</v>
      </c>
      <c r="K121" s="4">
        <v>0</v>
      </c>
      <c r="L121" s="4">
        <v>0</v>
      </c>
      <c r="M121" s="4">
        <v>0</v>
      </c>
      <c r="N121" s="4">
        <v>0</v>
      </c>
      <c r="O121" s="4">
        <f>INDEX($D$70:$I$70,0,MATCH(O$107,$D$68:$I$68,0))</f>
        <v>523292628.29706311</v>
      </c>
      <c r="P121" s="120">
        <f t="shared" ca="1" si="43"/>
        <v>0.83385850191116329</v>
      </c>
    </row>
    <row r="122" spans="2:16" outlineLevel="1"/>
    <row r="123" spans="2:16" outlineLevel="1">
      <c r="B123" s="41" t="str">
        <f>F$6</f>
        <v>B</v>
      </c>
      <c r="C123" s="102" t="str">
        <f>$C$15</f>
        <v>$</v>
      </c>
      <c r="D123" s="4">
        <f t="shared" ref="D123:I128" si="46">IF(D$108&lt;=INDEX($D$14:$I$14,0,MATCH($B123,$D$6:$I$6,0)),-1*INDEX($D$53:$I$53,0,MATCH(D$108,$D$14:$I$14,0)),0)</f>
        <v>-1000000</v>
      </c>
      <c r="E123" s="4">
        <f t="shared" si="46"/>
        <v>-5000000</v>
      </c>
      <c r="F123" s="4">
        <f t="shared" si="46"/>
        <v>-17500000</v>
      </c>
      <c r="G123" s="4">
        <f t="shared" si="46"/>
        <v>0</v>
      </c>
      <c r="H123" s="4">
        <f t="shared" si="46"/>
        <v>0</v>
      </c>
      <c r="I123" s="4">
        <f t="shared" si="46"/>
        <v>0</v>
      </c>
      <c r="J123" s="4">
        <v>0</v>
      </c>
      <c r="K123" s="4">
        <v>0</v>
      </c>
      <c r="L123" s="4">
        <v>0</v>
      </c>
      <c r="M123" s="4">
        <v>0</v>
      </c>
      <c r="N123" s="4">
        <v>0</v>
      </c>
      <c r="O123" s="4">
        <v>0</v>
      </c>
      <c r="P123" s="120" t="str">
        <f t="shared" ref="P123:P135" ca="1" si="47">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48">$C$15</f>
        <v>$</v>
      </c>
      <c r="D124" s="4">
        <f t="shared" si="46"/>
        <v>-1000000</v>
      </c>
      <c r="E124" s="4">
        <f t="shared" si="46"/>
        <v>-5000000</v>
      </c>
      <c r="F124" s="4">
        <f t="shared" si="46"/>
        <v>-17500000</v>
      </c>
      <c r="G124" s="4">
        <f t="shared" si="46"/>
        <v>0</v>
      </c>
      <c r="H124" s="4">
        <f t="shared" si="46"/>
        <v>0</v>
      </c>
      <c r="I124" s="4">
        <f t="shared" si="46"/>
        <v>0</v>
      </c>
      <c r="J124" s="4">
        <v>0</v>
      </c>
      <c r="K124" s="4">
        <v>0</v>
      </c>
      <c r="L124" s="4">
        <v>0</v>
      </c>
      <c r="M124" s="4">
        <v>0</v>
      </c>
      <c r="N124" s="4">
        <v>0</v>
      </c>
      <c r="O124" s="4">
        <v>0</v>
      </c>
      <c r="P124" s="120" t="str">
        <f t="shared" ca="1" si="47"/>
        <v>na</v>
      </c>
    </row>
    <row r="125" spans="2:16" outlineLevel="1">
      <c r="B125" s="41" t="str">
        <f>F$6</f>
        <v>B</v>
      </c>
      <c r="C125" s="102" t="str">
        <f t="shared" si="48"/>
        <v>$</v>
      </c>
      <c r="D125" s="4">
        <f t="shared" si="46"/>
        <v>-1000000</v>
      </c>
      <c r="E125" s="4">
        <f t="shared" si="46"/>
        <v>-5000000</v>
      </c>
      <c r="F125" s="4">
        <f t="shared" si="46"/>
        <v>-17500000</v>
      </c>
      <c r="G125" s="4">
        <f t="shared" si="46"/>
        <v>0</v>
      </c>
      <c r="H125" s="4">
        <f t="shared" si="46"/>
        <v>0</v>
      </c>
      <c r="I125" s="4">
        <f t="shared" si="46"/>
        <v>0</v>
      </c>
      <c r="J125" s="4">
        <v>0</v>
      </c>
      <c r="K125" s="4">
        <v>0</v>
      </c>
      <c r="L125" s="4">
        <f>INDEX($D$71:$I$71,0,MATCH(L$107,$D$68:$I$68,0))</f>
        <v>57109000</v>
      </c>
      <c r="M125" s="4">
        <v>0</v>
      </c>
      <c r="N125" s="4">
        <v>0</v>
      </c>
      <c r="O125" s="4">
        <v>0</v>
      </c>
      <c r="P125" s="120">
        <f t="shared" ca="1" si="47"/>
        <v>0.70131539106369023</v>
      </c>
    </row>
    <row r="126" spans="2:16" outlineLevel="1">
      <c r="B126" s="41" t="str">
        <f t="shared" ref="B126:B128" si="49">F$6</f>
        <v>B</v>
      </c>
      <c r="C126" s="102" t="str">
        <f t="shared" si="48"/>
        <v>$</v>
      </c>
      <c r="D126" s="4">
        <f t="shared" si="46"/>
        <v>-1000000</v>
      </c>
      <c r="E126" s="4">
        <f t="shared" si="46"/>
        <v>-5000000</v>
      </c>
      <c r="F126" s="4">
        <f t="shared" si="46"/>
        <v>-17500000</v>
      </c>
      <c r="G126" s="4">
        <f t="shared" si="46"/>
        <v>0</v>
      </c>
      <c r="H126" s="4">
        <f t="shared" si="46"/>
        <v>0</v>
      </c>
      <c r="I126" s="4">
        <f t="shared" si="46"/>
        <v>0</v>
      </c>
      <c r="J126" s="4">
        <v>0</v>
      </c>
      <c r="K126" s="4">
        <v>0</v>
      </c>
      <c r="L126" s="4">
        <v>0</v>
      </c>
      <c r="M126" s="4">
        <f>INDEX($D$71:$I$71,0,MATCH(M$107,$D$68:$I$68,0))</f>
        <v>289270708.86075944</v>
      </c>
      <c r="N126" s="4">
        <v>0</v>
      </c>
      <c r="O126" s="4">
        <v>0</v>
      </c>
      <c r="P126" s="120">
        <f t="shared" ca="1" si="47"/>
        <v>1.1434364914894104</v>
      </c>
    </row>
    <row r="127" spans="2:16" outlineLevel="1">
      <c r="B127" s="41" t="str">
        <f t="shared" si="49"/>
        <v>B</v>
      </c>
      <c r="C127" s="102" t="str">
        <f t="shared" si="48"/>
        <v>$</v>
      </c>
      <c r="D127" s="4">
        <f t="shared" si="46"/>
        <v>-1000000</v>
      </c>
      <c r="E127" s="4">
        <f t="shared" si="46"/>
        <v>-5000000</v>
      </c>
      <c r="F127" s="4">
        <f t="shared" si="46"/>
        <v>-17500000</v>
      </c>
      <c r="G127" s="4">
        <f t="shared" si="46"/>
        <v>0</v>
      </c>
      <c r="H127" s="4">
        <f t="shared" si="46"/>
        <v>0</v>
      </c>
      <c r="I127" s="4">
        <f t="shared" si="46"/>
        <v>0</v>
      </c>
      <c r="J127" s="4">
        <v>0</v>
      </c>
      <c r="K127" s="4">
        <v>0</v>
      </c>
      <c r="L127" s="4">
        <v>0</v>
      </c>
      <c r="M127" s="4">
        <v>0</v>
      </c>
      <c r="N127" s="4">
        <f>INDEX($D$71:$I$71,0,MATCH(N$107,$D$68:$I$68,0))</f>
        <v>536996044.7147789</v>
      </c>
      <c r="O127" s="4">
        <v>0</v>
      </c>
      <c r="P127" s="120">
        <f t="shared" ca="1" si="47"/>
        <v>0.93457933664321913</v>
      </c>
    </row>
    <row r="128" spans="2:16" outlineLevel="1">
      <c r="B128" s="41" t="str">
        <f t="shared" si="49"/>
        <v>B</v>
      </c>
      <c r="C128" s="102" t="str">
        <f t="shared" si="48"/>
        <v>$</v>
      </c>
      <c r="D128" s="4">
        <f t="shared" si="46"/>
        <v>-1000000</v>
      </c>
      <c r="E128" s="4">
        <f t="shared" si="46"/>
        <v>-5000000</v>
      </c>
      <c r="F128" s="4">
        <f t="shared" si="46"/>
        <v>-17500000</v>
      </c>
      <c r="G128" s="4">
        <f t="shared" si="46"/>
        <v>0</v>
      </c>
      <c r="H128" s="4">
        <f t="shared" si="46"/>
        <v>0</v>
      </c>
      <c r="I128" s="4">
        <f t="shared" si="46"/>
        <v>0</v>
      </c>
      <c r="J128" s="4">
        <v>0</v>
      </c>
      <c r="K128" s="4">
        <v>0</v>
      </c>
      <c r="L128" s="4">
        <v>0</v>
      </c>
      <c r="M128" s="4">
        <v>0</v>
      </c>
      <c r="N128" s="4">
        <v>0</v>
      </c>
      <c r="O128" s="4">
        <f>INDEX($D$71:$I$71,0,MATCH(O$107,$D$68:$I$68,0))</f>
        <v>725639051.80208278</v>
      </c>
      <c r="P128" s="120">
        <f t="shared" ca="1" si="47"/>
        <v>0.74172877073287968</v>
      </c>
    </row>
    <row r="129" spans="2:16" outlineLevel="1"/>
    <row r="130" spans="2:16" outlineLevel="1">
      <c r="B130" s="41" t="str">
        <f t="shared" ref="B130:B135" si="50">G$6</f>
        <v>C</v>
      </c>
      <c r="C130" s="102" t="str">
        <f>$C$15</f>
        <v>$</v>
      </c>
      <c r="D130" s="4">
        <f t="shared" ref="D130:I135" si="51">IF(D$108&lt;=INDEX($D$14:$I$14,0,MATCH($B130,$D$6:$I$6,0)),-1*INDEX($D$53:$I$53,0,MATCH(D$108,$D$14:$I$14,0)),0)</f>
        <v>-1000000</v>
      </c>
      <c r="E130" s="4">
        <f t="shared" si="51"/>
        <v>-5000000</v>
      </c>
      <c r="F130" s="4">
        <f t="shared" si="51"/>
        <v>-17500000</v>
      </c>
      <c r="G130" s="4">
        <f t="shared" si="51"/>
        <v>-35000000</v>
      </c>
      <c r="H130" s="4">
        <f t="shared" si="51"/>
        <v>0</v>
      </c>
      <c r="I130" s="4">
        <f t="shared" si="51"/>
        <v>0</v>
      </c>
      <c r="J130" s="4">
        <v>0</v>
      </c>
      <c r="K130" s="4">
        <v>0</v>
      </c>
      <c r="L130" s="4">
        <v>0</v>
      </c>
      <c r="M130" s="4">
        <v>0</v>
      </c>
      <c r="N130" s="4">
        <v>0</v>
      </c>
      <c r="O130" s="4">
        <v>0</v>
      </c>
      <c r="P130" s="120" t="str">
        <f t="shared" ca="1" si="47"/>
        <v>na</v>
      </c>
    </row>
    <row r="131" spans="2:16" outlineLevel="1">
      <c r="B131" s="41" t="str">
        <f t="shared" si="50"/>
        <v>C</v>
      </c>
      <c r="C131" s="102" t="str">
        <f t="shared" ref="C131:C135" si="52">$C$15</f>
        <v>$</v>
      </c>
      <c r="D131" s="4">
        <f t="shared" si="51"/>
        <v>-1000000</v>
      </c>
      <c r="E131" s="4">
        <f t="shared" si="51"/>
        <v>-5000000</v>
      </c>
      <c r="F131" s="4">
        <f t="shared" si="51"/>
        <v>-17500000</v>
      </c>
      <c r="G131" s="4">
        <f t="shared" si="51"/>
        <v>-35000000</v>
      </c>
      <c r="H131" s="4">
        <f t="shared" si="51"/>
        <v>0</v>
      </c>
      <c r="I131" s="4">
        <f t="shared" si="51"/>
        <v>0</v>
      </c>
      <c r="J131" s="4">
        <v>0</v>
      </c>
      <c r="K131" s="4">
        <v>0</v>
      </c>
      <c r="L131" s="4">
        <v>0</v>
      </c>
      <c r="M131" s="4">
        <v>0</v>
      </c>
      <c r="N131" s="4">
        <v>0</v>
      </c>
      <c r="O131" s="4">
        <v>0</v>
      </c>
      <c r="P131" s="120" t="str">
        <f t="shared" ca="1" si="47"/>
        <v>na</v>
      </c>
    </row>
    <row r="132" spans="2:16" outlineLevel="1">
      <c r="B132" s="41" t="str">
        <f t="shared" si="50"/>
        <v>C</v>
      </c>
      <c r="C132" s="102" t="str">
        <f t="shared" si="52"/>
        <v>$</v>
      </c>
      <c r="D132" s="4">
        <f t="shared" si="51"/>
        <v>-1000000</v>
      </c>
      <c r="E132" s="4">
        <f t="shared" si="51"/>
        <v>-5000000</v>
      </c>
      <c r="F132" s="4">
        <f t="shared" si="51"/>
        <v>-17500000</v>
      </c>
      <c r="G132" s="4">
        <f t="shared" si="51"/>
        <v>-35000000</v>
      </c>
      <c r="H132" s="4">
        <f t="shared" si="51"/>
        <v>0</v>
      </c>
      <c r="I132" s="4">
        <f t="shared" si="51"/>
        <v>0</v>
      </c>
      <c r="J132" s="4">
        <v>0</v>
      </c>
      <c r="K132" s="4">
        <v>0</v>
      </c>
      <c r="L132" s="4">
        <v>0</v>
      </c>
      <c r="M132" s="4">
        <v>0</v>
      </c>
      <c r="N132" s="4">
        <v>0</v>
      </c>
      <c r="O132" s="4">
        <v>0</v>
      </c>
      <c r="P132" s="120" t="str">
        <f t="shared" ca="1" si="47"/>
        <v>na</v>
      </c>
    </row>
    <row r="133" spans="2:16" outlineLevel="1">
      <c r="B133" s="41" t="str">
        <f t="shared" si="50"/>
        <v>C</v>
      </c>
      <c r="C133" s="102" t="str">
        <f t="shared" si="52"/>
        <v>$</v>
      </c>
      <c r="D133" s="4">
        <f t="shared" si="51"/>
        <v>-1000000</v>
      </c>
      <c r="E133" s="4">
        <f t="shared" si="51"/>
        <v>-5000000</v>
      </c>
      <c r="F133" s="4">
        <f t="shared" si="51"/>
        <v>-17500000</v>
      </c>
      <c r="G133" s="4">
        <f t="shared" si="51"/>
        <v>-35000000</v>
      </c>
      <c r="H133" s="4">
        <f t="shared" si="51"/>
        <v>0</v>
      </c>
      <c r="I133" s="4">
        <f t="shared" si="51"/>
        <v>0</v>
      </c>
      <c r="J133" s="4">
        <v>0</v>
      </c>
      <c r="K133" s="4">
        <v>0</v>
      </c>
      <c r="L133" s="4">
        <v>0</v>
      </c>
      <c r="M133" s="4">
        <f>INDEX($D$72:$I$72,0,MATCH(M$107,$D$68:$I$68,0))</f>
        <v>330920708.86075944</v>
      </c>
      <c r="N133" s="4">
        <v>0</v>
      </c>
      <c r="O133" s="4">
        <v>0</v>
      </c>
      <c r="P133" s="120">
        <f t="shared" ca="1" si="47"/>
        <v>1.0787555575370791</v>
      </c>
    </row>
    <row r="134" spans="2:16" outlineLevel="1">
      <c r="B134" s="41" t="str">
        <f t="shared" si="50"/>
        <v>C</v>
      </c>
      <c r="C134" s="102" t="str">
        <f t="shared" si="52"/>
        <v>$</v>
      </c>
      <c r="D134" s="4">
        <f t="shared" si="51"/>
        <v>-1000000</v>
      </c>
      <c r="E134" s="4">
        <f t="shared" si="51"/>
        <v>-5000000</v>
      </c>
      <c r="F134" s="4">
        <f t="shared" si="51"/>
        <v>-17500000</v>
      </c>
      <c r="G134" s="4">
        <f t="shared" si="51"/>
        <v>-35000000</v>
      </c>
      <c r="H134" s="4">
        <f t="shared" si="51"/>
        <v>0</v>
      </c>
      <c r="I134" s="4">
        <f t="shared" si="51"/>
        <v>0</v>
      </c>
      <c r="J134" s="4">
        <v>0</v>
      </c>
      <c r="K134" s="4">
        <v>0</v>
      </c>
      <c r="L134" s="4">
        <v>0</v>
      </c>
      <c r="M134" s="4">
        <v>0</v>
      </c>
      <c r="N134" s="4">
        <f>INDEX($D$72:$I$72,0,MATCH(N$107,$D$68:$I$68,0))</f>
        <v>614314226.53296077</v>
      </c>
      <c r="O134" s="4">
        <v>0</v>
      </c>
      <c r="P134" s="120">
        <f t="shared" ca="1" si="47"/>
        <v>0.86607216596603398</v>
      </c>
    </row>
    <row r="135" spans="2:16" outlineLevel="1">
      <c r="B135" s="41" t="str">
        <f t="shared" si="50"/>
        <v>C</v>
      </c>
      <c r="C135" s="102" t="str">
        <f t="shared" si="52"/>
        <v>$</v>
      </c>
      <c r="D135" s="4">
        <f t="shared" si="51"/>
        <v>-1000000</v>
      </c>
      <c r="E135" s="4">
        <f t="shared" si="51"/>
        <v>-5000000</v>
      </c>
      <c r="F135" s="4">
        <f t="shared" si="51"/>
        <v>-17500000</v>
      </c>
      <c r="G135" s="4">
        <f t="shared" si="51"/>
        <v>-35000000</v>
      </c>
      <c r="H135" s="4">
        <f t="shared" si="51"/>
        <v>0</v>
      </c>
      <c r="I135" s="4">
        <f t="shared" si="51"/>
        <v>0</v>
      </c>
      <c r="J135" s="4">
        <v>0</v>
      </c>
      <c r="K135" s="4">
        <v>0</v>
      </c>
      <c r="L135" s="4">
        <v>0</v>
      </c>
      <c r="M135" s="4">
        <v>0</v>
      </c>
      <c r="N135" s="4">
        <v>0</v>
      </c>
      <c r="O135" s="4">
        <f>INDEX($D$72:$I$72,0,MATCH(O$107,$D$68:$I$68,0))</f>
        <v>830118577.66415179</v>
      </c>
      <c r="P135" s="120">
        <f t="shared" ca="1" si="47"/>
        <v>0.67146843075752261</v>
      </c>
    </row>
    <row r="136" spans="2:16" outlineLevel="1"/>
    <row r="137" spans="2:16" outlineLevel="1">
      <c r="B137" s="41" t="str">
        <f t="shared" ref="B137:B140" si="53">H$6</f>
        <v>D</v>
      </c>
      <c r="C137" s="102" t="str">
        <f>$C$15</f>
        <v>$</v>
      </c>
      <c r="D137" s="4">
        <f t="shared" ref="D137:I142" si="54">IF(D$108&lt;=INDEX($D$14:$I$14,0,MATCH($B137,$D$6:$I$6,0)),-1*INDEX($D$53:$I$53,0,MATCH(D$108,$D$14:$I$14,0)),0)</f>
        <v>-1000000</v>
      </c>
      <c r="E137" s="4">
        <f t="shared" si="54"/>
        <v>-5000000</v>
      </c>
      <c r="F137" s="4">
        <f t="shared" si="54"/>
        <v>-17500000</v>
      </c>
      <c r="G137" s="4">
        <f t="shared" si="54"/>
        <v>-35000000</v>
      </c>
      <c r="H137" s="4">
        <f t="shared" si="54"/>
        <v>-70000000</v>
      </c>
      <c r="I137" s="4">
        <f t="shared" si="54"/>
        <v>0</v>
      </c>
      <c r="J137" s="4">
        <v>0</v>
      </c>
      <c r="K137" s="4">
        <v>0</v>
      </c>
      <c r="L137" s="4">
        <v>0</v>
      </c>
      <c r="M137" s="4">
        <v>0</v>
      </c>
      <c r="N137" s="4">
        <v>0</v>
      </c>
      <c r="O137" s="4">
        <v>0</v>
      </c>
      <c r="P137" s="120" t="str">
        <f t="shared" ref="P137:P142" ca="1" si="55">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3"/>
        <v>D</v>
      </c>
      <c r="C138" s="102" t="str">
        <f t="shared" ref="C138:C142" si="56">$C$15</f>
        <v>$</v>
      </c>
      <c r="D138" s="4">
        <f t="shared" si="54"/>
        <v>-1000000</v>
      </c>
      <c r="E138" s="4">
        <f t="shared" si="54"/>
        <v>-5000000</v>
      </c>
      <c r="F138" s="4">
        <f t="shared" si="54"/>
        <v>-17500000</v>
      </c>
      <c r="G138" s="4">
        <f t="shared" si="54"/>
        <v>-35000000</v>
      </c>
      <c r="H138" s="4">
        <f t="shared" si="54"/>
        <v>-70000000</v>
      </c>
      <c r="I138" s="4">
        <f t="shared" si="54"/>
        <v>0</v>
      </c>
      <c r="J138" s="4">
        <v>0</v>
      </c>
      <c r="K138" s="4">
        <v>0</v>
      </c>
      <c r="L138" s="4">
        <v>0</v>
      </c>
      <c r="M138" s="4">
        <v>0</v>
      </c>
      <c r="N138" s="4">
        <v>0</v>
      </c>
      <c r="O138" s="4">
        <v>0</v>
      </c>
      <c r="P138" s="120" t="str">
        <f t="shared" ca="1" si="55"/>
        <v>na</v>
      </c>
    </row>
    <row r="139" spans="2:16" outlineLevel="1">
      <c r="B139" s="41" t="str">
        <f t="shared" si="53"/>
        <v>D</v>
      </c>
      <c r="C139" s="102" t="str">
        <f t="shared" si="56"/>
        <v>$</v>
      </c>
      <c r="D139" s="4">
        <f t="shared" si="54"/>
        <v>-1000000</v>
      </c>
      <c r="E139" s="4">
        <f t="shared" si="54"/>
        <v>-5000000</v>
      </c>
      <c r="F139" s="4">
        <f t="shared" si="54"/>
        <v>-17500000</v>
      </c>
      <c r="G139" s="4">
        <f t="shared" si="54"/>
        <v>-35000000</v>
      </c>
      <c r="H139" s="4">
        <f t="shared" si="54"/>
        <v>-70000000</v>
      </c>
      <c r="I139" s="4">
        <f t="shared" si="54"/>
        <v>0</v>
      </c>
      <c r="J139" s="4">
        <v>0</v>
      </c>
      <c r="K139" s="4">
        <v>0</v>
      </c>
      <c r="L139" s="4">
        <v>0</v>
      </c>
      <c r="M139" s="4">
        <v>0</v>
      </c>
      <c r="N139" s="4">
        <v>0</v>
      </c>
      <c r="O139" s="4">
        <v>0</v>
      </c>
      <c r="P139" s="120" t="str">
        <f t="shared" ca="1" si="55"/>
        <v>na</v>
      </c>
    </row>
    <row r="140" spans="2:16" outlineLevel="1">
      <c r="B140" s="41" t="str">
        <f t="shared" si="53"/>
        <v>D</v>
      </c>
      <c r="C140" s="102" t="str">
        <f t="shared" si="56"/>
        <v>$</v>
      </c>
      <c r="D140" s="4">
        <f t="shared" si="54"/>
        <v>-1000000</v>
      </c>
      <c r="E140" s="4">
        <f t="shared" si="54"/>
        <v>-5000000</v>
      </c>
      <c r="F140" s="4">
        <f t="shared" si="54"/>
        <v>-17500000</v>
      </c>
      <c r="G140" s="4">
        <f t="shared" si="54"/>
        <v>-35000000</v>
      </c>
      <c r="H140" s="4">
        <f t="shared" si="54"/>
        <v>-70000000</v>
      </c>
      <c r="I140" s="4">
        <f t="shared" si="54"/>
        <v>0</v>
      </c>
      <c r="J140" s="4">
        <v>0</v>
      </c>
      <c r="K140" s="4">
        <v>0</v>
      </c>
      <c r="L140" s="4">
        <v>0</v>
      </c>
      <c r="M140" s="4">
        <v>0</v>
      </c>
      <c r="N140" s="4">
        <v>0</v>
      </c>
      <c r="O140" s="4">
        <v>0</v>
      </c>
      <c r="P140" s="120" t="str">
        <f t="shared" ca="1" si="55"/>
        <v>na</v>
      </c>
    </row>
    <row r="141" spans="2:16" outlineLevel="1">
      <c r="B141" s="41" t="str">
        <f>H$6</f>
        <v>D</v>
      </c>
      <c r="C141" s="102" t="str">
        <f t="shared" si="56"/>
        <v>$</v>
      </c>
      <c r="D141" s="4">
        <f t="shared" si="54"/>
        <v>-1000000</v>
      </c>
      <c r="E141" s="4">
        <f t="shared" si="54"/>
        <v>-5000000</v>
      </c>
      <c r="F141" s="4">
        <f t="shared" si="54"/>
        <v>-17500000</v>
      </c>
      <c r="G141" s="4">
        <f t="shared" si="54"/>
        <v>-35000000</v>
      </c>
      <c r="H141" s="4">
        <f t="shared" si="54"/>
        <v>-70000000</v>
      </c>
      <c r="I141" s="4">
        <f t="shared" si="54"/>
        <v>0</v>
      </c>
      <c r="J141" s="4">
        <v>0</v>
      </c>
      <c r="K141" s="4">
        <v>0</v>
      </c>
      <c r="L141" s="4">
        <v>0</v>
      </c>
      <c r="M141" s="4">
        <v>0</v>
      </c>
      <c r="N141" s="4">
        <f>INDEX($D$73:$I$73,0,MATCH(N$107,$D$68:$I$68,0))</f>
        <v>689914226.53296077</v>
      </c>
      <c r="O141" s="4">
        <v>0</v>
      </c>
      <c r="P141" s="120">
        <f t="shared" ca="1" si="55"/>
        <v>0.8280052304267882</v>
      </c>
    </row>
    <row r="142" spans="2:16" outlineLevel="1">
      <c r="B142" s="41" t="str">
        <f>I$6</f>
        <v>E</v>
      </c>
      <c r="C142" s="102" t="str">
        <f t="shared" si="56"/>
        <v>$</v>
      </c>
      <c r="D142" s="4">
        <f t="shared" si="54"/>
        <v>-1000000</v>
      </c>
      <c r="E142" s="4">
        <f t="shared" si="54"/>
        <v>-5000000</v>
      </c>
      <c r="F142" s="4">
        <f t="shared" si="54"/>
        <v>-17500000</v>
      </c>
      <c r="G142" s="4">
        <f t="shared" si="54"/>
        <v>-35000000</v>
      </c>
      <c r="H142" s="4">
        <f t="shared" si="54"/>
        <v>-70000000</v>
      </c>
      <c r="I142" s="4">
        <f t="shared" si="54"/>
        <v>-140000000</v>
      </c>
      <c r="J142" s="4">
        <v>0</v>
      </c>
      <c r="K142" s="4">
        <v>0</v>
      </c>
      <c r="L142" s="4">
        <v>0</v>
      </c>
      <c r="M142" s="4">
        <v>0</v>
      </c>
      <c r="N142" s="4">
        <v>0</v>
      </c>
      <c r="O142" s="4">
        <f>INDEX($D$73:$I$73,0,MATCH(O$107,$D$68:$I$68,0))</f>
        <v>932276336.28484154</v>
      </c>
      <c r="P142" s="120">
        <f t="shared" ca="1" si="55"/>
        <v>0.53287493586540235</v>
      </c>
    </row>
    <row r="143" spans="2:16" outlineLevel="1"/>
    <row r="144" spans="2:16" outlineLevel="1">
      <c r="B144" s="41" t="str">
        <f>I$6</f>
        <v>E</v>
      </c>
      <c r="C144" s="102" t="str">
        <f>$C$15</f>
        <v>$</v>
      </c>
      <c r="D144" s="4">
        <f t="shared" ref="D144:I149" si="57">IF(D$108&lt;=INDEX($D$14:$I$14,0,MATCH($B144,$D$6:$I$6,0)),-1*INDEX($D$53:$I$53,0,MATCH(D$108,$D$14:$I$14,0)),0)</f>
        <v>-1000000</v>
      </c>
      <c r="E144" s="4">
        <f t="shared" si="57"/>
        <v>-5000000</v>
      </c>
      <c r="F144" s="4">
        <f t="shared" si="57"/>
        <v>-17500000</v>
      </c>
      <c r="G144" s="4">
        <f t="shared" si="57"/>
        <v>-35000000</v>
      </c>
      <c r="H144" s="4">
        <f t="shared" si="57"/>
        <v>-70000000</v>
      </c>
      <c r="I144" s="4">
        <f t="shared" si="57"/>
        <v>-140000000</v>
      </c>
      <c r="J144" s="4">
        <v>0</v>
      </c>
      <c r="K144" s="4">
        <v>0</v>
      </c>
      <c r="L144" s="4">
        <v>0</v>
      </c>
      <c r="M144" s="4">
        <v>0</v>
      </c>
      <c r="N144" s="4">
        <v>0</v>
      </c>
      <c r="O144" s="4">
        <v>0</v>
      </c>
      <c r="P144" s="120" t="str">
        <f t="shared" ref="P144:P149" ca="1" si="58">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59">I$6</f>
        <v>E</v>
      </c>
      <c r="C145" s="102" t="str">
        <f t="shared" ref="C145:C149" si="60">$C$15</f>
        <v>$</v>
      </c>
      <c r="D145" s="4">
        <f t="shared" si="57"/>
        <v>-1000000</v>
      </c>
      <c r="E145" s="4">
        <f t="shared" si="57"/>
        <v>-5000000</v>
      </c>
      <c r="F145" s="4">
        <f t="shared" si="57"/>
        <v>-17500000</v>
      </c>
      <c r="G145" s="4">
        <f t="shared" si="57"/>
        <v>-35000000</v>
      </c>
      <c r="H145" s="4">
        <f t="shared" si="57"/>
        <v>-70000000</v>
      </c>
      <c r="I145" s="4">
        <f t="shared" si="57"/>
        <v>-140000000</v>
      </c>
      <c r="J145" s="4">
        <v>0</v>
      </c>
      <c r="K145" s="4">
        <v>0</v>
      </c>
      <c r="L145" s="4">
        <v>0</v>
      </c>
      <c r="M145" s="4">
        <v>0</v>
      </c>
      <c r="N145" s="4">
        <v>0</v>
      </c>
      <c r="O145" s="4">
        <v>0</v>
      </c>
      <c r="P145" s="120" t="str">
        <f t="shared" ca="1" si="58"/>
        <v>na</v>
      </c>
    </row>
    <row r="146" spans="2:16" outlineLevel="1">
      <c r="B146" s="41" t="str">
        <f t="shared" si="59"/>
        <v>E</v>
      </c>
      <c r="C146" s="102" t="str">
        <f t="shared" si="60"/>
        <v>$</v>
      </c>
      <c r="D146" s="4">
        <f t="shared" si="57"/>
        <v>-1000000</v>
      </c>
      <c r="E146" s="4">
        <f t="shared" si="57"/>
        <v>-5000000</v>
      </c>
      <c r="F146" s="4">
        <f t="shared" si="57"/>
        <v>-17500000</v>
      </c>
      <c r="G146" s="4">
        <f t="shared" si="57"/>
        <v>-35000000</v>
      </c>
      <c r="H146" s="4">
        <f t="shared" si="57"/>
        <v>-70000000</v>
      </c>
      <c r="I146" s="4">
        <f t="shared" si="57"/>
        <v>-140000000</v>
      </c>
      <c r="J146" s="4">
        <v>0</v>
      </c>
      <c r="K146" s="4">
        <v>0</v>
      </c>
      <c r="L146" s="4">
        <v>0</v>
      </c>
      <c r="M146" s="4">
        <v>0</v>
      </c>
      <c r="N146" s="4">
        <v>0</v>
      </c>
      <c r="O146" s="4">
        <v>0</v>
      </c>
      <c r="P146" s="120" t="str">
        <f t="shared" ca="1" si="58"/>
        <v>na</v>
      </c>
    </row>
    <row r="147" spans="2:16" outlineLevel="1">
      <c r="B147" s="41" t="str">
        <f t="shared" si="59"/>
        <v>E</v>
      </c>
      <c r="C147" s="102" t="str">
        <f t="shared" si="60"/>
        <v>$</v>
      </c>
      <c r="D147" s="4">
        <f t="shared" si="57"/>
        <v>-1000000</v>
      </c>
      <c r="E147" s="4">
        <f t="shared" si="57"/>
        <v>-5000000</v>
      </c>
      <c r="F147" s="4">
        <f t="shared" si="57"/>
        <v>-17500000</v>
      </c>
      <c r="G147" s="4">
        <f t="shared" si="57"/>
        <v>-35000000</v>
      </c>
      <c r="H147" s="4">
        <f t="shared" si="57"/>
        <v>-70000000</v>
      </c>
      <c r="I147" s="4">
        <f t="shared" si="57"/>
        <v>-140000000</v>
      </c>
      <c r="J147" s="4">
        <v>0</v>
      </c>
      <c r="K147" s="4">
        <v>0</v>
      </c>
      <c r="L147" s="4">
        <v>0</v>
      </c>
      <c r="M147" s="4">
        <v>0</v>
      </c>
      <c r="N147" s="4">
        <v>0</v>
      </c>
      <c r="O147" s="4">
        <v>0</v>
      </c>
      <c r="P147" s="120" t="str">
        <f t="shared" ca="1" si="58"/>
        <v>na</v>
      </c>
    </row>
    <row r="148" spans="2:16" outlineLevel="1">
      <c r="B148" s="41" t="str">
        <f t="shared" si="59"/>
        <v>E</v>
      </c>
      <c r="C148" s="102" t="str">
        <f t="shared" si="60"/>
        <v>$</v>
      </c>
      <c r="D148" s="4">
        <f t="shared" si="57"/>
        <v>-1000000</v>
      </c>
      <c r="E148" s="4">
        <f t="shared" si="57"/>
        <v>-5000000</v>
      </c>
      <c r="F148" s="4">
        <f t="shared" si="57"/>
        <v>-17500000</v>
      </c>
      <c r="G148" s="4">
        <f t="shared" si="57"/>
        <v>-35000000</v>
      </c>
      <c r="H148" s="4">
        <f t="shared" si="57"/>
        <v>-70000000</v>
      </c>
      <c r="I148" s="4">
        <f t="shared" si="57"/>
        <v>-140000000</v>
      </c>
      <c r="J148" s="4">
        <v>0</v>
      </c>
      <c r="K148" s="4">
        <v>0</v>
      </c>
      <c r="L148" s="4">
        <v>0</v>
      </c>
      <c r="M148" s="4">
        <v>0</v>
      </c>
      <c r="N148" s="4">
        <v>0</v>
      </c>
      <c r="O148" s="4">
        <v>0</v>
      </c>
      <c r="P148" s="120" t="str">
        <f t="shared" ca="1" si="58"/>
        <v>na</v>
      </c>
    </row>
    <row r="149" spans="2:16" outlineLevel="1">
      <c r="B149" s="41" t="str">
        <f t="shared" si="59"/>
        <v>E</v>
      </c>
      <c r="C149" s="102" t="str">
        <f t="shared" si="60"/>
        <v>$</v>
      </c>
      <c r="D149" s="4">
        <f t="shared" si="57"/>
        <v>-1000000</v>
      </c>
      <c r="E149" s="4">
        <f t="shared" si="57"/>
        <v>-5000000</v>
      </c>
      <c r="F149" s="4">
        <f t="shared" si="57"/>
        <v>-17500000</v>
      </c>
      <c r="G149" s="4">
        <f t="shared" si="57"/>
        <v>-35000000</v>
      </c>
      <c r="H149" s="4">
        <f t="shared" si="57"/>
        <v>-70000000</v>
      </c>
      <c r="I149" s="4">
        <f t="shared" si="57"/>
        <v>-140000000</v>
      </c>
      <c r="J149" s="4">
        <v>0</v>
      </c>
      <c r="K149" s="4">
        <v>0</v>
      </c>
      <c r="L149" s="4">
        <v>0</v>
      </c>
      <c r="M149" s="4">
        <v>0</v>
      </c>
      <c r="N149" s="4">
        <v>0</v>
      </c>
      <c r="O149" s="4">
        <f>INDEX($D$74:$I$74,0,MATCH(O$107,$D$68:$I$68,0))</f>
        <v>1078576336.2848415</v>
      </c>
      <c r="P149" s="120">
        <f t="shared" ca="1" si="58"/>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1"/>
  <sheetViews>
    <sheetView showGridLines="0" workbookViewId="0">
      <pane ySplit="2" topLeftCell="A3" activePane="bottomLeft" state="frozen"/>
      <selection activeCell="B47" sqref="B47"/>
      <selection pane="bottomLeft" activeCell="B6" sqref="B6"/>
    </sheetView>
  </sheetViews>
  <sheetFormatPr baseColWidth="10" defaultRowHeight="17" x14ac:dyDescent="0"/>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c r="B2" s="16" t="s">
        <v>30</v>
      </c>
    </row>
    <row r="4" spans="2:2">
      <c r="B4" s="16" t="s">
        <v>679</v>
      </c>
    </row>
    <row r="5" spans="2:2" ht="51">
      <c r="B5" s="17" t="s">
        <v>680</v>
      </c>
    </row>
    <row r="7" spans="2:2">
      <c r="B7" s="16" t="s">
        <v>678</v>
      </c>
    </row>
    <row r="8" spans="2:2" ht="85">
      <c r="B8" s="17" t="s">
        <v>653</v>
      </c>
    </row>
    <row r="9" spans="2:2" ht="34">
      <c r="B9" s="17" t="s">
        <v>426</v>
      </c>
    </row>
    <row r="10" spans="2:2" ht="34">
      <c r="B10" s="17" t="s">
        <v>652</v>
      </c>
    </row>
    <row r="11" spans="2:2" ht="68">
      <c r="B11" s="17" t="s">
        <v>654</v>
      </c>
    </row>
    <row r="13" spans="2:2">
      <c r="B13" s="16" t="s">
        <v>418</v>
      </c>
    </row>
    <row r="14" spans="2:2" ht="85">
      <c r="B14" s="17" t="s">
        <v>419</v>
      </c>
    </row>
    <row r="16" spans="2:2">
      <c r="B16" s="16" t="s">
        <v>416</v>
      </c>
    </row>
    <row r="17" spans="2:2" ht="34">
      <c r="B17" s="17" t="s">
        <v>417</v>
      </c>
    </row>
    <row r="19" spans="2:2">
      <c r="B19" s="16" t="s">
        <v>360</v>
      </c>
    </row>
    <row r="20" spans="2:2">
      <c r="B20" s="17" t="s">
        <v>31</v>
      </c>
    </row>
    <row r="22" spans="2:2">
      <c r="B22" s="16" t="s">
        <v>104</v>
      </c>
    </row>
    <row r="23" spans="2:2" ht="51">
      <c r="B23" s="17" t="s">
        <v>105</v>
      </c>
    </row>
    <row r="25" spans="2:2">
      <c r="B25" s="16" t="s">
        <v>106</v>
      </c>
    </row>
    <row r="26" spans="2:2" ht="68">
      <c r="B26" s="17" t="s">
        <v>107</v>
      </c>
    </row>
    <row r="28" spans="2:2">
      <c r="B28" s="16" t="s">
        <v>108</v>
      </c>
    </row>
    <row r="29" spans="2:2" ht="51">
      <c r="B29" s="17" t="s">
        <v>109</v>
      </c>
    </row>
    <row r="31" spans="2:2">
      <c r="B31" s="16" t="s">
        <v>110</v>
      </c>
    </row>
    <row r="32" spans="2:2" ht="51">
      <c r="B32" s="17" t="s">
        <v>111</v>
      </c>
    </row>
    <row r="34" spans="2:2">
      <c r="B34" s="16" t="s">
        <v>162</v>
      </c>
    </row>
    <row r="35" spans="2:2" ht="34">
      <c r="B35" s="17" t="s">
        <v>314</v>
      </c>
    </row>
    <row r="36" spans="2:2" s="2" customFormat="1"/>
    <row r="37" spans="2:2">
      <c r="B37" s="16" t="s">
        <v>239</v>
      </c>
    </row>
    <row r="38" spans="2:2" ht="34">
      <c r="B38" s="17" t="s">
        <v>315</v>
      </c>
    </row>
    <row r="39" spans="2:2">
      <c r="B39" s="17" t="s">
        <v>316</v>
      </c>
    </row>
    <row r="40" spans="2:2">
      <c r="B40" s="17" t="s">
        <v>240</v>
      </c>
    </row>
    <row r="41" spans="2:2" ht="34">
      <c r="B41"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x14ac:dyDescent="0"/>
  <cols>
    <col min="1" max="1" width="4.1640625" style="263" customWidth="1"/>
    <col min="2" max="2" width="156.33203125" style="263" customWidth="1"/>
    <col min="3" max="16384" width="10.83203125" style="263"/>
  </cols>
  <sheetData>
    <row r="1" spans="2:2">
      <c r="B1" s="262"/>
    </row>
    <row r="2" spans="2:2">
      <c r="B2" s="264" t="s">
        <v>584</v>
      </c>
    </row>
    <row r="3" spans="2:2">
      <c r="B3" s="264"/>
    </row>
    <row r="4" spans="2:2" ht="34">
      <c r="B4" s="262" t="str">
        <f>"This Investor Presentation is provided for informational purposes only and does not constitute an offer to buy or a solicitation of an offer to invest, or to procure an investment in "&amp;'Cap Table'!D62&amp;"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1">
      <c r="B6" s="262" t="s">
        <v>585</v>
      </c>
    </row>
    <row r="7" spans="2:2" ht="8" customHeight="1">
      <c r="B7" s="262"/>
    </row>
    <row r="8" spans="2:2" ht="119">
      <c r="B8" s="262" t="s">
        <v>586</v>
      </c>
    </row>
    <row r="9" spans="2:2" ht="9" customHeight="1">
      <c r="B9" s="262"/>
    </row>
    <row r="10" spans="2:2" ht="170">
      <c r="B10" s="262" t="s">
        <v>587</v>
      </c>
    </row>
    <row r="11" spans="2:2" ht="9" customHeight="1">
      <c r="B11" s="262"/>
    </row>
    <row r="12" spans="2:2" ht="34">
      <c r="B12" s="262" t="s">
        <v>588</v>
      </c>
    </row>
    <row r="13" spans="2:2" ht="9" customHeight="1">
      <c r="B13" s="262"/>
    </row>
    <row r="14" spans="2:2" ht="170">
      <c r="B14" s="262" t="s">
        <v>589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47" sqref="B47"/>
    </sheetView>
  </sheetViews>
  <sheetFormatPr baseColWidth="10" defaultRowHeight="17" x14ac:dyDescent="0"/>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3">
      <c r="B3" s="265" t="s">
        <v>590</v>
      </c>
    </row>
    <row r="4" spans="2:2" s="266" customFormat="1"/>
    <row r="5" spans="2:2" s="267" customFormat="1" ht="20">
      <c r="B5" s="267" t="s">
        <v>591</v>
      </c>
    </row>
    <row r="6" spans="2:2" s="267" customFormat="1" ht="20">
      <c r="B6" s="267" t="s">
        <v>592</v>
      </c>
    </row>
    <row r="7" spans="2:2" s="267" customFormat="1" ht="20"/>
    <row r="8" spans="2:2" s="267" customFormat="1" ht="100">
      <c r="B8" s="267" t="s">
        <v>593</v>
      </c>
    </row>
    <row r="12" spans="2:2" ht="23">
      <c r="B12" s="265" t="s">
        <v>594</v>
      </c>
    </row>
    <row r="13" spans="2:2">
      <c r="B13" s="266"/>
    </row>
    <row r="14" spans="2:2" ht="20">
      <c r="B14" s="267" t="s">
        <v>595</v>
      </c>
    </row>
    <row r="15" spans="2:2" ht="20">
      <c r="B15" s="267" t="s">
        <v>645</v>
      </c>
    </row>
    <row r="16" spans="2:2" ht="20">
      <c r="B16" s="267"/>
    </row>
    <row r="17" spans="2:2" ht="60">
      <c r="B17" s="267" t="s">
        <v>596</v>
      </c>
    </row>
    <row r="21" spans="2:2" ht="23">
      <c r="B21" s="265" t="s">
        <v>597</v>
      </c>
    </row>
    <row r="22" spans="2:2">
      <c r="B22" s="266"/>
    </row>
    <row r="23" spans="2:2" ht="20">
      <c r="B23" s="267" t="s">
        <v>598</v>
      </c>
    </row>
    <row r="24" spans="2:2" ht="20">
      <c r="B24" s="267"/>
    </row>
    <row r="25" spans="2:2" ht="80">
      <c r="B25" s="267" t="s">
        <v>599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46"/>
  <sheetViews>
    <sheetView showGridLines="0" workbookViewId="0">
      <selection activeCell="G26" sqref="G26"/>
    </sheetView>
  </sheetViews>
  <sheetFormatPr baseColWidth="10" defaultRowHeight="17" x14ac:dyDescent="0"/>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300</v>
      </c>
      <c r="C3" s="82"/>
    </row>
    <row r="4" spans="2:12">
      <c r="B4" s="86"/>
      <c r="C4" s="82"/>
    </row>
    <row r="5" spans="2:12">
      <c r="B5" s="86" t="s">
        <v>299</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c r="B10" s="142" t="str">
        <f>'Cap Table'!D61&amp;"holder"</f>
        <v>Shareholder</v>
      </c>
      <c r="C10" s="142" t="str">
        <f>'Cap Table'!B31</f>
        <v>Share Class</v>
      </c>
      <c r="D10" s="143" t="str">
        <f>'Cap Table'!$D61&amp;"s [1]"</f>
        <v>Shares [1]</v>
      </c>
      <c r="E10" s="143" t="s">
        <v>304</v>
      </c>
      <c r="F10" s="143" t="s">
        <v>305</v>
      </c>
      <c r="G10" s="143" t="s">
        <v>39</v>
      </c>
      <c r="I10" s="144" t="str">
        <f>IF($C$36="na","",D10)</f>
        <v/>
      </c>
      <c r="J10" s="144" t="str">
        <f>IF($C$36="na","",E10)</f>
        <v/>
      </c>
      <c r="K10" s="144" t="str">
        <f>IF($C$36="na","",F10)</f>
        <v/>
      </c>
      <c r="L10" s="144" t="str">
        <f>IF($C$36="na","",G10)</f>
        <v/>
      </c>
    </row>
    <row r="12" spans="2:12">
      <c r="B12" s="145" t="str">
        <f>'Cap Table'!B6</f>
        <v>Co-Founder 1</v>
      </c>
      <c r="C12" s="146" t="str">
        <f>INDEX('Cap Table'!FE$6:FE$26,MATCH($B12,'Cap Table'!$B$6:$B$26,0))</f>
        <v>Common</v>
      </c>
      <c r="D12" s="146">
        <f ca="1">INDEX('Cap Table'!FF$6:FF$26,MATCH($B12,'Cap Table'!$B$6:$B$26,0))</f>
        <v>0</v>
      </c>
      <c r="E12" s="146">
        <f ca="1">INDEX('Cap Table'!FG$6:FG$26,MATCH($B12,'Cap Table'!$B$6:$B$26,0))</f>
        <v>0</v>
      </c>
      <c r="F12" s="146">
        <f ca="1">INDEX('Cap Table'!FH$6:FH$26,MATCH($B12,'Cap Table'!$B$6:$B$26,0))</f>
        <v>0</v>
      </c>
      <c r="G12" s="147">
        <f ca="1">IFERROR(F12/F$25,0)</f>
        <v>0</v>
      </c>
      <c r="I12" s="146" t="str">
        <f>IF($C$36="na","",INDEX('Cap Table'!FK$6:FK$26,MATCH($B12,'Cap Table'!$B$6:$B$26,0)))</f>
        <v/>
      </c>
      <c r="J12" s="146" t="str">
        <f>IF($C$36="na","",INDEX('Cap Table'!FL$6:FL$26,MATCH($B12,'Cap Table'!$B$6:$B$26,0)))</f>
        <v/>
      </c>
      <c r="K12" s="146" t="str">
        <f>IF($C$36="na","",INDEX('Cap Table'!FM$6:FM$26,MATCH($B12,'Cap Table'!$B$6:$B$26,0)))</f>
        <v/>
      </c>
      <c r="L12" s="148" t="str">
        <f t="shared" ref="L12:L23" si="0">IF($C$36="na","",IFERROR(K12/K$25,0))</f>
        <v/>
      </c>
    </row>
    <row r="13" spans="2:12">
      <c r="B13" s="145" t="str">
        <f>'Cap Table'!B7</f>
        <v>Employee</v>
      </c>
      <c r="C13" s="146" t="str">
        <f>INDEX('Cap Table'!FE$6:FE$26,MATCH($B13,'Cap Table'!$B$6:$B$26,0))</f>
        <v>Common</v>
      </c>
      <c r="D13" s="146">
        <f ca="1">INDEX('Cap Table'!FF$6:FF$26,MATCH($B13,'Cap Table'!$B$6:$B$26,0))</f>
        <v>0</v>
      </c>
      <c r="E13" s="146">
        <f ca="1">INDEX('Cap Table'!FG$6:FG$26,MATCH($B13,'Cap Table'!$B$6:$B$26,0))</f>
        <v>0</v>
      </c>
      <c r="F13" s="146">
        <f ca="1">INDEX('Cap Table'!FH$6:FH$26,MATCH($B13,'Cap Table'!$B$6:$B$26,0))</f>
        <v>0</v>
      </c>
      <c r="G13" s="147">
        <f t="shared" ref="G13:G23" ca="1" si="1">IFERROR(F13/F$25,0)</f>
        <v>0</v>
      </c>
      <c r="I13" s="146" t="str">
        <f>IF($C$36="na","",INDEX('Cap Table'!FK$6:FK$26,MATCH($B13,'Cap Table'!$B$6:$B$26,0)))</f>
        <v/>
      </c>
      <c r="J13" s="146" t="str">
        <f>IF($C$36="na","",INDEX('Cap Table'!FL$6:FL$26,MATCH($B13,'Cap Table'!$B$6:$B$26,0)))</f>
        <v/>
      </c>
      <c r="K13" s="146" t="str">
        <f>IF($C$36="na","",INDEX('Cap Table'!FM$6:FM$26,MATCH($B13,'Cap Table'!$B$6:$B$26,0)))</f>
        <v/>
      </c>
      <c r="L13" s="148" t="str">
        <f t="shared" si="0"/>
        <v/>
      </c>
    </row>
    <row r="14" spans="2:12">
      <c r="B14" s="145" t="str">
        <f>'Cap Table'!B8</f>
        <v>Seed</v>
      </c>
      <c r="C14" s="146" t="str">
        <f>INDEX('Cap Table'!FE$6:FE$26,MATCH($B14,'Cap Table'!$B$6:$B$26,0))</f>
        <v>Common</v>
      </c>
      <c r="D14" s="146">
        <f ca="1">INDEX('Cap Table'!FF$6:FF$26,MATCH($B14,'Cap Table'!$B$6:$B$26,0))</f>
        <v>0</v>
      </c>
      <c r="E14" s="146">
        <f ca="1">INDEX('Cap Table'!FG$6:FG$26,MATCH($B14,'Cap Table'!$B$6:$B$26,0))</f>
        <v>0</v>
      </c>
      <c r="F14" s="146">
        <f ca="1">INDEX('Cap Table'!FH$6:FH$26,MATCH($B14,'Cap Table'!$B$6:$B$26,0))</f>
        <v>0</v>
      </c>
      <c r="G14" s="147">
        <f t="shared" ca="1" si="1"/>
        <v>0</v>
      </c>
      <c r="I14" s="146" t="str">
        <f>IF($C$36="na","",INDEX('Cap Table'!FK$6:FK$26,MATCH($B14,'Cap Table'!$B$6:$B$26,0)))</f>
        <v/>
      </c>
      <c r="J14" s="146" t="str">
        <f>IF($C$36="na","",INDEX('Cap Table'!FL$6:FL$26,MATCH($B14,'Cap Table'!$B$6:$B$26,0)))</f>
        <v/>
      </c>
      <c r="K14" s="146" t="str">
        <f>IF($C$36="na","",INDEX('Cap Table'!FM$6:FM$26,MATCH($B14,'Cap Table'!$B$6:$B$26,0)))</f>
        <v/>
      </c>
      <c r="L14" s="148" t="str">
        <f t="shared" si="0"/>
        <v/>
      </c>
    </row>
    <row r="15" spans="2:12">
      <c r="B15" s="145" t="str">
        <f>'Cap Table'!B9</f>
        <v>na</v>
      </c>
      <c r="C15" s="146" t="str">
        <f>INDEX('Cap Table'!FE$6:FE$26,MATCH($B15,'Cap Table'!$B$6:$B$26,0))</f>
        <v>Common</v>
      </c>
      <c r="D15" s="146">
        <f ca="1">INDEX('Cap Table'!FF$6:FF$26,MATCH($B15,'Cap Table'!$B$6:$B$26,0))</f>
        <v>0</v>
      </c>
      <c r="E15" s="146">
        <f ca="1">INDEX('Cap Table'!FG$6:FG$26,MATCH($B15,'Cap Table'!$B$6:$B$26,0))</f>
        <v>0</v>
      </c>
      <c r="F15" s="146">
        <f ca="1">INDEX('Cap Table'!FH$6:FH$26,MATCH($B15,'Cap Table'!$B$6:$B$26,0))</f>
        <v>0</v>
      </c>
      <c r="G15" s="147">
        <f t="shared" ca="1" si="1"/>
        <v>0</v>
      </c>
      <c r="I15" s="146" t="str">
        <f>IF($C$36="na","",INDEX('Cap Table'!FK$6:FK$26,MATCH($B15,'Cap Table'!$B$6:$B$26,0)))</f>
        <v/>
      </c>
      <c r="J15" s="146" t="str">
        <f>IF($C$36="na","",INDEX('Cap Table'!FL$6:FL$26,MATCH($B15,'Cap Table'!$B$6:$B$26,0)))</f>
        <v/>
      </c>
      <c r="K15" s="146" t="str">
        <f>IF($C$36="na","",INDEX('Cap Table'!FM$6:FM$26,MATCH($B15,'Cap Table'!$B$6:$B$26,0)))</f>
        <v/>
      </c>
      <c r="L15" s="148" t="str">
        <f t="shared" si="0"/>
        <v/>
      </c>
    </row>
    <row r="16" spans="2:12">
      <c r="B16" s="145" t="str">
        <f>'Cap Table'!B10</f>
        <v>na</v>
      </c>
      <c r="C16" s="146" t="str">
        <f>INDEX('Cap Table'!FE$6:FE$26,MATCH($B16,'Cap Table'!$B$6:$B$26,0))</f>
        <v>Common</v>
      </c>
      <c r="D16" s="146">
        <f ca="1">INDEX('Cap Table'!FF$6:FF$26,MATCH($B16,'Cap Table'!$B$6:$B$26,0))</f>
        <v>0</v>
      </c>
      <c r="E16" s="146">
        <f ca="1">INDEX('Cap Table'!FG$6:FG$26,MATCH($B16,'Cap Table'!$B$6:$B$26,0))</f>
        <v>0</v>
      </c>
      <c r="F16" s="146">
        <f ca="1">INDEX('Cap Table'!FH$6:FH$26,MATCH($B16,'Cap Table'!$B$6:$B$26,0))</f>
        <v>0</v>
      </c>
      <c r="G16" s="147">
        <f t="shared" ca="1" si="1"/>
        <v>0</v>
      </c>
      <c r="I16" s="146" t="str">
        <f>IF($C$36="na","",INDEX('Cap Table'!FK$6:FK$26,MATCH($B16,'Cap Table'!$B$6:$B$26,0)))</f>
        <v/>
      </c>
      <c r="J16" s="146" t="str">
        <f>IF($C$36="na","",INDEX('Cap Table'!FL$6:FL$26,MATCH($B16,'Cap Table'!$B$6:$B$26,0)))</f>
        <v/>
      </c>
      <c r="K16" s="146" t="str">
        <f>IF($C$36="na","",INDEX('Cap Table'!FM$6:FM$26,MATCH($B16,'Cap Table'!$B$6:$B$26,0)))</f>
        <v/>
      </c>
      <c r="L16" s="148" t="str">
        <f t="shared" si="0"/>
        <v/>
      </c>
    </row>
    <row r="17" spans="2:12">
      <c r="B17" s="145" t="str">
        <f>'Cap Table'!B11</f>
        <v>na</v>
      </c>
      <c r="C17" s="146" t="str">
        <f>INDEX('Cap Table'!FE$6:FE$26,MATCH($B17,'Cap Table'!$B$6:$B$26,0))</f>
        <v>Common</v>
      </c>
      <c r="D17" s="146">
        <f ca="1">INDEX('Cap Table'!FF$6:FF$26,MATCH($B17,'Cap Table'!$B$6:$B$26,0))</f>
        <v>0</v>
      </c>
      <c r="E17" s="146">
        <f ca="1">INDEX('Cap Table'!FG$6:FG$26,MATCH($B17,'Cap Table'!$B$6:$B$26,0))</f>
        <v>0</v>
      </c>
      <c r="F17" s="146">
        <f ca="1">INDEX('Cap Table'!FH$6:FH$26,MATCH($B17,'Cap Table'!$B$6:$B$26,0))</f>
        <v>0</v>
      </c>
      <c r="G17" s="147">
        <f t="shared" ca="1" si="1"/>
        <v>0</v>
      </c>
      <c r="I17" s="146" t="str">
        <f>IF($C$36="na","",INDEX('Cap Table'!FK$6:FK$26,MATCH($B17,'Cap Table'!$B$6:$B$26,0)))</f>
        <v/>
      </c>
      <c r="J17" s="146" t="str">
        <f>IF($C$36="na","",INDEX('Cap Table'!FL$6:FL$26,MATCH($B17,'Cap Table'!$B$6:$B$26,0)))</f>
        <v/>
      </c>
      <c r="K17" s="146" t="str">
        <f>IF($C$36="na","",INDEX('Cap Table'!FM$6:FM$26,MATCH($B17,'Cap Table'!$B$6:$B$26,0)))</f>
        <v/>
      </c>
      <c r="L17" s="148" t="str">
        <f t="shared" si="0"/>
        <v/>
      </c>
    </row>
    <row r="18" spans="2:12">
      <c r="B18" s="145" t="str">
        <f>'Cap Table'!B12</f>
        <v>na</v>
      </c>
      <c r="C18" s="146" t="str">
        <f>INDEX('Cap Table'!FE$6:FE$26,MATCH($B18,'Cap Table'!$B$6:$B$26,0))</f>
        <v>Common</v>
      </c>
      <c r="D18" s="146">
        <f ca="1">INDEX('Cap Table'!FF$6:FF$26,MATCH($B18,'Cap Table'!$B$6:$B$26,0))</f>
        <v>0</v>
      </c>
      <c r="E18" s="146">
        <f ca="1">INDEX('Cap Table'!FG$6:FG$26,MATCH($B18,'Cap Table'!$B$6:$B$26,0))</f>
        <v>0</v>
      </c>
      <c r="F18" s="146">
        <f ca="1">INDEX('Cap Table'!FH$6:FH$26,MATCH($B18,'Cap Table'!$B$6:$B$26,0))</f>
        <v>0</v>
      </c>
      <c r="G18" s="147">
        <f t="shared" ca="1" si="1"/>
        <v>0</v>
      </c>
      <c r="I18" s="146" t="str">
        <f>IF($C$36="na","",INDEX('Cap Table'!FK$6:FK$26,MATCH($B18,'Cap Table'!$B$6:$B$26,0)))</f>
        <v/>
      </c>
      <c r="J18" s="146" t="str">
        <f>IF($C$36="na","",INDEX('Cap Table'!FL$6:FL$26,MATCH($B18,'Cap Table'!$B$6:$B$26,0)))</f>
        <v/>
      </c>
      <c r="K18" s="146" t="str">
        <f>IF($C$36="na","",INDEX('Cap Table'!FM$6:FM$26,MATCH($B18,'Cap Table'!$B$6:$B$26,0)))</f>
        <v/>
      </c>
      <c r="L18" s="148" t="str">
        <f t="shared" si="0"/>
        <v/>
      </c>
    </row>
    <row r="19" spans="2:12">
      <c r="B19" s="145" t="str">
        <f>'Cap Table'!B13</f>
        <v>na</v>
      </c>
      <c r="C19" s="146" t="str">
        <f>INDEX('Cap Table'!FE$6:FE$26,MATCH($B19,'Cap Table'!$B$6:$B$26,0))</f>
        <v>Common</v>
      </c>
      <c r="D19" s="146">
        <f ca="1">INDEX('Cap Table'!FF$6:FF$26,MATCH($B19,'Cap Table'!$B$6:$B$26,0))</f>
        <v>0</v>
      </c>
      <c r="E19" s="146">
        <f ca="1">INDEX('Cap Table'!FG$6:FG$26,MATCH($B19,'Cap Table'!$B$6:$B$26,0))</f>
        <v>0</v>
      </c>
      <c r="F19" s="146">
        <f ca="1">INDEX('Cap Table'!FH$6:FH$26,MATCH($B19,'Cap Table'!$B$6:$B$26,0))</f>
        <v>0</v>
      </c>
      <c r="G19" s="147">
        <f t="shared" ca="1" si="1"/>
        <v>0</v>
      </c>
      <c r="I19" s="146" t="str">
        <f>IF($C$36="na","",INDEX('Cap Table'!FK$6:FK$26,MATCH($B19,'Cap Table'!$B$6:$B$26,0)))</f>
        <v/>
      </c>
      <c r="J19" s="146" t="str">
        <f>IF($C$36="na","",INDEX('Cap Table'!FL$6:FL$26,MATCH($B19,'Cap Table'!$B$6:$B$26,0)))</f>
        <v/>
      </c>
      <c r="K19" s="146" t="str">
        <f>IF($C$36="na","",INDEX('Cap Table'!FM$6:FM$26,MATCH($B19,'Cap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Table'!FE$6:FE$28,MATCH($B22,'Cap Table'!$B$6:$B$28,0))</f>
        <v>Options</v>
      </c>
      <c r="D22" s="146">
        <f ca="1">INDEX('Cap Table'!FF$6:FF$28,MATCH($B22,'Cap Table'!$B$6:$B$28,0))</f>
        <v>0</v>
      </c>
      <c r="E22" s="146">
        <f ca="1">INDEX('Cap Table'!FG$6:FG$28,MATCH($B22,'Cap Table'!$B$6:$B$28,0))</f>
        <v>0</v>
      </c>
      <c r="F22" s="146">
        <f ca="1">INDEX('Cap Table'!FH$6:FH$28,MATCH($B22,'Cap Table'!$B$6:$B$28,0))</f>
        <v>0</v>
      </c>
      <c r="G22" s="147">
        <f t="shared" ca="1" si="1"/>
        <v>0</v>
      </c>
      <c r="I22" s="146" t="str">
        <f>IF($C$36="na","",INDEX('Cap Table'!FK$6:FK$28,MATCH($B22,'Cap Table'!$B$6:$B$28,0)))</f>
        <v/>
      </c>
      <c r="J22" s="146" t="str">
        <f>IF($C$36="na","",INDEX('Cap Table'!FL$6:FL$28,MATCH($B22,'Cap Table'!$B$6:$B$28,0)))</f>
        <v/>
      </c>
      <c r="K22" s="146" t="str">
        <f>IF($C$36="na","",INDEX('Cap Table'!FM$6:FM$28,MATCH($B22,'Cap Table'!$B$6:$B$28,0)))</f>
        <v/>
      </c>
      <c r="L22" s="148" t="str">
        <f t="shared" si="0"/>
        <v/>
      </c>
    </row>
    <row r="23" spans="2:12">
      <c r="B23" s="150" t="str">
        <f>'Cap Table'!B28</f>
        <v>Option Pool - Available, Ungranted</v>
      </c>
      <c r="C23" s="146" t="str">
        <f>INDEX('Cap Table'!FE$6:FE$28,MATCH($B23,'Cap Table'!$B$6:$B$28,0))</f>
        <v>Options</v>
      </c>
      <c r="D23" s="146">
        <f ca="1">INDEX('Cap Table'!FF$6:FF$28,MATCH($B23,'Cap Table'!$B$6:$B$28,0))</f>
        <v>0</v>
      </c>
      <c r="E23" s="146">
        <f ca="1">INDEX('Cap Table'!FG$6:FG$28,MATCH($B23,'Cap Table'!$B$6:$B$28,0))</f>
        <v>0</v>
      </c>
      <c r="F23" s="146">
        <f ca="1">INDEX('Cap Table'!FH$6:FH$28,MATCH($B23,'Cap Table'!$B$6:$B$28,0))</f>
        <v>0</v>
      </c>
      <c r="G23" s="147">
        <f t="shared" ca="1" si="1"/>
        <v>0</v>
      </c>
      <c r="I23" s="146" t="str">
        <f>IF($C$36="na","",INDEX('Cap Table'!FK$6:FK$28,MATCH($B23,'Cap Table'!$B$6:$B$28,0)))</f>
        <v/>
      </c>
      <c r="J23" s="146" t="str">
        <f>IF($C$36="na","",INDEX('Cap Table'!FL$6:FL$28,MATCH($B23,'Cap Table'!$B$6:$B$28,0)))</f>
        <v/>
      </c>
      <c r="K23" s="146" t="str">
        <f>IF($C$36="na","",INDEX('Cap Table'!FM$6:FM$28,MATCH($B23,'Cap Table'!$B$6:$B$28,0)))</f>
        <v/>
      </c>
      <c r="L23" s="148" t="str">
        <f t="shared" si="0"/>
        <v/>
      </c>
    </row>
    <row r="25" spans="2:12">
      <c r="B25" s="151" t="s">
        <v>20</v>
      </c>
      <c r="C25" s="38" t="s">
        <v>294</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Table'!FF32</f>
        <v>0</v>
      </c>
      <c r="E28" s="146">
        <f ca="1">'Cap Table'!FG32</f>
        <v>0</v>
      </c>
      <c r="F28" s="146">
        <f ca="1">'Cap Table'!FH32</f>
        <v>0</v>
      </c>
      <c r="G28" s="147">
        <f t="shared" ref="G28:G32" ca="1" si="4">IFERROR(F28/F$25,0)</f>
        <v>0</v>
      </c>
      <c r="I28" s="146" t="str">
        <f>IF($C$36="na","",'Cap Table'!FK32)</f>
        <v/>
      </c>
      <c r="J28" s="146" t="str">
        <f>IF($C$36="na","",'Cap Table'!FL32)</f>
        <v/>
      </c>
      <c r="K28" s="146" t="str">
        <f>IF($C$36="na","",'Cap Table'!FM32)</f>
        <v/>
      </c>
      <c r="L28" s="148" t="str">
        <f>IF($C$36="na","",IFERROR(K28/K$25,0))</f>
        <v/>
      </c>
    </row>
    <row r="29" spans="2:12">
      <c r="B29" s="87" t="str">
        <f>'Cap Table'!B33</f>
        <v>Preferred</v>
      </c>
      <c r="D29" s="146">
        <f ca="1">'Cap Table'!FF33</f>
        <v>0</v>
      </c>
      <c r="E29" s="146">
        <f ca="1">'Cap Table'!FG33</f>
        <v>0</v>
      </c>
      <c r="F29" s="146">
        <f ca="1">'Cap Table'!FH33</f>
        <v>0</v>
      </c>
      <c r="G29" s="147">
        <f t="shared" ca="1" si="4"/>
        <v>0</v>
      </c>
      <c r="I29" s="146" t="str">
        <f>IF($C$36="na","",'Cap Table'!FK33)</f>
        <v/>
      </c>
      <c r="J29" s="146" t="str">
        <f>IF($C$36="na","",'Cap Table'!FL33)</f>
        <v/>
      </c>
      <c r="K29" s="146" t="str">
        <f>IF($C$36="na","",'Cap Table'!FM33)</f>
        <v/>
      </c>
      <c r="L29" s="148" t="str">
        <f>IF($C$36="na","",IFERROR(K29/K$25,0))</f>
        <v/>
      </c>
    </row>
    <row r="30" spans="2:12">
      <c r="B30" s="87" t="str">
        <f>'Cap Table'!B34</f>
        <v>Options</v>
      </c>
      <c r="D30" s="146">
        <f ca="1">'Cap Table'!FF34</f>
        <v>0</v>
      </c>
      <c r="E30" s="146">
        <f ca="1">'Cap Table'!FG34</f>
        <v>0</v>
      </c>
      <c r="F30" s="146">
        <f ca="1">'Cap Table'!FH34</f>
        <v>0</v>
      </c>
      <c r="G30" s="147">
        <f t="shared" ca="1" si="4"/>
        <v>0</v>
      </c>
      <c r="I30" s="146" t="str">
        <f>IF($C$36="na","",'Cap Table'!FK34)</f>
        <v/>
      </c>
      <c r="J30" s="146" t="str">
        <f>IF($C$36="na","",'Cap Table'!FL34)</f>
        <v/>
      </c>
      <c r="K30" s="146" t="str">
        <f>IF($C$36="na","",'Cap Table'!FM34)</f>
        <v/>
      </c>
      <c r="L30" s="148" t="str">
        <f>IF($C$36="na","",IFERROR(K30/K$25,0))</f>
        <v/>
      </c>
    </row>
    <row r="31" spans="2:12">
      <c r="B31" s="87" t="str">
        <f>'Cap Table'!B35</f>
        <v>na</v>
      </c>
      <c r="D31" s="146">
        <f ca="1">'Cap Table'!FF35</f>
        <v>0</v>
      </c>
      <c r="E31" s="146">
        <f ca="1">'Cap Table'!FG35</f>
        <v>0</v>
      </c>
      <c r="F31" s="146">
        <f ca="1">'Cap Table'!FH35</f>
        <v>0</v>
      </c>
      <c r="G31" s="147">
        <f t="shared" ca="1" si="4"/>
        <v>0</v>
      </c>
      <c r="I31" s="146" t="str">
        <f>IF($C$36="na","",'Cap Table'!FK35)</f>
        <v/>
      </c>
      <c r="J31" s="146" t="str">
        <f>IF($C$36="na","",'Cap Table'!FL35)</f>
        <v/>
      </c>
      <c r="K31" s="146" t="str">
        <f>IF($C$36="na","",'Cap Table'!FM35)</f>
        <v/>
      </c>
      <c r="L31" s="148" t="str">
        <f>IF($C$36="na","",IFERROR(K31/K$25,0))</f>
        <v/>
      </c>
    </row>
    <row r="32" spans="2:12">
      <c r="B32" s="87" t="s">
        <v>20</v>
      </c>
      <c r="D32" s="89">
        <f ca="1">SUM(D28:D30)</f>
        <v>0</v>
      </c>
      <c r="E32" s="89">
        <f ca="1">SUM(E28:E30)</f>
        <v>0</v>
      </c>
      <c r="F32" s="89">
        <f ca="1">SUM(F28:F30)</f>
        <v>0</v>
      </c>
      <c r="G32" s="147">
        <f t="shared" ca="1" si="4"/>
        <v>0</v>
      </c>
      <c r="I32" s="146" t="str">
        <f>IF($C$36="na","",'Cap Table'!FK36)</f>
        <v/>
      </c>
      <c r="J32" s="146" t="str">
        <f>IF($C$36="na","",'Cap Table'!FL36)</f>
        <v/>
      </c>
      <c r="K32" s="146" t="str">
        <f>IF($C$36="na","",'Cap Table'!FM36)</f>
        <v/>
      </c>
      <c r="L32" s="148" t="str">
        <f>IF($C$36="na","",IFERROR(K32/K$25,0))</f>
        <v/>
      </c>
    </row>
    <row r="33" spans="2:7">
      <c r="B33" s="87"/>
      <c r="F33" s="6"/>
      <c r="G33" s="41"/>
    </row>
    <row r="34" spans="2:7">
      <c r="B34" s="2" t="s">
        <v>295</v>
      </c>
      <c r="C34" s="153">
        <v>43223</v>
      </c>
    </row>
    <row r="35" spans="2:7">
      <c r="B35" s="2" t="s">
        <v>296</v>
      </c>
      <c r="C35" s="154" t="s">
        <v>25</v>
      </c>
    </row>
    <row r="36" spans="2:7">
      <c r="B36" s="2" t="s">
        <v>297</v>
      </c>
      <c r="C36" s="154" t="s">
        <v>27</v>
      </c>
    </row>
    <row r="39" spans="2:7">
      <c r="B39" s="33" t="s">
        <v>298</v>
      </c>
    </row>
    <row r="40" spans="2:7">
      <c r="B40" s="2" t="s">
        <v>310</v>
      </c>
    </row>
    <row r="41" spans="2:7">
      <c r="B41" s="2" t="s">
        <v>311</v>
      </c>
    </row>
    <row r="42" spans="2:7">
      <c r="B42" s="2" t="s">
        <v>306</v>
      </c>
    </row>
    <row r="43" spans="2:7">
      <c r="B43" s="2" t="s">
        <v>307</v>
      </c>
    </row>
    <row r="44" spans="2:7">
      <c r="B44" s="2" t="s">
        <v>308</v>
      </c>
    </row>
    <row r="45" spans="2:7">
      <c r="B45" s="2" t="s">
        <v>313</v>
      </c>
    </row>
    <row r="46" spans="2:7">
      <c r="B46" s="2" t="s">
        <v>309</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'Cap Table'!$B$6:$B$26</xm:f>
          </x14:formula1>
          <xm:sqref>B12:B19</xm:sqref>
        </x14:dataValidation>
        <x14:dataValidation type="list" allowBlank="1" showInputMessage="1" showErrorMessage="1">
          <x14:formula1>
            <xm:f>'Cap Table'!$B$47:$B$54</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251"/>
  <sheetViews>
    <sheetView showGridLines="0" workbookViewId="0">
      <pane xSplit="2" ySplit="5" topLeftCell="C6" activePane="bottomRight" state="frozen"/>
      <selection activeCell="B47" sqref="B47"/>
      <selection pane="topRight" activeCell="B47" sqref="B47"/>
      <selection pane="bottomLeft" activeCell="B47" sqref="B47"/>
      <selection pane="bottomRight" activeCell="DS89" sqref="DS89"/>
    </sheetView>
  </sheetViews>
  <sheetFormatPr baseColWidth="10" defaultRowHeight="17" outlineLevelCol="1" x14ac:dyDescent="0"/>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4" width="19.1640625" style="149" customWidth="1" outlineLevel="1"/>
    <col min="25" max="36" width="19.1640625" style="149" customWidth="1"/>
    <col min="37" max="38" width="19.1640625" style="155" customWidth="1"/>
    <col min="39" max="39" width="19.1640625" style="149" customWidth="1"/>
    <col min="40" max="45" width="19.1640625" style="149" customWidth="1" outlineLevel="1"/>
    <col min="46" max="52" width="19.1640625" style="149" customWidth="1"/>
    <col min="53" max="53" width="21.5" style="149" customWidth="1"/>
    <col min="54" max="60" width="19.1640625" style="149" customWidth="1"/>
    <col min="61" max="66" width="19.1640625" style="149" customWidth="1" outlineLevel="1"/>
    <col min="67" max="81" width="19.1640625" style="149" customWidth="1"/>
    <col min="82" max="87" width="19.1640625" style="149" customWidth="1" outlineLevel="1"/>
    <col min="88" max="102" width="19.1640625" style="149" customWidth="1"/>
    <col min="103" max="108" width="19.1640625" style="149" customWidth="1" outlineLevel="1"/>
    <col min="109" max="123" width="19.1640625" style="149" customWidth="1"/>
    <col min="124" max="129" width="19.1640625" style="149" customWidth="1" outlineLevel="1"/>
    <col min="130" max="159" width="19.1640625" style="149" customWidth="1"/>
    <col min="160" max="160" width="15.83203125" style="149" customWidth="1"/>
    <col min="161" max="164" width="16.5" style="149" customWidth="1"/>
    <col min="165" max="165" width="10.83203125" style="149"/>
    <col min="166" max="169" width="16.6640625" style="149" customWidth="1"/>
    <col min="170" max="16384" width="10.83203125" style="149"/>
  </cols>
  <sheetData>
    <row r="1" spans="2:169" ht="18" thickBot="1"/>
    <row r="2" spans="2:169">
      <c r="B2" s="156"/>
      <c r="C2" s="82"/>
    </row>
    <row r="3" spans="2:169">
      <c r="B3" s="157" t="s">
        <v>428</v>
      </c>
      <c r="C3" s="82"/>
    </row>
    <row r="4" spans="2:169" ht="18" thickBot="1">
      <c r="B4" s="158"/>
      <c r="C4" s="82"/>
      <c r="D4" s="159"/>
      <c r="G4" s="160" t="str">
        <f>I59</f>
        <v>Founding</v>
      </c>
      <c r="H4" s="160"/>
      <c r="I4" s="161"/>
      <c r="J4" s="161"/>
      <c r="K4" s="161"/>
      <c r="L4" s="161"/>
      <c r="M4" s="161"/>
      <c r="N4" s="161"/>
      <c r="P4" s="162" t="str">
        <f>R59</f>
        <v>Seed</v>
      </c>
      <c r="Q4" s="163"/>
      <c r="R4" s="163"/>
      <c r="S4" s="163"/>
      <c r="T4" s="163"/>
      <c r="U4" s="163"/>
      <c r="V4" s="163"/>
      <c r="W4" s="163"/>
      <c r="X4" s="163"/>
      <c r="Y4" s="163"/>
      <c r="Z4" s="163"/>
      <c r="AA4" s="163"/>
      <c r="AB4" s="163"/>
      <c r="AC4" s="163"/>
      <c r="AD4" s="163"/>
      <c r="AE4" s="163"/>
      <c r="AF4" s="163"/>
      <c r="AG4" s="163"/>
      <c r="AH4" s="163"/>
      <c r="AI4" s="163"/>
      <c r="AK4" s="162" t="str">
        <f>AM59</f>
        <v>A</v>
      </c>
      <c r="AL4" s="163"/>
      <c r="AM4" s="163"/>
      <c r="AN4" s="163"/>
      <c r="AO4" s="163"/>
      <c r="AP4" s="163"/>
      <c r="AQ4" s="163"/>
      <c r="AR4" s="163"/>
      <c r="AS4" s="163"/>
      <c r="AT4" s="163"/>
      <c r="AU4" s="163"/>
      <c r="AV4" s="163"/>
      <c r="AW4" s="163"/>
      <c r="AX4" s="163"/>
      <c r="AY4" s="163"/>
      <c r="AZ4" s="163"/>
      <c r="BA4" s="163"/>
      <c r="BB4" s="163"/>
      <c r="BC4" s="163"/>
      <c r="BD4" s="163"/>
      <c r="BF4" s="162" t="str">
        <f>BH59</f>
        <v>B</v>
      </c>
      <c r="BG4" s="163"/>
      <c r="BH4" s="163"/>
      <c r="BI4" s="163"/>
      <c r="BJ4" s="163"/>
      <c r="BK4" s="163"/>
      <c r="BL4" s="163"/>
      <c r="BM4" s="163"/>
      <c r="BN4" s="163"/>
      <c r="BO4" s="163"/>
      <c r="BP4" s="163"/>
      <c r="BQ4" s="163"/>
      <c r="BR4" s="163"/>
      <c r="BS4" s="163"/>
      <c r="BT4" s="163"/>
      <c r="BU4" s="163"/>
      <c r="BV4" s="163"/>
      <c r="BW4" s="163"/>
      <c r="BX4" s="163"/>
      <c r="BY4" s="163"/>
      <c r="CA4" s="162" t="str">
        <f>CC59</f>
        <v>C</v>
      </c>
      <c r="CB4" s="163"/>
      <c r="CC4" s="163"/>
      <c r="CD4" s="163"/>
      <c r="CE4" s="163"/>
      <c r="CF4" s="163"/>
      <c r="CG4" s="163"/>
      <c r="CH4" s="163"/>
      <c r="CI4" s="163"/>
      <c r="CJ4" s="163"/>
      <c r="CK4" s="163"/>
      <c r="CL4" s="163"/>
      <c r="CM4" s="163"/>
      <c r="CN4" s="163"/>
      <c r="CO4" s="163"/>
      <c r="CP4" s="163"/>
      <c r="CQ4" s="163"/>
      <c r="CR4" s="163"/>
      <c r="CS4" s="163"/>
      <c r="CT4" s="163"/>
      <c r="CV4" s="162" t="str">
        <f>CX59</f>
        <v>D</v>
      </c>
      <c r="CW4" s="163"/>
      <c r="CX4" s="163"/>
      <c r="CY4" s="163"/>
      <c r="CZ4" s="163"/>
      <c r="DA4" s="163"/>
      <c r="DB4" s="163"/>
      <c r="DC4" s="163"/>
      <c r="DD4" s="163"/>
      <c r="DE4" s="163"/>
      <c r="DF4" s="163"/>
      <c r="DG4" s="163"/>
      <c r="DH4" s="163"/>
      <c r="DI4" s="163"/>
      <c r="DJ4" s="163"/>
      <c r="DK4" s="163"/>
      <c r="DL4" s="163"/>
      <c r="DM4" s="163"/>
      <c r="DN4" s="163"/>
      <c r="DO4" s="163"/>
      <c r="DQ4" s="162" t="str">
        <f>DS59</f>
        <v>E</v>
      </c>
      <c r="DR4" s="163"/>
      <c r="DS4" s="163"/>
      <c r="DT4" s="163"/>
      <c r="DU4" s="163"/>
      <c r="DV4" s="163"/>
      <c r="DW4" s="163"/>
      <c r="DX4" s="163"/>
      <c r="DY4" s="163"/>
      <c r="DZ4" s="163"/>
      <c r="EA4" s="163"/>
      <c r="EB4" s="163"/>
      <c r="EC4" s="163"/>
      <c r="ED4" s="163"/>
      <c r="EE4" s="163"/>
      <c r="EF4" s="163"/>
      <c r="EG4" s="163"/>
      <c r="EH4" s="163"/>
      <c r="EI4" s="163"/>
      <c r="EJ4" s="163"/>
      <c r="EL4" s="162" t="s">
        <v>429</v>
      </c>
      <c r="EM4" s="163"/>
      <c r="EN4" s="163"/>
      <c r="EO4" s="163"/>
      <c r="EP4" s="163"/>
      <c r="EQ4" s="163"/>
      <c r="ER4" s="163"/>
      <c r="ES4" s="163"/>
      <c r="ET4" s="163"/>
      <c r="EU4" s="163"/>
      <c r="EV4" s="163"/>
      <c r="EW4" s="163"/>
      <c r="EX4" s="163"/>
      <c r="EY4" s="163"/>
      <c r="EZ4" s="163"/>
      <c r="FA4" s="163"/>
      <c r="FB4" s="163"/>
      <c r="FC4" s="163"/>
      <c r="FE4" s="162" t="s">
        <v>430</v>
      </c>
      <c r="FF4" s="163" t="str">
        <f>Summary!C35</f>
        <v>Founding</v>
      </c>
      <c r="FG4" s="163"/>
      <c r="FH4" s="163"/>
      <c r="FJ4" s="162" t="s">
        <v>430</v>
      </c>
      <c r="FK4" s="163" t="str">
        <f>Summary!C36</f>
        <v>na</v>
      </c>
      <c r="FL4" s="163"/>
      <c r="FM4" s="163"/>
    </row>
    <row r="5" spans="2:169" s="165" customFormat="1" ht="51" customHeight="1">
      <c r="B5" s="142" t="str">
        <f>'Cap Table'!D61&amp;"holder [0]"</f>
        <v>Shareholder [0]</v>
      </c>
      <c r="C5" s="161" t="s">
        <v>421</v>
      </c>
      <c r="D5" s="164" t="s">
        <v>431</v>
      </c>
      <c r="E5" s="164" t="str">
        <f>'Cap Table'!B31&amp;" [36]"</f>
        <v>Share Class [36]</v>
      </c>
      <c r="F5" s="164"/>
      <c r="G5" s="164" t="s">
        <v>432</v>
      </c>
      <c r="H5" s="164" t="s">
        <v>433</v>
      </c>
      <c r="I5" s="164" t="str">
        <f>"# "&amp;'Cap Table'!$D61&amp;"s"</f>
        <v># Shares</v>
      </c>
      <c r="J5" s="164" t="s">
        <v>434</v>
      </c>
      <c r="K5" s="164" t="s">
        <v>435</v>
      </c>
      <c r="L5" s="27" t="s">
        <v>666</v>
      </c>
      <c r="M5" s="164" t="s">
        <v>436</v>
      </c>
      <c r="N5" s="164" t="str">
        <f>M5&amp;", % Ownership"</f>
        <v>Fully-Diluted Shares [1], % Ownership</v>
      </c>
      <c r="P5" s="164" t="s">
        <v>432</v>
      </c>
      <c r="Q5" s="164" t="s">
        <v>433</v>
      </c>
      <c r="R5" s="164" t="s">
        <v>438</v>
      </c>
      <c r="S5" s="164" t="s">
        <v>439</v>
      </c>
      <c r="T5" s="164" t="s">
        <v>440</v>
      </c>
      <c r="U5" s="164" t="s">
        <v>441</v>
      </c>
      <c r="V5" s="164" t="s">
        <v>442</v>
      </c>
      <c r="W5" s="164" t="s">
        <v>443</v>
      </c>
      <c r="X5" s="164" t="s">
        <v>444</v>
      </c>
      <c r="Y5" s="164" t="s">
        <v>445</v>
      </c>
      <c r="Z5" s="164" t="str">
        <f>"Price per "&amp;'Cap Table'!$D61</f>
        <v>Price per Share</v>
      </c>
      <c r="AA5" s="164" t="str">
        <f>"# "&amp;'Cap Table'!$D61&amp;"s"</f>
        <v># Shares</v>
      </c>
      <c r="AB5" s="164" t="s">
        <v>434</v>
      </c>
      <c r="AC5" s="164" t="str">
        <f>"Total # of "&amp;'Cap Table'!$D61&amp;"s"</f>
        <v>Total # of Shares</v>
      </c>
      <c r="AD5" s="164" t="s">
        <v>446</v>
      </c>
      <c r="AE5" s="164" t="s">
        <v>435</v>
      </c>
      <c r="AF5" s="27" t="s">
        <v>666</v>
      </c>
      <c r="AG5" s="164" t="s">
        <v>447</v>
      </c>
      <c r="AH5" s="164" t="s">
        <v>436</v>
      </c>
      <c r="AI5" s="164" t="str">
        <f>AH5&amp;", % Ownership"</f>
        <v>Fully-Diluted Shares [1], % Ownership</v>
      </c>
      <c r="AK5" s="164" t="s">
        <v>432</v>
      </c>
      <c r="AL5" s="164" t="s">
        <v>433</v>
      </c>
      <c r="AM5" s="164" t="s">
        <v>438</v>
      </c>
      <c r="AN5" s="164" t="s">
        <v>439</v>
      </c>
      <c r="AO5" s="164" t="s">
        <v>440</v>
      </c>
      <c r="AP5" s="164" t="s">
        <v>441</v>
      </c>
      <c r="AQ5" s="164" t="s">
        <v>442</v>
      </c>
      <c r="AR5" s="164" t="s">
        <v>443</v>
      </c>
      <c r="AS5" s="164" t="s">
        <v>444</v>
      </c>
      <c r="AT5" s="164" t="s">
        <v>445</v>
      </c>
      <c r="AU5" s="164" t="str">
        <f>"Price per "&amp;'Cap Table'!$D61</f>
        <v>Price per Share</v>
      </c>
      <c r="AV5" s="164" t="str">
        <f>"# "&amp;'Cap Table'!$D61&amp;"s"</f>
        <v># Shares</v>
      </c>
      <c r="AW5" s="164" t="s">
        <v>434</v>
      </c>
      <c r="AX5" s="164" t="str">
        <f>"Total # of "&amp;'Cap Table'!$D61&amp;"s"</f>
        <v>Total # of Shares</v>
      </c>
      <c r="AY5" s="164" t="s">
        <v>446</v>
      </c>
      <c r="AZ5" s="164" t="s">
        <v>435</v>
      </c>
      <c r="BA5" s="164" t="str">
        <f>AZ5&amp;", % Ownership"</f>
        <v>Issued and Outstanding, % Ownership</v>
      </c>
      <c r="BB5" s="164" t="s">
        <v>447</v>
      </c>
      <c r="BC5" s="164" t="s">
        <v>436</v>
      </c>
      <c r="BD5" s="164" t="str">
        <f>BC5&amp;", % Ownership"</f>
        <v>Fully-Diluted Shares [1], % Ownership</v>
      </c>
      <c r="BF5" s="164" t="s">
        <v>432</v>
      </c>
      <c r="BG5" s="164" t="s">
        <v>433</v>
      </c>
      <c r="BH5" s="164" t="s">
        <v>438</v>
      </c>
      <c r="BI5" s="164" t="s">
        <v>439</v>
      </c>
      <c r="BJ5" s="164" t="s">
        <v>440</v>
      </c>
      <c r="BK5" s="164" t="s">
        <v>441</v>
      </c>
      <c r="BL5" s="164" t="s">
        <v>442</v>
      </c>
      <c r="BM5" s="164" t="s">
        <v>443</v>
      </c>
      <c r="BN5" s="164" t="s">
        <v>444</v>
      </c>
      <c r="BO5" s="164" t="s">
        <v>445</v>
      </c>
      <c r="BP5" s="164" t="str">
        <f>"Price per "&amp;'Cap Table'!$D61</f>
        <v>Price per Share</v>
      </c>
      <c r="BQ5" s="164" t="str">
        <f>"# "&amp;'Cap Table'!$D61&amp;"s"</f>
        <v># Shares</v>
      </c>
      <c r="BR5" s="164" t="s">
        <v>434</v>
      </c>
      <c r="BS5" s="164" t="str">
        <f>"Total # of "&amp;'Cap Table'!$D61&amp;"s"</f>
        <v>Total # of Shares</v>
      </c>
      <c r="BT5" s="164" t="s">
        <v>446</v>
      </c>
      <c r="BU5" s="164" t="s">
        <v>435</v>
      </c>
      <c r="BV5" s="164" t="str">
        <f>BU5&amp;", % Ownership"</f>
        <v>Issued and Outstanding, % Ownership</v>
      </c>
      <c r="BW5" s="164" t="s">
        <v>447</v>
      </c>
      <c r="BX5" s="164" t="s">
        <v>436</v>
      </c>
      <c r="BY5" s="164" t="str">
        <f>BX5&amp;", % Ownership"</f>
        <v>Fully-Diluted Shares [1], % Ownership</v>
      </c>
      <c r="CA5" s="164" t="s">
        <v>432</v>
      </c>
      <c r="CB5" s="164" t="s">
        <v>433</v>
      </c>
      <c r="CC5" s="164" t="s">
        <v>438</v>
      </c>
      <c r="CD5" s="164" t="s">
        <v>439</v>
      </c>
      <c r="CE5" s="164" t="s">
        <v>440</v>
      </c>
      <c r="CF5" s="164" t="s">
        <v>441</v>
      </c>
      <c r="CG5" s="164" t="s">
        <v>442</v>
      </c>
      <c r="CH5" s="164" t="s">
        <v>443</v>
      </c>
      <c r="CI5" s="164" t="s">
        <v>444</v>
      </c>
      <c r="CJ5" s="164" t="s">
        <v>445</v>
      </c>
      <c r="CK5" s="164" t="str">
        <f>"Price per "&amp;'Cap Table'!$D61</f>
        <v>Price per Share</v>
      </c>
      <c r="CL5" s="164" t="str">
        <f>"# "&amp;'Cap Table'!$D61&amp;"s"</f>
        <v># Shares</v>
      </c>
      <c r="CM5" s="164" t="s">
        <v>434</v>
      </c>
      <c r="CN5" s="164" t="str">
        <f>"Total # of "&amp;'Cap Table'!$D61&amp;"s"</f>
        <v>Total # of Shares</v>
      </c>
      <c r="CO5" s="164" t="s">
        <v>446</v>
      </c>
      <c r="CP5" s="164" t="s">
        <v>435</v>
      </c>
      <c r="CQ5" s="164" t="str">
        <f>CP5&amp;", % Ownership"</f>
        <v>Issued and Outstanding, % Ownership</v>
      </c>
      <c r="CR5" s="164" t="s">
        <v>447</v>
      </c>
      <c r="CS5" s="164" t="s">
        <v>436</v>
      </c>
      <c r="CT5" s="164" t="str">
        <f>CS5&amp;", % Ownership"</f>
        <v>Fully-Diluted Shares [1], % Ownership</v>
      </c>
      <c r="CV5" s="164" t="s">
        <v>432</v>
      </c>
      <c r="CW5" s="164" t="s">
        <v>433</v>
      </c>
      <c r="CX5" s="164" t="s">
        <v>438</v>
      </c>
      <c r="CY5" s="164" t="s">
        <v>439</v>
      </c>
      <c r="CZ5" s="164" t="s">
        <v>440</v>
      </c>
      <c r="DA5" s="164" t="s">
        <v>441</v>
      </c>
      <c r="DB5" s="164" t="s">
        <v>442</v>
      </c>
      <c r="DC5" s="164" t="s">
        <v>443</v>
      </c>
      <c r="DD5" s="164" t="s">
        <v>444</v>
      </c>
      <c r="DE5" s="164" t="s">
        <v>445</v>
      </c>
      <c r="DF5" s="164" t="str">
        <f>"Price per "&amp;'Cap Table'!$D61</f>
        <v>Price per Share</v>
      </c>
      <c r="DG5" s="164" t="str">
        <f>"# "&amp;'Cap Table'!$D61&amp;"s"</f>
        <v># Shares</v>
      </c>
      <c r="DH5" s="164" t="s">
        <v>434</v>
      </c>
      <c r="DI5" s="164" t="str">
        <f>"Total # of "&amp;'Cap Table'!$D61&amp;"s"</f>
        <v>Total # of Shares</v>
      </c>
      <c r="DJ5" s="164" t="s">
        <v>446</v>
      </c>
      <c r="DK5" s="164" t="s">
        <v>435</v>
      </c>
      <c r="DL5" s="164" t="str">
        <f>DK5&amp;", % Ownership"</f>
        <v>Issued and Outstanding, % Ownership</v>
      </c>
      <c r="DM5" s="164" t="s">
        <v>447</v>
      </c>
      <c r="DN5" s="164" t="s">
        <v>436</v>
      </c>
      <c r="DO5" s="164" t="str">
        <f>DN5&amp;", % Ownership"</f>
        <v>Fully-Diluted Shares [1], % Ownership</v>
      </c>
      <c r="DQ5" s="164" t="s">
        <v>432</v>
      </c>
      <c r="DR5" s="164" t="s">
        <v>433</v>
      </c>
      <c r="DS5" s="164" t="s">
        <v>438</v>
      </c>
      <c r="DT5" s="164" t="s">
        <v>439</v>
      </c>
      <c r="DU5" s="164" t="s">
        <v>440</v>
      </c>
      <c r="DV5" s="164" t="s">
        <v>441</v>
      </c>
      <c r="DW5" s="164" t="s">
        <v>442</v>
      </c>
      <c r="DX5" s="164" t="s">
        <v>443</v>
      </c>
      <c r="DY5" s="164" t="s">
        <v>444</v>
      </c>
      <c r="DZ5" s="164" t="s">
        <v>445</v>
      </c>
      <c r="EA5" s="164" t="str">
        <f>"Price per "&amp;'Cap Table'!$D61</f>
        <v>Price per Share</v>
      </c>
      <c r="EB5" s="164" t="str">
        <f>"# "&amp;'Cap Table'!$D61&amp;"s"</f>
        <v># Shares</v>
      </c>
      <c r="EC5" s="164" t="s">
        <v>434</v>
      </c>
      <c r="ED5" s="164" t="str">
        <f>"Total # of "&amp;'Cap Table'!$D61&amp;"s"</f>
        <v>Total # of Shares</v>
      </c>
      <c r="EE5" s="164" t="s">
        <v>446</v>
      </c>
      <c r="EF5" s="164" t="s">
        <v>435</v>
      </c>
      <c r="EG5" s="164" t="str">
        <f>EF5&amp;", % Ownership"</f>
        <v>Issued and Outstanding, % Ownership</v>
      </c>
      <c r="EH5" s="164" t="s">
        <v>447</v>
      </c>
      <c r="EI5" s="164" t="s">
        <v>436</v>
      </c>
      <c r="EJ5" s="164" t="str">
        <f>EI5&amp;", % Ownership"</f>
        <v>Fully-Diluted Shares [1], % Ownership</v>
      </c>
      <c r="EL5" s="164" t="s">
        <v>438</v>
      </c>
      <c r="EM5" s="164" t="s">
        <v>439</v>
      </c>
      <c r="EN5" s="164" t="s">
        <v>440</v>
      </c>
      <c r="EO5" s="164" t="s">
        <v>441</v>
      </c>
      <c r="EP5" s="164" t="s">
        <v>442</v>
      </c>
      <c r="EQ5" s="164" t="s">
        <v>443</v>
      </c>
      <c r="ER5" s="164" t="s">
        <v>444</v>
      </c>
      <c r="ES5" s="164" t="s">
        <v>445</v>
      </c>
      <c r="ET5" s="164" t="str">
        <f>"Price per "&amp;'Cap Table'!$D61&amp;", Average"</f>
        <v>Price per Share, Average</v>
      </c>
      <c r="EU5" s="164" t="str">
        <f>"# "&amp;'Cap Table'!$D61&amp;"s"</f>
        <v># Shares</v>
      </c>
      <c r="EV5" s="164" t="s">
        <v>434</v>
      </c>
      <c r="EW5" s="164" t="str">
        <f>"Total # of "&amp;'Cap Table'!$D61&amp;"s"</f>
        <v>Total # of Shares</v>
      </c>
      <c r="EX5" s="164" t="s">
        <v>446</v>
      </c>
      <c r="EY5" s="164" t="s">
        <v>435</v>
      </c>
      <c r="EZ5" s="164" t="str">
        <f>EY5&amp;", % Ownership"</f>
        <v>Issued and Outstanding, % Ownership</v>
      </c>
      <c r="FA5" s="164" t="s">
        <v>447</v>
      </c>
      <c r="FB5" s="164" t="s">
        <v>436</v>
      </c>
      <c r="FC5" s="164" t="str">
        <f>FB5&amp;", % Ownership"</f>
        <v>Fully-Diluted Shares [1], % Ownership</v>
      </c>
      <c r="FE5" s="166" t="str">
        <f t="shared" ref="FE5:FE28" si="0">E5</f>
        <v>Share Class [36]</v>
      </c>
      <c r="FF5" s="164" t="str">
        <f>"Total # of "&amp;'Cap Table'!$D61&amp;"s"</f>
        <v>Total # of Shares</v>
      </c>
      <c r="FG5" s="164" t="s">
        <v>446</v>
      </c>
      <c r="FH5" s="164" t="s">
        <v>436</v>
      </c>
      <c r="FJ5" s="166" t="str">
        <f>FE5</f>
        <v>Share Class [36]</v>
      </c>
      <c r="FK5" s="164" t="str">
        <f>FF5</f>
        <v>Total # of Shares</v>
      </c>
      <c r="FL5" s="164" t="str">
        <f>FG5</f>
        <v>Total # Options</v>
      </c>
      <c r="FM5" s="164" t="s">
        <v>436</v>
      </c>
    </row>
    <row r="6" spans="2:169">
      <c r="B6" s="145" t="s">
        <v>1</v>
      </c>
      <c r="D6" s="167" t="s">
        <v>25</v>
      </c>
      <c r="E6" s="167" t="str">
        <f>B$32</f>
        <v>Common</v>
      </c>
      <c r="G6" s="168">
        <f t="shared" ref="G6:G28" ca="1" si="1">I$60</f>
        <v>43538</v>
      </c>
      <c r="H6" s="289" t="str">
        <f t="shared" ref="H6:H28" si="2">B$39</f>
        <v>Equity</v>
      </c>
      <c r="I6" s="169">
        <v>0</v>
      </c>
      <c r="J6" s="170">
        <v>0</v>
      </c>
      <c r="K6" s="170">
        <f>J6+I6</f>
        <v>0</v>
      </c>
      <c r="L6" s="147">
        <f t="shared" ref="L6:L28" si="3">IFERROR(K6/K$29,0)</f>
        <v>0</v>
      </c>
      <c r="M6" s="170">
        <f>K6</f>
        <v>0</v>
      </c>
      <c r="N6" s="147">
        <f t="shared" ref="N6:N28" si="4">IFERROR(M6/M$29,0)</f>
        <v>0</v>
      </c>
      <c r="O6" s="147"/>
      <c r="P6" s="168">
        <f ca="1">IF(S6=0,R$60,G6)</f>
        <v>43904</v>
      </c>
      <c r="Q6" s="289" t="str">
        <f t="shared" ref="Q6:Q28" si="5">H6</f>
        <v>Equity</v>
      </c>
      <c r="R6" s="169">
        <v>0</v>
      </c>
      <c r="S6" s="169">
        <v>0</v>
      </c>
      <c r="T6" s="171">
        <v>0</v>
      </c>
      <c r="U6" s="169">
        <v>0</v>
      </c>
      <c r="V6" s="172">
        <v>0</v>
      </c>
      <c r="W6" s="170">
        <f ca="1">FV(V6/1,DATEDIF(P6,'Cap Table'!R$60,"y"),0,-S6)</f>
        <v>0</v>
      </c>
      <c r="X6" s="170">
        <f t="shared" ref="X6:X26" ca="1" si="6">IFERROR(W6/(1-T6),0)</f>
        <v>0</v>
      </c>
      <c r="Y6" s="146">
        <f t="shared" ref="Y6:Y28" ca="1" si="7">W6+R6</f>
        <v>0</v>
      </c>
      <c r="Z6" s="149">
        <f ca="1">IF(AND('Cap Table'!R$62=0,W6&gt;0),U6/'Cap Table'!R$61,IFERROR(IF(U6=0,'Cap Table'!R$62*(1-T6),MIN('Cap Table'!R$62*(1-T6),U6/'Cap Table'!R$61)),0))</f>
        <v>0</v>
      </c>
      <c r="AA6" s="170">
        <f ca="1">IFERROR(Y6/Z6,0)</f>
        <v>0</v>
      </c>
      <c r="AB6" s="170">
        <v>0</v>
      </c>
      <c r="AC6" s="146">
        <f t="shared" ref="AC6:AD28" ca="1" si="8">AA6+I6</f>
        <v>0</v>
      </c>
      <c r="AD6" s="146">
        <f t="shared" si="8"/>
        <v>0</v>
      </c>
      <c r="AE6" s="146">
        <f ca="1">AD6+AC6</f>
        <v>0</v>
      </c>
      <c r="AF6" s="147">
        <f t="shared" ref="AF6:AF28" ca="1" si="9">IFERROR(AE6/AE$29,0)</f>
        <v>0</v>
      </c>
      <c r="AG6" s="146">
        <f ca="1">AE6*'Cap Table'!R$62</f>
        <v>0</v>
      </c>
      <c r="AH6" s="146">
        <f ca="1">IFERROR(IF(OR(Q6='Cap Table'!$B$40,Q6='Cap Table'!$B$41,Q6='Cap Table'!$B$42),IF(SUM(S6)&lt;SUM(R6),(FV(V6/1,DATEDIF(P6,'Cap Table'!R$60,"y"),0,-R6))/(U6/'Cap Table'!$R$61),AE6),AE6),0)</f>
        <v>0</v>
      </c>
      <c r="AI6" s="147">
        <f t="shared" ref="AI6:AI28" ca="1" si="10">IFERROR(AH6/AH$29,0)</f>
        <v>0</v>
      </c>
      <c r="AK6" s="168">
        <f ca="1">IF(AN6=0,AM$60,P6)</f>
        <v>44269</v>
      </c>
      <c r="AL6" s="168" t="str">
        <f>Q6</f>
        <v>Equity</v>
      </c>
      <c r="AM6" s="169">
        <v>0</v>
      </c>
      <c r="AN6" s="169">
        <f>IF('Cap Table'!AM$79&lt;&gt;"na",IF(Q6='Cap Table'!$B$40,R6-S6,0),0)</f>
        <v>0</v>
      </c>
      <c r="AO6" s="171">
        <f t="shared" ref="AO6:AO26" si="11">IF(AN6=$R6,T6,0)</f>
        <v>0</v>
      </c>
      <c r="AP6" s="169">
        <f t="shared" ref="AP6:AP26" si="12">IF(AN6=$R6,U6,0)</f>
        <v>0</v>
      </c>
      <c r="AQ6" s="172">
        <f t="shared" ref="AQ6:AQ26" si="13">IF(AN6=$R6,V6,0)</f>
        <v>0</v>
      </c>
      <c r="AR6" s="170">
        <f ca="1">FV(AQ6/1,DATEDIF(AK6,'Cap Table'!AM$60,"y"),0,-AN6)</f>
        <v>0</v>
      </c>
      <c r="AS6" s="170">
        <f ca="1">IF('Cap Table'!AM$80="no",IFERROR(AR6/(1-AO6),0),IFERROR(AR6/(1-(MAX(AO6,('Cap Table'!AM$62-AP6/'Cap Table'!AM$61)/'Cap Table'!AM$62))),0))</f>
        <v>0</v>
      </c>
      <c r="AT6" s="146">
        <f t="shared" ref="AT6:AT28" ca="1" si="14">AR6+AM6</f>
        <v>0</v>
      </c>
      <c r="AU6" s="149">
        <f ca="1">IF(AND('Cap Table'!AM$62=0,AR6&gt;0),AP6/'Cap Table'!AM$61,IFERROR(IF(AP6=0,'Cap Table'!AM$62*(1-AO6),MIN('Cap Table'!AM$62*(1-AO6),AP6/'Cap Table'!AM$61)),0))</f>
        <v>0</v>
      </c>
      <c r="AV6" s="170">
        <f ca="1">IFERROR(AT6/AU6,0)</f>
        <v>0</v>
      </c>
      <c r="AW6" s="170">
        <v>0</v>
      </c>
      <c r="AX6" s="146">
        <f t="shared" ref="AX6:AY28" ca="1" si="15">AV6+AC6</f>
        <v>0</v>
      </c>
      <c r="AY6" s="146">
        <f t="shared" si="15"/>
        <v>0</v>
      </c>
      <c r="AZ6" s="146">
        <f ca="1">AY6+AX6</f>
        <v>0</v>
      </c>
      <c r="BA6" s="147">
        <f t="shared" ref="BA6:BA28" ca="1" si="16">IFERROR(AZ6/AZ$29,0)</f>
        <v>0</v>
      </c>
      <c r="BB6" s="146">
        <f ca="1">AZ6*'Cap Table'!AM$62</f>
        <v>0</v>
      </c>
      <c r="BC6" s="173">
        <f ca="1">IFERROR(IF(OR(AL6='Cap Table'!$B$40,AL6='Cap Table'!$B$41,AL6='Cap Table'!$B$42),IF(SUM(AN6,S6)&lt;SUM(AM6,R6),FV(MAX(AQ6,V6)/1,DATEDIF(AK6,'Cap Table'!$AM$60,"y"),0,-MAX(AM6,R6))/(MAX(AP6,U6)/'Cap Table'!$AM$61),AZ6),AZ6),0)</f>
        <v>0</v>
      </c>
      <c r="BD6" s="147">
        <f t="shared" ref="BD6:BD28" ca="1" si="17">IFERROR(BC6/BC$29,0)</f>
        <v>0</v>
      </c>
      <c r="BF6" s="168">
        <f ca="1">IF(BI6=0,BH$60,AK6)</f>
        <v>44634</v>
      </c>
      <c r="BG6" s="168" t="str">
        <f>AL6</f>
        <v>Equity</v>
      </c>
      <c r="BH6" s="169">
        <v>0</v>
      </c>
      <c r="BI6" s="169">
        <f>IF('Cap Table'!BH$79&lt;&gt;"na",IF(AL6='Cap Table'!$B$40,AM6-AN6,0),0)</f>
        <v>0</v>
      </c>
      <c r="BJ6" s="171">
        <f t="shared" ref="BJ6:BJ26" si="18">IF(BI6=$R6,AO6,0)</f>
        <v>0</v>
      </c>
      <c r="BK6" s="169">
        <f t="shared" ref="BK6:BK26" si="19">IF(BI6=$R6,AP6,0)</f>
        <v>0</v>
      </c>
      <c r="BL6" s="172">
        <f t="shared" ref="BL6:BL26" si="20">IF(BI6=$R6,AQ6,0)</f>
        <v>0</v>
      </c>
      <c r="BM6" s="170">
        <f ca="1">FV(BL6/1,DATEDIF(BF6,'Cap Table'!BH$60,"y"),0,-BI6)</f>
        <v>0</v>
      </c>
      <c r="BN6" s="170">
        <f ca="1">IF('Cap Table'!BH$80="no",IFERROR(BM6/(1-BJ6),0),IFERROR(BM6/(1-(MAX(BJ6,('Cap Table'!BH$62-BK6/'Cap Table'!BH$61)/'Cap Table'!BH$62))),0))</f>
        <v>0</v>
      </c>
      <c r="BO6" s="146">
        <f t="shared" ref="BO6:BO28" ca="1" si="21">BM6+BH6</f>
        <v>0</v>
      </c>
      <c r="BP6" s="149">
        <f ca="1">IF(AND('Cap Table'!BH$62=0,BM6&gt;0),BK6/'Cap Table'!BH$61,IFERROR(IF(BK6=0,'Cap Table'!BH$62*(1-BJ6),MIN('Cap Table'!BH$62*(1-BJ6),BK6/'Cap Table'!BH$61)),0))</f>
        <v>0</v>
      </c>
      <c r="BQ6" s="170">
        <f ca="1">IFERROR(BO6/BP6,0)</f>
        <v>0</v>
      </c>
      <c r="BR6" s="170">
        <v>0</v>
      </c>
      <c r="BS6" s="146">
        <f t="shared" ref="BS6:BT28" ca="1" si="22">BQ6+AX6</f>
        <v>0</v>
      </c>
      <c r="BT6" s="146">
        <f t="shared" si="22"/>
        <v>0</v>
      </c>
      <c r="BU6" s="146">
        <f ca="1">BT6+BS6</f>
        <v>0</v>
      </c>
      <c r="BV6" s="147">
        <f t="shared" ref="BV6:BV28" ca="1" si="23">IFERROR(BU6/BU$29,0)</f>
        <v>0</v>
      </c>
      <c r="BW6" s="146">
        <f ca="1">BU6*'Cap Table'!BH$62</f>
        <v>0</v>
      </c>
      <c r="BX6" s="173">
        <f ca="1">IFERROR(IF(OR(BG6='Cap Table'!$B$40,BG6='Cap Table'!$B$41,BG6='Cap Table'!$B$42),IF(SUM(BI6,AN6,S6)&lt;SUM(BH6,AM6,R6),FV(MAX(BL6,AQ6,V6)/1,DATEDIF(BF6,'Cap Table'!$BH$60,"y"),0,-MAX(BH6,AM6,R6))/(MAX(BK6,AP6,U6)/'Cap Table'!$BH$61),BU6),BU6),0)</f>
        <v>0</v>
      </c>
      <c r="BY6" s="147">
        <f t="shared" ref="BY6:BY28" ca="1" si="24">IFERROR(BX6/BX$29,0)</f>
        <v>0</v>
      </c>
      <c r="CA6" s="168">
        <f ca="1">IF(CD6=0,CC$60,BF6)</f>
        <v>44999</v>
      </c>
      <c r="CB6" s="168" t="str">
        <f>BG6</f>
        <v>Equity</v>
      </c>
      <c r="CC6" s="169">
        <v>0</v>
      </c>
      <c r="CD6" s="169">
        <f>IF('Cap Table'!CC$79&lt;&gt;"na",IF(BG6='Cap Table'!$B$40,BH6-BI6,0),0)</f>
        <v>0</v>
      </c>
      <c r="CE6" s="171">
        <f t="shared" ref="CE6:CE26" si="25">IF(CD6=$R6,BJ6,0)</f>
        <v>0</v>
      </c>
      <c r="CF6" s="169">
        <f t="shared" ref="CF6:CF26" si="26">IF(CD6=$R6,BK6,0)</f>
        <v>0</v>
      </c>
      <c r="CG6" s="172">
        <f t="shared" ref="CG6:CG26" si="27">IF(CD6=$R6,BL6,0)</f>
        <v>0</v>
      </c>
      <c r="CH6" s="170">
        <f ca="1">FV(CG6/1,DATEDIF(CA6,'Cap Table'!CC$60,"y"),0,-CD6)</f>
        <v>0</v>
      </c>
      <c r="CI6" s="170">
        <f ca="1">IF('Cap Table'!CC$80="no",IFERROR(CH6/(1-CE6),0),IFERROR(CH6/(1-(MAX(CE6,('Cap Table'!CC$62-CF6/'Cap Table'!CC$61)/'Cap Table'!CC$62))),0))</f>
        <v>0</v>
      </c>
      <c r="CJ6" s="146">
        <f t="shared" ref="CJ6:CJ28" ca="1" si="28">CH6+CC6</f>
        <v>0</v>
      </c>
      <c r="CK6" s="149">
        <f ca="1">IF(AND('Cap Table'!CC$62=0,CH6&gt;0),CF6/'Cap Table'!CC$61,IFERROR(IF(CF6=0,'Cap Table'!CC$62*(1-CE6),MIN('Cap Table'!CC$62*(1-CE6),CF6/'Cap Table'!CC$61)),0))</f>
        <v>0</v>
      </c>
      <c r="CL6" s="170">
        <f ca="1">IFERROR(CJ6/CK6,0)</f>
        <v>0</v>
      </c>
      <c r="CM6" s="170">
        <v>0</v>
      </c>
      <c r="CN6" s="146">
        <f t="shared" ref="CN6:CO28" ca="1" si="29">CL6+BS6</f>
        <v>0</v>
      </c>
      <c r="CO6" s="146">
        <f t="shared" si="29"/>
        <v>0</v>
      </c>
      <c r="CP6" s="146">
        <f ca="1">CO6+CN6</f>
        <v>0</v>
      </c>
      <c r="CQ6" s="147">
        <f t="shared" ref="CQ6:CQ28" ca="1" si="30">IFERROR(CP6/CP$29,0)</f>
        <v>0</v>
      </c>
      <c r="CR6" s="146">
        <f ca="1">CP6*'Cap Table'!CC$62</f>
        <v>0</v>
      </c>
      <c r="CS6" s="173">
        <f ca="1">IFERROR(IF(OR(CB6='Cap Table'!$B$40,CB6='Cap Table'!$B$41,CB6='Cap Table'!$B$42),IF(SUM(CD6,BI6,AN6,S6)&lt;SUM(CC6,BH6,AM6,R6),FV(MAX(CG6,BL6,AQ6,V6)/1,DATEDIF(CA6,'Cap Table'!$CC$60,"y"),0,-MAX(CC6,BH6,AM6,R6))/(MAX(CF6,BK6,AP6,U6)/'Cap Table'!$CC$61),CP6),CP6),0)</f>
        <v>0</v>
      </c>
      <c r="CT6" s="147">
        <f t="shared" ref="CT6:CT28" ca="1" si="31">IFERROR(CS6/CS$29,0)</f>
        <v>0</v>
      </c>
      <c r="CV6" s="168">
        <f ca="1">IF(CY6=0,CX$60,CA6)</f>
        <v>45365</v>
      </c>
      <c r="CW6" s="168" t="str">
        <f>CB6</f>
        <v>Equity</v>
      </c>
      <c r="CX6" s="169">
        <v>0</v>
      </c>
      <c r="CY6" s="169">
        <f>IF('Cap Table'!CX$79&lt;&gt;"na",IF(CB6='Cap Table'!$B$40,CC6-CD6,0),0)</f>
        <v>0</v>
      </c>
      <c r="CZ6" s="171">
        <f t="shared" ref="CZ6:CZ26" si="32">IF(CY6=$R6,CE6,0)</f>
        <v>0</v>
      </c>
      <c r="DA6" s="169">
        <f t="shared" ref="DA6:DA26" si="33">IF(CY6=$R6,CF6,0)</f>
        <v>0</v>
      </c>
      <c r="DB6" s="172">
        <f t="shared" ref="DB6:DB26" si="34">IF(CY6=$R6,CG6,0)</f>
        <v>0</v>
      </c>
      <c r="DC6" s="170">
        <f ca="1">FV(DB6/1,DATEDIF(CV6,'Cap Table'!CX$60,"y"),0,-CY6)</f>
        <v>0</v>
      </c>
      <c r="DD6" s="170">
        <f ca="1">IF('Cap Table'!CX$80="no",IFERROR(DC6/(1-CZ6),0),IFERROR(DC6/(1-(MAX(CZ6,('Cap Table'!CX$62-DA6/'Cap Table'!CX$61)/'Cap Table'!CX$62))),0))</f>
        <v>0</v>
      </c>
      <c r="DE6" s="146">
        <f t="shared" ref="DE6:DE28" ca="1" si="35">DC6+CX6</f>
        <v>0</v>
      </c>
      <c r="DF6" s="149">
        <f ca="1">IF(AND('Cap Table'!CX$62=0,DC6&gt;0),DA6/'Cap Table'!CX$61,IFERROR(IF(DA6=0,'Cap Table'!CX$62*(1-CZ6),MIN('Cap Table'!CX$62*(1-CZ6),DA6/'Cap Table'!CX$61)),0))</f>
        <v>0</v>
      </c>
      <c r="DG6" s="170">
        <f ca="1">IFERROR(DE6/DF6,0)</f>
        <v>0</v>
      </c>
      <c r="DH6" s="170">
        <v>0</v>
      </c>
      <c r="DI6" s="146">
        <f t="shared" ref="DI6:DJ28" ca="1" si="36">DG6+CN6</f>
        <v>0</v>
      </c>
      <c r="DJ6" s="146">
        <f t="shared" si="36"/>
        <v>0</v>
      </c>
      <c r="DK6" s="146">
        <f ca="1">DJ6+DI6</f>
        <v>0</v>
      </c>
      <c r="DL6" s="147">
        <f t="shared" ref="DL6:DL28" ca="1" si="37">IFERROR(DK6/DK$29,0)</f>
        <v>0</v>
      </c>
      <c r="DM6" s="146">
        <f ca="1">DK6*'Cap Table'!CX$62</f>
        <v>0</v>
      </c>
      <c r="DN6" s="173">
        <f ca="1">IFERROR(IF(OR(CW6='Cap Table'!$B$40,CW6='Cap Table'!$B$41,CW6='Cap Table'!$B$42),IF(SUM(CY6,CD6,BI6,AN6,S6,)&lt;SUM(CX6,CC6,BH6,AM6,R6),FV(MAX(DB6,CG6,BL6,AQ6,V6)/1,DATEDIF(CV6,'Cap Table'!$CX$60,"y"),0,-MAX(CX6,CC6,BH6,AM6,R6))/(MAX(DA6,CF6,BK6,AP6,U6,)/'Cap Table'!$CX$61),DK6),DK6),0)</f>
        <v>0</v>
      </c>
      <c r="DO6" s="147">
        <f t="shared" ref="DO6:DO28" ca="1" si="38">IFERROR(DN6/DN$29,0)</f>
        <v>0</v>
      </c>
      <c r="DQ6" s="168">
        <f ca="1">IF(DT6=0,DS$60,CV6)</f>
        <v>45730</v>
      </c>
      <c r="DR6" s="168" t="str">
        <f>CW6</f>
        <v>Equity</v>
      </c>
      <c r="DS6" s="169">
        <v>0</v>
      </c>
      <c r="DT6" s="169">
        <f>IF('Cap Table'!DS$79&lt;&gt;"na",IF(CW6='Cap Table'!$B$40,CX6-CY6,0),0)</f>
        <v>0</v>
      </c>
      <c r="DU6" s="171">
        <f t="shared" ref="DU6:DU7" si="39">IF(DT6=$R6,CZ6,0)</f>
        <v>0</v>
      </c>
      <c r="DV6" s="169">
        <f t="shared" ref="DV6:DV7" si="40">IF(DT6=$R6,DA6,0)</f>
        <v>0</v>
      </c>
      <c r="DW6" s="172">
        <f t="shared" ref="DW6:DW7" si="41">IF(DT6=$R6,DB6,0)</f>
        <v>0</v>
      </c>
      <c r="DX6" s="170">
        <f ca="1">FV(DW6/1,DATEDIF(DQ6,'Cap Table'!DS$60,"y"),0,-DT6)</f>
        <v>0</v>
      </c>
      <c r="DY6" s="170">
        <f ca="1">IF('Cap Table'!DS$80="no",IFERROR(DX6/(1-DU6),0),IFERROR(DX6/(1-(MAX(DU6,('Cap Table'!DS$62-DV6/'Cap Table'!DS$61)/'Cap Table'!DS$62))),0))</f>
        <v>0</v>
      </c>
      <c r="DZ6" s="146">
        <f t="shared" ref="DZ6:DZ28" ca="1" si="42">DX6+DS6</f>
        <v>0</v>
      </c>
      <c r="EA6" s="149">
        <f ca="1">IF(AND('Cap Table'!DS$62=0,DX6&gt;0),DV6/'Cap Table'!DS$61,IFERROR(IF(DV6=0,'Cap Table'!DS$62*(1-DU6),MIN('Cap Table'!DS$62*(1-DU6),DV6/'Cap Table'!DS$61)),0))</f>
        <v>0</v>
      </c>
      <c r="EB6" s="170">
        <f ca="1">IFERROR(DZ6/EA6,0)</f>
        <v>0</v>
      </c>
      <c r="EC6" s="170">
        <v>0</v>
      </c>
      <c r="ED6" s="146">
        <f ca="1">EB6+DI6</f>
        <v>0</v>
      </c>
      <c r="EE6" s="146">
        <f t="shared" ref="EE6:EE26" si="43">EC6+DJ6</f>
        <v>0</v>
      </c>
      <c r="EF6" s="146">
        <f ca="1">EE6+ED6</f>
        <v>0</v>
      </c>
      <c r="EG6" s="147">
        <f t="shared" ref="EG6:EG28" ca="1" si="44">IFERROR(EF6/EF$29,0)</f>
        <v>0</v>
      </c>
      <c r="EH6" s="146">
        <f ca="1">EF6*'Cap Table'!DS$62</f>
        <v>0</v>
      </c>
      <c r="EI6" s="173">
        <f ca="1">IFERROR(IF(OR(DR6='Cap Table'!$B$40,DR6='Cap Table'!$B$41,DR6='Cap Table'!$B$42),IF(SUM(DT6,CY6,CD6,BI6,AN6,S6)&lt;SUM(DS6,CX6,CC6,BH6,AM6,R6),FV(MAX(DW6,DB6,CG6,BL6,AQ6,V6)/1,DATEDIF(DQ6,'Cap Table'!DS$60,"y"),0,-MAX(DS6,CX6,CC6,BH6,AM6,R6))/(MAX(DV6,DA6,CF6,BK6,AP6,U6)/'Cap Table'!$DS$61),EF6),EF6),0)</f>
        <v>0</v>
      </c>
      <c r="EJ6" s="147">
        <f t="shared" ref="EJ6:EJ28" ca="1" si="45">IFERROR(EI6/EI$29,0)</f>
        <v>0</v>
      </c>
      <c r="EL6" s="146">
        <f>DS6+CX6+CC6+BH6+AM6+R6</f>
        <v>0</v>
      </c>
      <c r="EM6" s="146">
        <f>DT6+CY6+CD6+BI6+AN6+S6</f>
        <v>0</v>
      </c>
      <c r="EN6" s="174" t="s">
        <v>27</v>
      </c>
      <c r="EO6" s="174" t="s">
        <v>27</v>
      </c>
      <c r="EP6" s="174" t="s">
        <v>27</v>
      </c>
      <c r="EQ6" s="146">
        <f ca="1">DX6+DC6+CH6+BM6+AR6+W6</f>
        <v>0</v>
      </c>
      <c r="ER6" s="146">
        <f ca="1">DY6+DD6+CI6+BN6+AS6+X6</f>
        <v>0</v>
      </c>
      <c r="ES6" s="146">
        <f ca="1">DZ6+DE6+CJ6+BO6+AT6+Y6</f>
        <v>0</v>
      </c>
      <c r="ET6" s="146">
        <f ca="1">IFERROR(ES6/EY6,0)</f>
        <v>0</v>
      </c>
      <c r="EU6" s="146">
        <f ca="1">EB6+DG6+CL6+BQ6+AV6+AA6</f>
        <v>0</v>
      </c>
      <c r="EV6" s="146">
        <f>EC6+DH6+CM6+BR6+AW6+AB6</f>
        <v>0</v>
      </c>
      <c r="EW6" s="146">
        <f ca="1">ED6</f>
        <v>0</v>
      </c>
      <c r="EX6" s="146">
        <f>EE6</f>
        <v>0</v>
      </c>
      <c r="EY6" s="146">
        <f ca="1">EF6</f>
        <v>0</v>
      </c>
      <c r="EZ6" s="147">
        <f t="shared" ref="EZ6:EZ29" ca="1" si="46">IFERROR(EY6/EY$29,0)</f>
        <v>0</v>
      </c>
      <c r="FA6" s="146">
        <f ca="1">EH6</f>
        <v>0</v>
      </c>
      <c r="FB6" s="146">
        <f ca="1">EI6</f>
        <v>0</v>
      </c>
      <c r="FC6" s="147">
        <f t="shared" ref="FC6:FC29" ca="1" si="47">IFERROR(FB6/FB$29,0)</f>
        <v>0</v>
      </c>
      <c r="FE6" s="149" t="str">
        <f t="shared" si="0"/>
        <v>Common</v>
      </c>
      <c r="FF6" s="146">
        <f t="shared" ref="FF6:FF28" ca="1" si="48">OFFSET($G6,0,IF($FF$4=$G$4,1,12)+MATCH($FF$4,$G$4:$FC$4,0))</f>
        <v>0</v>
      </c>
      <c r="FG6" s="146">
        <f t="shared" ref="FG6:FG28" ca="1" si="49">OFFSET($G6,0,IF($FF$4=$G$4,2,13)+MATCH($FF$4,$G$4:$FC$4,0))</f>
        <v>0</v>
      </c>
      <c r="FH6" s="146">
        <f t="shared" ref="FH6:FH28" ca="1" si="50">OFFSET($G6,0,IF($FF$4=$G$4,5,17)+MATCH($FF$4,$G$4:$FC$4,0))</f>
        <v>0</v>
      </c>
      <c r="FJ6" s="146" t="str">
        <f t="shared" ref="FJ6:FJ28" si="51">E6</f>
        <v>Common</v>
      </c>
      <c r="FK6" s="174" t="str">
        <f t="shared" ref="FK6:FL28" ca="1" si="52">IFERROR(OFFSET($G6,0,IF($FK$4=$G$4,1,12)+MATCH($FK$4,$G$4:$FC$4,0)),"na")</f>
        <v>na</v>
      </c>
      <c r="FL6" s="174" t="str">
        <f t="shared" ca="1" si="52"/>
        <v>na</v>
      </c>
      <c r="FM6" s="174" t="str">
        <f t="shared" ref="FM6:FM28" ca="1" si="53">IFERROR(OFFSET($G6,0,IF($FK$4=$G$4,5,17)+MATCH($FK$4,$G$4:$FC$4,0)),"na")</f>
        <v>na</v>
      </c>
    </row>
    <row r="7" spans="2:169">
      <c r="B7" s="145" t="s">
        <v>59</v>
      </c>
      <c r="D7" s="167" t="s">
        <v>25</v>
      </c>
      <c r="E7" s="167" t="str">
        <f t="shared" ref="E7:E26" si="54">B$32</f>
        <v>Common</v>
      </c>
      <c r="G7" s="168">
        <f t="shared" ca="1" si="1"/>
        <v>43538</v>
      </c>
      <c r="H7" s="289" t="str">
        <f t="shared" si="2"/>
        <v>Equity</v>
      </c>
      <c r="I7" s="169">
        <v>0</v>
      </c>
      <c r="J7" s="170">
        <v>0</v>
      </c>
      <c r="K7" s="170">
        <f t="shared" ref="K7:K28" si="55">J7+I7</f>
        <v>0</v>
      </c>
      <c r="L7" s="147">
        <f t="shared" si="3"/>
        <v>0</v>
      </c>
      <c r="M7" s="170">
        <f t="shared" ref="M7:M28" si="56">K7</f>
        <v>0</v>
      </c>
      <c r="N7" s="147">
        <f t="shared" si="4"/>
        <v>0</v>
      </c>
      <c r="O7" s="147"/>
      <c r="P7" s="168">
        <f ca="1">IF(S7=0,R$60,G7)</f>
        <v>43904</v>
      </c>
      <c r="Q7" s="289" t="str">
        <f t="shared" si="5"/>
        <v>Equity</v>
      </c>
      <c r="R7" s="169">
        <v>0</v>
      </c>
      <c r="S7" s="169">
        <v>0</v>
      </c>
      <c r="T7" s="171">
        <v>0</v>
      </c>
      <c r="U7" s="145">
        <v>0</v>
      </c>
      <c r="V7" s="172">
        <v>0</v>
      </c>
      <c r="W7" s="170">
        <f ca="1">FV(V7/1,DATEDIF(P7,'Cap Table'!R$60,"y"),0,-S7)</f>
        <v>0</v>
      </c>
      <c r="X7" s="170">
        <f t="shared" ca="1" si="6"/>
        <v>0</v>
      </c>
      <c r="Y7" s="146">
        <f t="shared" ca="1" si="7"/>
        <v>0</v>
      </c>
      <c r="Z7" s="149">
        <f ca="1">IF(AND('Cap Table'!R$62=0,W7&gt;0),U7/'Cap Table'!R$61,IFERROR(IF(U7=0,'Cap Table'!R$62*(1-T7),MIN('Cap Table'!R$62*(1-T7),U7/'Cap Table'!R$61)),0))</f>
        <v>0</v>
      </c>
      <c r="AA7" s="170">
        <v>0</v>
      </c>
      <c r="AB7" s="170">
        <v>0</v>
      </c>
      <c r="AC7" s="146">
        <f t="shared" si="8"/>
        <v>0</v>
      </c>
      <c r="AD7" s="146">
        <f t="shared" si="8"/>
        <v>0</v>
      </c>
      <c r="AE7" s="146">
        <f t="shared" ref="AE7:AE28" si="57">AD7+AC7</f>
        <v>0</v>
      </c>
      <c r="AF7" s="147">
        <f t="shared" ca="1" si="9"/>
        <v>0</v>
      </c>
      <c r="AG7" s="146">
        <f>AE7*'Cap Table'!R$62</f>
        <v>0</v>
      </c>
      <c r="AH7" s="146">
        <f>IFERROR(IF(OR(Q7='Cap Table'!$B$40,Q7='Cap Table'!$B$41,Q7='Cap Table'!$B$42),IF(SUM(S7)&lt;SUM(R7),(FV(V7/1,DATEDIF(P7,'Cap Table'!R$60,"y"),0,-R7))/(U7/'Cap Table'!$R$61),AE7),AE7),0)</f>
        <v>0</v>
      </c>
      <c r="AI7" s="147">
        <f t="shared" ca="1" si="10"/>
        <v>0</v>
      </c>
      <c r="AK7" s="168">
        <f t="shared" ref="AK7:AK26" ca="1" si="58">IF(AN7=0,AM$60,P7)</f>
        <v>44269</v>
      </c>
      <c r="AL7" s="168" t="str">
        <f t="shared" ref="AL7:AL26" si="59">Q7</f>
        <v>Equity</v>
      </c>
      <c r="AM7" s="169">
        <v>0</v>
      </c>
      <c r="AN7" s="169">
        <f>IF('Cap Table'!AM$79&lt;&gt;"na",IF(Q7='Cap Table'!$B$40,R7-S7,0),0)</f>
        <v>0</v>
      </c>
      <c r="AO7" s="171">
        <f t="shared" si="11"/>
        <v>0</v>
      </c>
      <c r="AP7" s="169">
        <f t="shared" si="12"/>
        <v>0</v>
      </c>
      <c r="AQ7" s="172">
        <f t="shared" si="13"/>
        <v>0</v>
      </c>
      <c r="AR7" s="170">
        <f ca="1">FV(AQ7/1,DATEDIF(AK7,'Cap Table'!AM$60,"y"),0,-AN7)</f>
        <v>0</v>
      </c>
      <c r="AS7" s="170">
        <f ca="1">IF('Cap Table'!AM$80="no",IFERROR(AR7/(1-AO7),0),IFERROR(AR7/(1-(MAX(AO7,('Cap Table'!AM$62-AP7/'Cap Table'!AM$61)/'Cap Table'!AM$62))),0))</f>
        <v>0</v>
      </c>
      <c r="AT7" s="146">
        <f t="shared" ca="1" si="14"/>
        <v>0</v>
      </c>
      <c r="AU7" s="149">
        <f ca="1">IF(AND('Cap Table'!AM$62=0,AR7&gt;0),AP7/'Cap Table'!AM$61,IFERROR(IF(AP7=0,'Cap Table'!AM$62*(1-AO7),MIN('Cap Table'!AM$62*(1-AO7),AP7/'Cap Table'!AM$61)),0))</f>
        <v>0</v>
      </c>
      <c r="AV7" s="170">
        <v>0</v>
      </c>
      <c r="AW7" s="170">
        <v>0</v>
      </c>
      <c r="AX7" s="146">
        <f t="shared" si="15"/>
        <v>0</v>
      </c>
      <c r="AY7" s="146">
        <f t="shared" si="15"/>
        <v>0</v>
      </c>
      <c r="AZ7" s="146">
        <f t="shared" ref="AZ7:AZ28" si="60">AY7+AX7</f>
        <v>0</v>
      </c>
      <c r="BA7" s="147">
        <f t="shared" ca="1" si="16"/>
        <v>0</v>
      </c>
      <c r="BB7" s="146">
        <f ca="1">AZ7*'Cap Table'!AM$62</f>
        <v>0</v>
      </c>
      <c r="BC7" s="173">
        <f>IFERROR(IF(OR(AL7='Cap Table'!$B$40,AL7='Cap Table'!$B$41,AL7='Cap Table'!$B$42),IF(SUM(AN7,S7)&lt;SUM(AM7,R7),FV(MAX(AQ7,V7)/1,DATEDIF(AK7,'Cap Table'!$AM$60,"y"),0,-MAX(AM7,R7))/(MAX(AP7,U7)/'Cap Table'!$AM$61),AZ7),AZ7),0)</f>
        <v>0</v>
      </c>
      <c r="BD7" s="147">
        <f t="shared" ca="1" si="17"/>
        <v>0</v>
      </c>
      <c r="BF7" s="168">
        <f t="shared" ref="BF7:BF26" ca="1" si="61">IF(BI7=0,BH$60,AK7)</f>
        <v>44634</v>
      </c>
      <c r="BG7" s="168" t="str">
        <f t="shared" ref="BG7:BG26" si="62">AL7</f>
        <v>Equity</v>
      </c>
      <c r="BH7" s="169">
        <v>0</v>
      </c>
      <c r="BI7" s="169">
        <f>IF('Cap Table'!BH$79&lt;&gt;"na",IF(AL7='Cap Table'!$B$40,AM7-AN7,0),0)</f>
        <v>0</v>
      </c>
      <c r="BJ7" s="171">
        <f t="shared" si="18"/>
        <v>0</v>
      </c>
      <c r="BK7" s="169">
        <f t="shared" si="19"/>
        <v>0</v>
      </c>
      <c r="BL7" s="172">
        <f t="shared" si="20"/>
        <v>0</v>
      </c>
      <c r="BM7" s="170">
        <f ca="1">FV(BL7/1,DATEDIF(BF7,'Cap Table'!BH$60,"y"),0,-BI7)</f>
        <v>0</v>
      </c>
      <c r="BN7" s="170">
        <f ca="1">IF('Cap Table'!BH$80="no",IFERROR(BM7/(1-BJ7),0),IFERROR(BM7/(1-(MAX(BJ7,('Cap Table'!BH$62-BK7/'Cap Table'!BH$61)/'Cap Table'!BH$62))),0))</f>
        <v>0</v>
      </c>
      <c r="BO7" s="146">
        <f t="shared" ca="1" si="21"/>
        <v>0</v>
      </c>
      <c r="BP7" s="149">
        <f ca="1">IF(AND('Cap Table'!BH$62=0,BM7&gt;0),BK7/'Cap Table'!BH$61,IFERROR(IF(BK7=0,'Cap Table'!BH$62*(1-BJ7),MIN('Cap Table'!BH$62*(1-BJ7),BK7/'Cap Table'!BH$61)),0))</f>
        <v>0</v>
      </c>
      <c r="BQ7" s="170">
        <v>0</v>
      </c>
      <c r="BR7" s="170">
        <v>0</v>
      </c>
      <c r="BS7" s="146">
        <f t="shared" si="22"/>
        <v>0</v>
      </c>
      <c r="BT7" s="146">
        <f t="shared" si="22"/>
        <v>0</v>
      </c>
      <c r="BU7" s="146">
        <f t="shared" ref="BU7:BU28" si="63">BT7+BS7</f>
        <v>0</v>
      </c>
      <c r="BV7" s="147">
        <f t="shared" ca="1" si="23"/>
        <v>0</v>
      </c>
      <c r="BW7" s="146">
        <f ca="1">BU7*'Cap Table'!BH$62</f>
        <v>0</v>
      </c>
      <c r="BX7" s="173">
        <f>IFERROR(IF(OR(BG7='Cap Table'!$B$40,BG7='Cap Table'!$B$41,BG7='Cap Table'!$B$42),IF(SUM(BI7,AN7,S7)&lt;SUM(BH7,AM7,R7),FV(MAX(BL7,AQ7,V7)/1,DATEDIF(BF7,'Cap Table'!$BH$60,"y"),0,-MAX(BH7,AM7,R7))/(MAX(BK7,AP7,U7)/'Cap Table'!$BH$61),BU7),BU7),0)</f>
        <v>0</v>
      </c>
      <c r="BY7" s="147">
        <f t="shared" ca="1" si="24"/>
        <v>0</v>
      </c>
      <c r="CA7" s="168">
        <f t="shared" ref="CA7:CA26" ca="1" si="64">IF(CD7=0,CC$60,BF7)</f>
        <v>44999</v>
      </c>
      <c r="CB7" s="168" t="str">
        <f t="shared" ref="CB7:CB26" si="65">BG7</f>
        <v>Equity</v>
      </c>
      <c r="CC7" s="169">
        <v>0</v>
      </c>
      <c r="CD7" s="169">
        <f>IF('Cap Table'!CC$79&lt;&gt;"na",IF(BG7='Cap Table'!$B$40,BH7-BI7,0),0)</f>
        <v>0</v>
      </c>
      <c r="CE7" s="171">
        <f t="shared" si="25"/>
        <v>0</v>
      </c>
      <c r="CF7" s="169">
        <f t="shared" si="26"/>
        <v>0</v>
      </c>
      <c r="CG7" s="172">
        <f t="shared" si="27"/>
        <v>0</v>
      </c>
      <c r="CH7" s="170">
        <f ca="1">FV(CG7/1,DATEDIF(CA7,'Cap Table'!CC$60,"y"),0,-CD7)</f>
        <v>0</v>
      </c>
      <c r="CI7" s="170">
        <f ca="1">IF('Cap Table'!CC$80="no",IFERROR(CH7/(1-CE7),0),IFERROR(CH7/(1-(MAX(CE7,('Cap Table'!CC$62-CF7/'Cap Table'!CC$61)/'Cap Table'!CC$62))),0))</f>
        <v>0</v>
      </c>
      <c r="CJ7" s="146">
        <f t="shared" ca="1" si="28"/>
        <v>0</v>
      </c>
      <c r="CK7" s="149">
        <f ca="1">IF(AND('Cap Table'!CC$62=0,CH7&gt;0),CF7/'Cap Table'!CC$61,IFERROR(IF(CF7=0,'Cap Table'!CC$62*(1-CE7),MIN('Cap Table'!CC$62*(1-CE7),CF7/'Cap Table'!CC$61)),0))</f>
        <v>0</v>
      </c>
      <c r="CL7" s="170">
        <v>0</v>
      </c>
      <c r="CM7" s="170">
        <v>0</v>
      </c>
      <c r="CN7" s="146">
        <f t="shared" si="29"/>
        <v>0</v>
      </c>
      <c r="CO7" s="146">
        <f t="shared" si="29"/>
        <v>0</v>
      </c>
      <c r="CP7" s="146">
        <f t="shared" ref="CP7:CP28" si="66">CO7+CN7</f>
        <v>0</v>
      </c>
      <c r="CQ7" s="147">
        <f t="shared" ca="1" si="30"/>
        <v>0</v>
      </c>
      <c r="CR7" s="146">
        <f ca="1">CP7*'Cap Table'!CC$62</f>
        <v>0</v>
      </c>
      <c r="CS7" s="173">
        <f>IFERROR(IF(OR(CB7='Cap Table'!$B$40,CB7='Cap Table'!$B$41,CB7='Cap Table'!$B$42),IF(SUM(CD7,BI7,AN7,S7)&lt;SUM(CC7,BH7,AM7,R7),FV(MAX(CG7,BL7,AQ7,V7)/1,DATEDIF(CA7,'Cap Table'!$CC$60,"y"),0,-MAX(CC7,BH7,AM7,R7))/(MAX(CF7,BK7,AP7,U7)/'Cap Table'!$CC$61),CP7),CP7),0)</f>
        <v>0</v>
      </c>
      <c r="CT7" s="147">
        <f t="shared" ca="1" si="31"/>
        <v>0</v>
      </c>
      <c r="CV7" s="168">
        <f t="shared" ref="CV7:CV26" ca="1" si="67">IF(CY7=0,CX$60,CA7)</f>
        <v>45365</v>
      </c>
      <c r="CW7" s="168" t="str">
        <f t="shared" ref="CW7:CW26" si="68">CB7</f>
        <v>Equity</v>
      </c>
      <c r="CX7" s="169">
        <v>0</v>
      </c>
      <c r="CY7" s="169">
        <f>IF('Cap Table'!CX$79&lt;&gt;"na",IF(CB7='Cap Table'!$B$40,CC7-CD7,0),0)</f>
        <v>0</v>
      </c>
      <c r="CZ7" s="171">
        <f t="shared" si="32"/>
        <v>0</v>
      </c>
      <c r="DA7" s="169">
        <f t="shared" si="33"/>
        <v>0</v>
      </c>
      <c r="DB7" s="172">
        <f t="shared" si="34"/>
        <v>0</v>
      </c>
      <c r="DC7" s="170">
        <f ca="1">FV(DB7/1,DATEDIF(CV7,'Cap Table'!CX$60,"y"),0,-CY7)</f>
        <v>0</v>
      </c>
      <c r="DD7" s="170">
        <f ca="1">IF('Cap Table'!CX$80="no",IFERROR(DC7/(1-CZ7),0),IFERROR(DC7/(1-(MAX(CZ7,('Cap Table'!CX$62-DA7/'Cap Table'!CX$61)/'Cap Table'!CX$62))),0))</f>
        <v>0</v>
      </c>
      <c r="DE7" s="146">
        <f t="shared" ca="1" si="35"/>
        <v>0</v>
      </c>
      <c r="DF7" s="149">
        <f ca="1">IF(AND('Cap Table'!CX$62=0,DC7&gt;0),DA7/'Cap Table'!CX$61,IFERROR(IF(DA7=0,'Cap Table'!CX$62*(1-CZ7),MIN('Cap Table'!CX$62*(1-CZ7),DA7/'Cap Table'!CX$61)),0))</f>
        <v>0</v>
      </c>
      <c r="DG7" s="170">
        <v>0</v>
      </c>
      <c r="DH7" s="170">
        <v>0</v>
      </c>
      <c r="DI7" s="146">
        <f t="shared" si="36"/>
        <v>0</v>
      </c>
      <c r="DJ7" s="146">
        <f t="shared" si="36"/>
        <v>0</v>
      </c>
      <c r="DK7" s="146">
        <f t="shared" ref="DK7:DK28" si="69">DJ7+DI7</f>
        <v>0</v>
      </c>
      <c r="DL7" s="147">
        <f t="shared" ca="1" si="37"/>
        <v>0</v>
      </c>
      <c r="DM7" s="146">
        <f ca="1">DK7*'Cap Table'!CX$62</f>
        <v>0</v>
      </c>
      <c r="DN7" s="173">
        <f>IFERROR(IF(OR(CW7='Cap Table'!$B$40,CW7='Cap Table'!$B$41,CW7='Cap Table'!$B$42),IF(SUM(CY7,CD7,BI7,AN7,S7,)&lt;SUM(CX7,CC7,BH7,AM7,R7),FV(MAX(DB7,CG7,BL7,AQ7,V7)/1,DATEDIF(CV7,'Cap Table'!$CX$60,"y"),0,-MAX(CX7,CC7,BH7,AM7,R7))/(MAX(DA7,CF7,BK7,AP7,U7,)/'Cap Table'!$CX$61),DK7),DK7),0)</f>
        <v>0</v>
      </c>
      <c r="DO7" s="147">
        <f t="shared" ca="1" si="38"/>
        <v>0</v>
      </c>
      <c r="DQ7" s="168">
        <f t="shared" ref="DQ7:DQ26" ca="1" si="70">IF(DT7=0,DS$60,CV7)</f>
        <v>45730</v>
      </c>
      <c r="DR7" s="168" t="str">
        <f t="shared" ref="DR7:DR26" si="71">CW7</f>
        <v>Equity</v>
      </c>
      <c r="DS7" s="169">
        <v>0</v>
      </c>
      <c r="DT7" s="169">
        <f>IF('Cap Table'!DS$79&lt;&gt;"na",IF(CW7='Cap Table'!$B$40,CX7-CY7,0),0)</f>
        <v>0</v>
      </c>
      <c r="DU7" s="171">
        <f t="shared" si="39"/>
        <v>0</v>
      </c>
      <c r="DV7" s="169">
        <f t="shared" si="40"/>
        <v>0</v>
      </c>
      <c r="DW7" s="172">
        <f t="shared" si="41"/>
        <v>0</v>
      </c>
      <c r="DX7" s="170">
        <f ca="1">FV(DW7/1,DATEDIF(DQ7,'Cap Table'!DS$60,"y"),0,-DT7)</f>
        <v>0</v>
      </c>
      <c r="DY7" s="170">
        <f ca="1">IF('Cap Table'!DS$80="no",IFERROR(DX7/(1-DU7),0),IFERROR(DX7/(1-(MAX(DU7,('Cap Table'!DS$62-DV7/'Cap Table'!DS$61)/'Cap Table'!DS$62))),0))</f>
        <v>0</v>
      </c>
      <c r="DZ7" s="146">
        <f t="shared" ca="1" si="42"/>
        <v>0</v>
      </c>
      <c r="EA7" s="149">
        <f ca="1">IF(AND('Cap Table'!DS$62=0,DX7&gt;0),DV7/'Cap Table'!DS$61,IFERROR(IF(DV7=0,'Cap Table'!DS$62*(1-DU7),MIN('Cap Table'!DS$62*(1-DU7),DV7/'Cap Table'!DS$61)),0))</f>
        <v>0</v>
      </c>
      <c r="EB7" s="170">
        <v>0</v>
      </c>
      <c r="EC7" s="170">
        <v>0</v>
      </c>
      <c r="ED7" s="146">
        <f t="shared" ref="ED7:ED28" si="72">EB7+DI7</f>
        <v>0</v>
      </c>
      <c r="EE7" s="146">
        <f t="shared" si="43"/>
        <v>0</v>
      </c>
      <c r="EF7" s="146">
        <f t="shared" ref="EF7:EF28" si="73">EE7+ED7</f>
        <v>0</v>
      </c>
      <c r="EG7" s="147">
        <f t="shared" ca="1" si="44"/>
        <v>0</v>
      </c>
      <c r="EH7" s="146">
        <f ca="1">EF7*'Cap Table'!DS$62</f>
        <v>0</v>
      </c>
      <c r="EI7" s="173">
        <f>IFERROR(IF(OR(DR7='Cap Table'!$B$40,DR7='Cap Table'!$B$41,DR7='Cap Table'!$B$42),IF(SUM(DT7,CY7,CD7,BI7,AN7,S7)&lt;SUM(DS7,CX7,CC7,BH7,AM7,R7),FV(MAX(DW7,DB7,CG7,BL7,AQ7,V7)/1,DATEDIF(DQ7,'Cap Table'!DS$60,"y"),0,-MAX(DS7,CX7,CC7,BH7,AM7,R7))/(MAX(DV7,DA7,CF7,BK7,AP7,U7)/'Cap Table'!$DS$61),EF7),EF7),0)</f>
        <v>0</v>
      </c>
      <c r="EJ7" s="147">
        <f t="shared" ca="1" si="45"/>
        <v>0</v>
      </c>
      <c r="EL7" s="146">
        <f t="shared" ref="EL7:EM28" si="74">DS7+CX7+CC7+BH7+AM7+R7</f>
        <v>0</v>
      </c>
      <c r="EM7" s="146">
        <f t="shared" si="74"/>
        <v>0</v>
      </c>
      <c r="EN7" s="174" t="s">
        <v>27</v>
      </c>
      <c r="EO7" s="174" t="s">
        <v>27</v>
      </c>
      <c r="EP7" s="174" t="s">
        <v>27</v>
      </c>
      <c r="EQ7" s="146">
        <f t="shared" ref="EQ7:ES28" ca="1" si="75">DX7+DC7+CH7+BM7+AR7+W7</f>
        <v>0</v>
      </c>
      <c r="ER7" s="146">
        <f t="shared" ca="1" si="75"/>
        <v>0</v>
      </c>
      <c r="ES7" s="146">
        <f t="shared" ca="1" si="75"/>
        <v>0</v>
      </c>
      <c r="ET7" s="146">
        <f ca="1">IFERROR(ES7/EY7,0)</f>
        <v>0</v>
      </c>
      <c r="EU7" s="146">
        <f t="shared" ref="EU7:EV28" si="76">EB7+DG7+CL7+BQ7+AV7+AA7</f>
        <v>0</v>
      </c>
      <c r="EV7" s="146">
        <f t="shared" si="76"/>
        <v>0</v>
      </c>
      <c r="EW7" s="146">
        <f t="shared" ref="EW7:EY28" si="77">ED7</f>
        <v>0</v>
      </c>
      <c r="EX7" s="146">
        <f t="shared" si="77"/>
        <v>0</v>
      </c>
      <c r="EY7" s="146">
        <f t="shared" si="77"/>
        <v>0</v>
      </c>
      <c r="EZ7" s="147">
        <f t="shared" ca="1" si="46"/>
        <v>0</v>
      </c>
      <c r="FA7" s="146">
        <f t="shared" ref="FA7:FB28" ca="1" si="78">EH7</f>
        <v>0</v>
      </c>
      <c r="FB7" s="146">
        <f t="shared" si="78"/>
        <v>0</v>
      </c>
      <c r="FC7" s="147">
        <f t="shared" ca="1" si="47"/>
        <v>0</v>
      </c>
      <c r="FE7" s="149" t="str">
        <f t="shared" si="0"/>
        <v>Common</v>
      </c>
      <c r="FF7" s="146">
        <f t="shared" ca="1" si="48"/>
        <v>0</v>
      </c>
      <c r="FG7" s="146">
        <f t="shared" ca="1" si="49"/>
        <v>0</v>
      </c>
      <c r="FH7" s="146">
        <f t="shared" ca="1" si="50"/>
        <v>0</v>
      </c>
      <c r="FJ7" s="146" t="str">
        <f t="shared" si="51"/>
        <v>Common</v>
      </c>
      <c r="FK7" s="174" t="str">
        <f t="shared" ca="1" si="52"/>
        <v>na</v>
      </c>
      <c r="FL7" s="174" t="str">
        <f t="shared" ca="1" si="52"/>
        <v>na</v>
      </c>
      <c r="FM7" s="174" t="str">
        <f t="shared" ca="1" si="53"/>
        <v>na</v>
      </c>
    </row>
    <row r="8" spans="2:169">
      <c r="B8" s="145" t="s">
        <v>26</v>
      </c>
      <c r="D8" s="167" t="s">
        <v>26</v>
      </c>
      <c r="E8" s="167" t="str">
        <f t="shared" si="54"/>
        <v>Common</v>
      </c>
      <c r="G8" s="168">
        <f t="shared" ca="1" si="1"/>
        <v>43538</v>
      </c>
      <c r="H8" s="289" t="str">
        <f t="shared" si="2"/>
        <v>Equity</v>
      </c>
      <c r="I8" s="169">
        <v>0</v>
      </c>
      <c r="J8" s="170">
        <v>0</v>
      </c>
      <c r="K8" s="170">
        <f t="shared" si="55"/>
        <v>0</v>
      </c>
      <c r="L8" s="147">
        <f t="shared" si="3"/>
        <v>0</v>
      </c>
      <c r="M8" s="170">
        <f t="shared" si="56"/>
        <v>0</v>
      </c>
      <c r="N8" s="147">
        <f t="shared" si="4"/>
        <v>0</v>
      </c>
      <c r="O8" s="147"/>
      <c r="P8" s="168">
        <f ca="1">IF(S8=0,R$60,G8)</f>
        <v>43904</v>
      </c>
      <c r="Q8" s="289" t="str">
        <f t="shared" si="5"/>
        <v>Equity</v>
      </c>
      <c r="R8" s="169">
        <v>0</v>
      </c>
      <c r="S8" s="169">
        <v>0</v>
      </c>
      <c r="T8" s="171">
        <v>0</v>
      </c>
      <c r="U8" s="169">
        <v>0</v>
      </c>
      <c r="V8" s="172">
        <v>0.1</v>
      </c>
      <c r="W8" s="170">
        <f ca="1">FV(V8/1,DATEDIF(P8,'Cap Table'!R$60,"y"),0,-S8)</f>
        <v>0</v>
      </c>
      <c r="X8" s="170">
        <f t="shared" ca="1" si="6"/>
        <v>0</v>
      </c>
      <c r="Y8" s="146">
        <f t="shared" ca="1" si="7"/>
        <v>0</v>
      </c>
      <c r="Z8" s="149">
        <f ca="1">IF(AND('Cap Table'!R$62=0,W8&gt;0),U8/'Cap Table'!R$61,IFERROR(IF(U8=0,'Cap Table'!R$62*(1-T8),MIN('Cap Table'!R$62*(1-T8),U8/'Cap Table'!R$61)),0))</f>
        <v>0</v>
      </c>
      <c r="AA8" s="170">
        <f t="shared" ref="AA8:AA28" ca="1" si="79">IFERROR(Y8/Z8,0)</f>
        <v>0</v>
      </c>
      <c r="AB8" s="170">
        <v>0</v>
      </c>
      <c r="AC8" s="146">
        <f t="shared" ca="1" si="8"/>
        <v>0</v>
      </c>
      <c r="AD8" s="146">
        <f t="shared" si="8"/>
        <v>0</v>
      </c>
      <c r="AE8" s="146">
        <f t="shared" ca="1" si="57"/>
        <v>0</v>
      </c>
      <c r="AF8" s="147">
        <f t="shared" ca="1" si="9"/>
        <v>0</v>
      </c>
      <c r="AG8" s="146">
        <f ca="1">AE8*'Cap Table'!R$62</f>
        <v>0</v>
      </c>
      <c r="AH8" s="146">
        <f ca="1">IFERROR(IF(OR(Q8='Cap Table'!$B$40,Q8='Cap Table'!$B$41,Q8='Cap Table'!$B$42),IF(SUM(S8)&lt;SUM(R8),(FV(V8/1,DATEDIF(P8,'Cap Table'!R$60,"y"),0,-R8))/(U8/'Cap Table'!$R$61),AE8),AE8),0)</f>
        <v>0</v>
      </c>
      <c r="AI8" s="147">
        <f t="shared" ca="1" si="10"/>
        <v>0</v>
      </c>
      <c r="AK8" s="168">
        <f t="shared" ca="1" si="58"/>
        <v>44269</v>
      </c>
      <c r="AL8" s="168" t="str">
        <f t="shared" si="59"/>
        <v>Equity</v>
      </c>
      <c r="AM8" s="169">
        <v>0</v>
      </c>
      <c r="AN8" s="169">
        <f>IF('Cap Table'!AM$79&lt;&gt;"na",IF(Q8='Cap Table'!$B$40,R8-S8,0),0)</f>
        <v>0</v>
      </c>
      <c r="AO8" s="171">
        <f t="shared" si="11"/>
        <v>0</v>
      </c>
      <c r="AP8" s="169">
        <f t="shared" si="12"/>
        <v>0</v>
      </c>
      <c r="AQ8" s="172">
        <f t="shared" si="13"/>
        <v>0.1</v>
      </c>
      <c r="AR8" s="170">
        <f ca="1">FV(AQ8/1,DATEDIF(AK8,'Cap Table'!AM$60,"y"),0,-AN8)</f>
        <v>0</v>
      </c>
      <c r="AS8" s="170">
        <f ca="1">IF('Cap Table'!AM$80="no",IFERROR(AR8/(1-AO8),0),IFERROR(AR8/(1-(MAX(AO8,('Cap Table'!AM$62-AP8/'Cap Table'!AM$61)/'Cap Table'!AM$62))),0))</f>
        <v>0</v>
      </c>
      <c r="AT8" s="146">
        <f t="shared" ca="1" si="14"/>
        <v>0</v>
      </c>
      <c r="AU8" s="149">
        <f ca="1">IF(AND('Cap Table'!AM$62=0,AR8&gt;0),AP8/'Cap Table'!AM$61,IFERROR(IF(AP8=0,'Cap Table'!AM$62*(1-AO8),MIN('Cap Table'!AM$62*(1-AO8),AP8/'Cap Table'!AM$61)),0))</f>
        <v>0</v>
      </c>
      <c r="AV8" s="170">
        <f t="shared" ref="AV8:AV28" ca="1" si="80">IFERROR(AT8/AU8,0)</f>
        <v>0</v>
      </c>
      <c r="AW8" s="170">
        <v>0</v>
      </c>
      <c r="AX8" s="146">
        <f t="shared" ca="1" si="15"/>
        <v>0</v>
      </c>
      <c r="AY8" s="146">
        <f t="shared" si="15"/>
        <v>0</v>
      </c>
      <c r="AZ8" s="146">
        <f t="shared" ca="1" si="60"/>
        <v>0</v>
      </c>
      <c r="BA8" s="147">
        <f t="shared" ca="1" si="16"/>
        <v>0</v>
      </c>
      <c r="BB8" s="146">
        <f ca="1">AZ8*'Cap Table'!AM$62</f>
        <v>0</v>
      </c>
      <c r="BC8" s="173">
        <f ca="1">IFERROR(IF(OR(AL8='Cap Table'!$B$40,AL8='Cap Table'!$B$41,AL8='Cap Table'!$B$42),IF(SUM(AN8,S8)&lt;SUM(AM8,R8),FV(MAX(AQ8,V8)/1,DATEDIF(AK8,'Cap Table'!$AM$60,"y"),0,-MAX(AM8,R8))/(MAX(AP8,U8)/'Cap Table'!$AM$61),AZ8),AZ8),0)</f>
        <v>0</v>
      </c>
      <c r="BD8" s="147">
        <f t="shared" ca="1" si="17"/>
        <v>0</v>
      </c>
      <c r="BF8" s="168">
        <f t="shared" ca="1" si="61"/>
        <v>44634</v>
      </c>
      <c r="BG8" s="168" t="str">
        <f t="shared" si="62"/>
        <v>Equity</v>
      </c>
      <c r="BH8" s="169">
        <v>0</v>
      </c>
      <c r="BI8" s="169">
        <f>IF('Cap Table'!BH$79&lt;&gt;"na",IF(AL8='Cap Table'!$B$40,AM8-AN8,0),0)</f>
        <v>0</v>
      </c>
      <c r="BJ8" s="171">
        <f t="shared" si="18"/>
        <v>0</v>
      </c>
      <c r="BK8" s="169">
        <f t="shared" si="19"/>
        <v>0</v>
      </c>
      <c r="BL8" s="172">
        <f t="shared" si="20"/>
        <v>0.1</v>
      </c>
      <c r="BM8" s="170">
        <f ca="1">FV(BL8/1,DATEDIF(BF8,'Cap Table'!BH$60,"y"),0,-BI8)</f>
        <v>0</v>
      </c>
      <c r="BN8" s="170">
        <f ca="1">IF('Cap Table'!BH$80="no",IFERROR(BM8/(1-BJ8),0),IFERROR(BM8/(1-(MAX(BJ8,('Cap Table'!BH$62-BK8/'Cap Table'!BH$61)/'Cap Table'!BH$62))),0))</f>
        <v>0</v>
      </c>
      <c r="BO8" s="146">
        <f t="shared" ca="1" si="21"/>
        <v>0</v>
      </c>
      <c r="BP8" s="149">
        <f ca="1">IF(AND('Cap Table'!BH$62=0,BM8&gt;0),BK8/'Cap Table'!BH$61,IFERROR(IF(BK8=0,'Cap Table'!BH$62*(1-BJ8),MIN('Cap Table'!BH$62*(1-BJ8),BK8/'Cap Table'!BH$61)),0))</f>
        <v>0</v>
      </c>
      <c r="BQ8" s="170">
        <f t="shared" ref="BQ8:BQ28" ca="1" si="81">IFERROR(BO8/BP8,0)</f>
        <v>0</v>
      </c>
      <c r="BR8" s="170">
        <v>0</v>
      </c>
      <c r="BS8" s="146">
        <f t="shared" ca="1" si="22"/>
        <v>0</v>
      </c>
      <c r="BT8" s="146">
        <f t="shared" si="22"/>
        <v>0</v>
      </c>
      <c r="BU8" s="146">
        <f t="shared" ca="1" si="63"/>
        <v>0</v>
      </c>
      <c r="BV8" s="147">
        <f t="shared" ca="1" si="23"/>
        <v>0</v>
      </c>
      <c r="BW8" s="146">
        <f ca="1">BU8*'Cap Table'!BH$62</f>
        <v>0</v>
      </c>
      <c r="BX8" s="173">
        <f ca="1">IFERROR(IF(OR(BG8='Cap Table'!$B$40,BG8='Cap Table'!$B$41,BG8='Cap Table'!$B$42),IF(SUM(BI8,AN8,S8)&lt;SUM(BH8,AM8,R8),FV(MAX(BL8,AQ8,V8)/1,DATEDIF(BF8,'Cap Table'!$BH$60,"y"),0,-MAX(BH8,AM8,R8))/(MAX(BK8,AP8,U8)/'Cap Table'!$BH$61),BU8),BU8),0)</f>
        <v>0</v>
      </c>
      <c r="BY8" s="147">
        <f t="shared" ca="1" si="24"/>
        <v>0</v>
      </c>
      <c r="CA8" s="168">
        <f t="shared" ca="1" si="64"/>
        <v>44999</v>
      </c>
      <c r="CB8" s="168" t="str">
        <f t="shared" si="65"/>
        <v>Equity</v>
      </c>
      <c r="CC8" s="169">
        <v>0</v>
      </c>
      <c r="CD8" s="169">
        <f>IF('Cap Table'!CC$79&lt;&gt;"na",IF(BG8='Cap Table'!$B$40,BH8-BI8,0),0)</f>
        <v>0</v>
      </c>
      <c r="CE8" s="171">
        <f t="shared" si="25"/>
        <v>0</v>
      </c>
      <c r="CF8" s="169">
        <f t="shared" si="26"/>
        <v>0</v>
      </c>
      <c r="CG8" s="172">
        <f t="shared" si="27"/>
        <v>0.1</v>
      </c>
      <c r="CH8" s="170">
        <f ca="1">FV(CG8/1,DATEDIF(CA8,'Cap Table'!CC$60,"y"),0,-CD8)</f>
        <v>0</v>
      </c>
      <c r="CI8" s="170">
        <f ca="1">IF('Cap Table'!CC$80="no",IFERROR(CH8/(1-CE8),0),IFERROR(CH8/(1-(MAX(CE8,('Cap Table'!CC$62-CF8/'Cap Table'!CC$61)/'Cap Table'!CC$62))),0))</f>
        <v>0</v>
      </c>
      <c r="CJ8" s="146">
        <f t="shared" ca="1" si="28"/>
        <v>0</v>
      </c>
      <c r="CK8" s="149">
        <f ca="1">IF(AND('Cap Table'!CC$62=0,CH8&gt;0),CF8/'Cap Table'!CC$61,IFERROR(IF(CF8=0,'Cap Table'!CC$62*(1-CE8),MIN('Cap Table'!CC$62*(1-CE8),CF8/'Cap Table'!CC$61)),0))</f>
        <v>0</v>
      </c>
      <c r="CL8" s="170">
        <f t="shared" ref="CL8:CL28" ca="1" si="82">IFERROR(CJ8/CK8,0)</f>
        <v>0</v>
      </c>
      <c r="CM8" s="170">
        <v>0</v>
      </c>
      <c r="CN8" s="146">
        <f t="shared" ca="1" si="29"/>
        <v>0</v>
      </c>
      <c r="CO8" s="146">
        <f t="shared" si="29"/>
        <v>0</v>
      </c>
      <c r="CP8" s="146">
        <f t="shared" ca="1" si="66"/>
        <v>0</v>
      </c>
      <c r="CQ8" s="147">
        <f t="shared" ca="1" si="30"/>
        <v>0</v>
      </c>
      <c r="CR8" s="146">
        <f ca="1">CP8*'Cap Table'!CC$62</f>
        <v>0</v>
      </c>
      <c r="CS8" s="173">
        <f ca="1">IFERROR(IF(OR(CB8='Cap Table'!$B$40,CB8='Cap Table'!$B$41,CB8='Cap Table'!$B$42),IF(SUM(CD8,BI8,AN8,S8)&lt;SUM(CC8,BH8,AM8,R8),FV(MAX(CG8,BL8,AQ8,V8)/1,DATEDIF(CA8,'Cap Table'!$CC$60,"y"),0,-MAX(CC8,BH8,AM8,R8))/(MAX(CF8,BK8,AP8,U8)/'Cap Table'!$CC$61),CP8),CP8),0)</f>
        <v>0</v>
      </c>
      <c r="CT8" s="147">
        <f t="shared" ca="1" si="31"/>
        <v>0</v>
      </c>
      <c r="CV8" s="168">
        <f t="shared" ca="1" si="67"/>
        <v>45365</v>
      </c>
      <c r="CW8" s="168" t="str">
        <f t="shared" si="68"/>
        <v>Equity</v>
      </c>
      <c r="CX8" s="169">
        <v>0</v>
      </c>
      <c r="CY8" s="169">
        <f>IF('Cap Table'!CX$79&lt;&gt;"na",IF(CB8='Cap Table'!$B$40,CC8-CD8,0),0)</f>
        <v>0</v>
      </c>
      <c r="CZ8" s="171">
        <f t="shared" si="32"/>
        <v>0</v>
      </c>
      <c r="DA8" s="169">
        <f t="shared" si="33"/>
        <v>0</v>
      </c>
      <c r="DB8" s="172">
        <f t="shared" si="34"/>
        <v>0.1</v>
      </c>
      <c r="DC8" s="170">
        <f ca="1">FV(DB8/1,DATEDIF(CV8,'Cap Table'!CX$60,"y"),0,-CY8)</f>
        <v>0</v>
      </c>
      <c r="DD8" s="170">
        <f ca="1">IF('Cap Table'!CX$80="no",IFERROR(DC8/(1-CZ8),0),IFERROR(DC8/(1-(MAX(CZ8,('Cap Table'!CX$62-DA8/'Cap Table'!CX$61)/'Cap Table'!CX$62))),0))</f>
        <v>0</v>
      </c>
      <c r="DE8" s="146">
        <f t="shared" ca="1" si="35"/>
        <v>0</v>
      </c>
      <c r="DF8" s="149">
        <f ca="1">IF(AND('Cap Table'!CX$62=0,DC8&gt;0),DA8/'Cap Table'!CX$61,IFERROR(IF(DA8=0,'Cap Table'!CX$62*(1-CZ8),MIN('Cap Table'!CX$62*(1-CZ8),DA8/'Cap Table'!CX$61)),0))</f>
        <v>0</v>
      </c>
      <c r="DG8" s="170">
        <f t="shared" ref="DG8:DG28" ca="1" si="83">IFERROR(DE8/DF8,0)</f>
        <v>0</v>
      </c>
      <c r="DH8" s="170">
        <v>0</v>
      </c>
      <c r="DI8" s="146">
        <f t="shared" ca="1" si="36"/>
        <v>0</v>
      </c>
      <c r="DJ8" s="146">
        <f t="shared" si="36"/>
        <v>0</v>
      </c>
      <c r="DK8" s="146">
        <f t="shared" ca="1" si="69"/>
        <v>0</v>
      </c>
      <c r="DL8" s="147">
        <f t="shared" ca="1" si="37"/>
        <v>0</v>
      </c>
      <c r="DM8" s="146">
        <f ca="1">DK8*'Cap Table'!CX$62</f>
        <v>0</v>
      </c>
      <c r="DN8" s="173">
        <f ca="1">IFERROR(IF(OR(CW8='Cap Table'!$B$40,CW8='Cap Table'!$B$41,CW8='Cap Table'!$B$42),IF(SUM(CY8,CD8,BI8,AN8,S8,)&lt;SUM(CX8,CC8,BH8,AM8,R8),FV(MAX(DB8,CG8,BL8,AQ8,V8)/1,DATEDIF(CV8,'Cap Table'!$CX$60,"y"),0,-MAX(CX8,CC8,BH8,AM8,R8))/(MAX(DA8,CF8,BK8,AP8,U8,)/'Cap Table'!$CX$61),DK8),DK8),0)</f>
        <v>0</v>
      </c>
      <c r="DO8" s="147">
        <f t="shared" ca="1" si="38"/>
        <v>0</v>
      </c>
      <c r="DQ8" s="168">
        <f t="shared" ca="1" si="70"/>
        <v>45730</v>
      </c>
      <c r="DR8" s="168" t="str">
        <f t="shared" si="71"/>
        <v>Equity</v>
      </c>
      <c r="DS8" s="169">
        <v>0</v>
      </c>
      <c r="DT8" s="169">
        <v>0</v>
      </c>
      <c r="DU8" s="171">
        <v>0</v>
      </c>
      <c r="DV8" s="169">
        <v>0</v>
      </c>
      <c r="DW8" s="172">
        <v>0</v>
      </c>
      <c r="DX8" s="170">
        <f ca="1">FV(DW8/1,DATEDIF(DQ8,'Cap Table'!DS$60,"y"),0,-DT8)</f>
        <v>0</v>
      </c>
      <c r="DY8" s="170">
        <f ca="1">IF('Cap Table'!DS$80="no",IFERROR(DX8/(1-DU8),0),IFERROR(DX8/(1-(MAX(DU8,('Cap Table'!DS$62-DV8/'Cap Table'!DS$61)/'Cap Table'!DS$62))),0))</f>
        <v>0</v>
      </c>
      <c r="DZ8" s="146">
        <f t="shared" ca="1" si="42"/>
        <v>0</v>
      </c>
      <c r="EA8" s="149">
        <f ca="1">IF(AND('Cap Table'!DS$62=0,DX8&gt;0),DV8/'Cap Table'!DS$61,IFERROR(IF(DV8=0,'Cap Table'!DS$62*(1-DU8),MIN('Cap Table'!DS$62*(1-DU8),DV8/'Cap Table'!DS$61)),0))</f>
        <v>0</v>
      </c>
      <c r="EB8" s="170">
        <f t="shared" ref="EB8:EB28" ca="1" si="84">IFERROR(DZ8/EA8,0)</f>
        <v>0</v>
      </c>
      <c r="EC8" s="170">
        <v>0</v>
      </c>
      <c r="ED8" s="146">
        <f t="shared" ca="1" si="72"/>
        <v>0</v>
      </c>
      <c r="EE8" s="146">
        <f t="shared" si="43"/>
        <v>0</v>
      </c>
      <c r="EF8" s="146">
        <f t="shared" ca="1" si="73"/>
        <v>0</v>
      </c>
      <c r="EG8" s="147">
        <f t="shared" ca="1" si="44"/>
        <v>0</v>
      </c>
      <c r="EH8" s="146">
        <f ca="1">EF8*'Cap Table'!DS$62</f>
        <v>0</v>
      </c>
      <c r="EI8" s="173">
        <f ca="1">IFERROR(IF(OR(DR8='Cap Table'!$B$40,DR8='Cap Table'!$B$41,DR8='Cap Table'!$B$42),IF(SUM(DT8,CY8,CD8,BI8,AN8,S8)&lt;SUM(DS8,CX8,CC8,BH8,AM8,R8),FV(MAX(DW8,DB8,CG8,BL8,AQ8,V8)/1,DATEDIF(DQ8,'Cap Table'!DS$60,"y"),0,-MAX(DS8,CX8,CC8,BH8,AM8,R8))/(MAX(DV8,DA8,CF8,BK8,AP8,U8)/'Cap Table'!$DS$61),EF8),EF8),0)</f>
        <v>0</v>
      </c>
      <c r="EJ8" s="147">
        <f t="shared" ca="1" si="45"/>
        <v>0</v>
      </c>
      <c r="EL8" s="146">
        <f t="shared" si="74"/>
        <v>0</v>
      </c>
      <c r="EM8" s="146">
        <f t="shared" si="74"/>
        <v>0</v>
      </c>
      <c r="EN8" s="174" t="s">
        <v>27</v>
      </c>
      <c r="EO8" s="174" t="s">
        <v>27</v>
      </c>
      <c r="EP8" s="174" t="s">
        <v>27</v>
      </c>
      <c r="EQ8" s="146">
        <f t="shared" ca="1" si="75"/>
        <v>0</v>
      </c>
      <c r="ER8" s="146">
        <f t="shared" ca="1" si="75"/>
        <v>0</v>
      </c>
      <c r="ES8" s="146">
        <f t="shared" ca="1" si="75"/>
        <v>0</v>
      </c>
      <c r="ET8" s="146">
        <f ca="1">IFERROR(ES8/EY8,0)</f>
        <v>0</v>
      </c>
      <c r="EU8" s="146">
        <f t="shared" ca="1" si="76"/>
        <v>0</v>
      </c>
      <c r="EV8" s="146">
        <f t="shared" si="76"/>
        <v>0</v>
      </c>
      <c r="EW8" s="146">
        <f t="shared" ca="1" si="77"/>
        <v>0</v>
      </c>
      <c r="EX8" s="146">
        <f t="shared" si="77"/>
        <v>0</v>
      </c>
      <c r="EY8" s="146">
        <f t="shared" ca="1" si="77"/>
        <v>0</v>
      </c>
      <c r="EZ8" s="147">
        <f t="shared" ca="1" si="46"/>
        <v>0</v>
      </c>
      <c r="FA8" s="146">
        <f t="shared" ca="1" si="78"/>
        <v>0</v>
      </c>
      <c r="FB8" s="146">
        <f t="shared" ca="1" si="78"/>
        <v>0</v>
      </c>
      <c r="FC8" s="147">
        <f t="shared" ca="1" si="47"/>
        <v>0</v>
      </c>
      <c r="FE8" s="149" t="str">
        <f t="shared" si="0"/>
        <v>Common</v>
      </c>
      <c r="FF8" s="146">
        <f t="shared" ca="1" si="48"/>
        <v>0</v>
      </c>
      <c r="FG8" s="146">
        <f t="shared" ca="1" si="49"/>
        <v>0</v>
      </c>
      <c r="FH8" s="146">
        <f t="shared" ca="1" si="50"/>
        <v>0</v>
      </c>
      <c r="FJ8" s="146" t="str">
        <f t="shared" si="51"/>
        <v>Common</v>
      </c>
      <c r="FK8" s="174" t="str">
        <f t="shared" ca="1" si="52"/>
        <v>na</v>
      </c>
      <c r="FL8" s="174" t="str">
        <f t="shared" ca="1" si="52"/>
        <v>na</v>
      </c>
      <c r="FM8" s="174" t="str">
        <f t="shared" ca="1" si="53"/>
        <v>na</v>
      </c>
    </row>
    <row r="9" spans="2:169">
      <c r="B9" s="145" t="s">
        <v>27</v>
      </c>
      <c r="D9" s="167" t="s">
        <v>33</v>
      </c>
      <c r="E9" s="167" t="str">
        <f t="shared" si="54"/>
        <v>Common</v>
      </c>
      <c r="G9" s="168">
        <f t="shared" ca="1" si="1"/>
        <v>43538</v>
      </c>
      <c r="H9" s="289" t="str">
        <f t="shared" si="2"/>
        <v>Equity</v>
      </c>
      <c r="I9" s="169">
        <v>0</v>
      </c>
      <c r="J9" s="170">
        <v>0</v>
      </c>
      <c r="K9" s="170">
        <f t="shared" si="55"/>
        <v>0</v>
      </c>
      <c r="L9" s="147">
        <f t="shared" si="3"/>
        <v>0</v>
      </c>
      <c r="M9" s="170">
        <f t="shared" si="56"/>
        <v>0</v>
      </c>
      <c r="N9" s="147">
        <f t="shared" si="4"/>
        <v>0</v>
      </c>
      <c r="O9" s="147"/>
      <c r="P9" s="168">
        <f t="shared" ref="P9:P26" ca="1" si="85">IF(S9=0,R$60,G9)</f>
        <v>43904</v>
      </c>
      <c r="Q9" s="289" t="str">
        <f t="shared" si="5"/>
        <v>Equity</v>
      </c>
      <c r="R9" s="169">
        <v>0</v>
      </c>
      <c r="S9" s="169">
        <v>0</v>
      </c>
      <c r="T9" s="171">
        <v>0</v>
      </c>
      <c r="U9" s="145">
        <v>0</v>
      </c>
      <c r="V9" s="172">
        <v>0</v>
      </c>
      <c r="W9" s="170">
        <f ca="1">FV(V9/1,DATEDIF(P9,'Cap Table'!R$60,"y"),0,-S9)</f>
        <v>0</v>
      </c>
      <c r="X9" s="170">
        <f t="shared" ca="1" si="6"/>
        <v>0</v>
      </c>
      <c r="Y9" s="146">
        <f t="shared" ca="1" si="7"/>
        <v>0</v>
      </c>
      <c r="Z9" s="149">
        <f ca="1">IF(AND('Cap Table'!R$62=0,W9&gt;0),U9/'Cap Table'!R$61,IFERROR(IF(U9=0,'Cap Table'!R$62*(1-T9),MIN('Cap Table'!R$62*(1-T9),U9/'Cap Table'!R$61)),0))</f>
        <v>0</v>
      </c>
      <c r="AA9" s="170">
        <f t="shared" ca="1" si="79"/>
        <v>0</v>
      </c>
      <c r="AB9" s="170">
        <v>0</v>
      </c>
      <c r="AC9" s="146">
        <f t="shared" ca="1" si="8"/>
        <v>0</v>
      </c>
      <c r="AD9" s="146">
        <f t="shared" si="8"/>
        <v>0</v>
      </c>
      <c r="AE9" s="146">
        <f t="shared" ca="1" si="57"/>
        <v>0</v>
      </c>
      <c r="AF9" s="147">
        <f t="shared" ca="1" si="9"/>
        <v>0</v>
      </c>
      <c r="AG9" s="146">
        <f ca="1">AE9*'Cap Table'!R$62</f>
        <v>0</v>
      </c>
      <c r="AH9" s="146">
        <f ca="1">IFERROR(IF(OR(Q9='Cap Table'!$B$40,Q9='Cap Table'!$B$41,Q9='Cap Table'!$B$42),IF(SUM(S9)&lt;SUM(R9),(FV(V9/1,DATEDIF(P9,'Cap Table'!R$60,"y"),0,-R9))/(U9/'Cap Table'!$R$61),AE9),AE9),0)</f>
        <v>0</v>
      </c>
      <c r="AI9" s="147">
        <f t="shared" ca="1" si="10"/>
        <v>0</v>
      </c>
      <c r="AK9" s="168">
        <f t="shared" ca="1" si="58"/>
        <v>44269</v>
      </c>
      <c r="AL9" s="168" t="str">
        <f t="shared" si="59"/>
        <v>Equity</v>
      </c>
      <c r="AM9" s="169">
        <v>0</v>
      </c>
      <c r="AN9" s="169">
        <f>IF('Cap Table'!AM$79&lt;&gt;"na",IF(Q9='Cap Table'!$B$40,R9-S9,0),0)</f>
        <v>0</v>
      </c>
      <c r="AO9" s="171">
        <f t="shared" si="11"/>
        <v>0</v>
      </c>
      <c r="AP9" s="169">
        <f t="shared" si="12"/>
        <v>0</v>
      </c>
      <c r="AQ9" s="172">
        <f t="shared" si="13"/>
        <v>0</v>
      </c>
      <c r="AR9" s="170">
        <f ca="1">FV(AQ9/1,DATEDIF(AK9,'Cap Table'!AM$60,"y"),0,-AN9)</f>
        <v>0</v>
      </c>
      <c r="AS9" s="170">
        <f ca="1">IF('Cap Table'!AM$80="no",IFERROR(AR9/(1-AO9),0),IFERROR(AR9/(1-(MAX(AO9,('Cap Table'!AM$62-AP9/'Cap Table'!AM$61)/'Cap Table'!AM$62))),0))</f>
        <v>0</v>
      </c>
      <c r="AT9" s="146">
        <f t="shared" ca="1" si="14"/>
        <v>0</v>
      </c>
      <c r="AU9" s="149">
        <f ca="1">IF(AND('Cap Table'!AM$62=0,AR9&gt;0),AP9/'Cap Table'!AM$61,IFERROR(IF(AP9=0,'Cap Table'!AM$62*(1-AO9),MIN('Cap Table'!AM$62*(1-AO9),AP9/'Cap Table'!AM$61)),0))</f>
        <v>0</v>
      </c>
      <c r="AV9" s="170">
        <f t="shared" ca="1" si="80"/>
        <v>0</v>
      </c>
      <c r="AW9" s="170">
        <v>0</v>
      </c>
      <c r="AX9" s="146">
        <f t="shared" ca="1" si="15"/>
        <v>0</v>
      </c>
      <c r="AY9" s="146">
        <f t="shared" si="15"/>
        <v>0</v>
      </c>
      <c r="AZ9" s="146">
        <f t="shared" ca="1" si="60"/>
        <v>0</v>
      </c>
      <c r="BA9" s="147">
        <f t="shared" ca="1" si="16"/>
        <v>0</v>
      </c>
      <c r="BB9" s="146">
        <f ca="1">AZ9*'Cap Table'!AM$62</f>
        <v>0</v>
      </c>
      <c r="BC9" s="173">
        <f ca="1">IFERROR(IF(OR(AL9='Cap Table'!$B$40,AL9='Cap Table'!$B$41,AL9='Cap Table'!$B$42),IF(SUM(AN9,S9)&lt;SUM(AM9,R9),FV(MAX(AQ9,V9)/1,DATEDIF(AK9,'Cap Table'!$AM$60,"y"),0,-MAX(AM9,R9))/(MAX(AP9,U9)/'Cap Table'!$AM$61),AZ9),AZ9),0)</f>
        <v>0</v>
      </c>
      <c r="BD9" s="147">
        <f t="shared" ca="1" si="17"/>
        <v>0</v>
      </c>
      <c r="BF9" s="168">
        <f t="shared" ca="1" si="61"/>
        <v>44634</v>
      </c>
      <c r="BG9" s="168" t="str">
        <f t="shared" si="62"/>
        <v>Equity</v>
      </c>
      <c r="BH9" s="169">
        <v>0</v>
      </c>
      <c r="BI9" s="169">
        <f>IF('Cap Table'!BH$79&lt;&gt;"na",IF(AL9='Cap Table'!$B$40,AM9-AN9,0),0)</f>
        <v>0</v>
      </c>
      <c r="BJ9" s="171">
        <f t="shared" si="18"/>
        <v>0</v>
      </c>
      <c r="BK9" s="169">
        <f t="shared" si="19"/>
        <v>0</v>
      </c>
      <c r="BL9" s="172">
        <f t="shared" si="20"/>
        <v>0</v>
      </c>
      <c r="BM9" s="170">
        <f ca="1">FV(BL9/1,DATEDIF(BF9,'Cap Table'!BH$60,"y"),0,-BI9)</f>
        <v>0</v>
      </c>
      <c r="BN9" s="170">
        <f ca="1">IF('Cap Table'!BH$80="no",IFERROR(BM9/(1-BJ9),0),IFERROR(BM9/(1-(MAX(BJ9,('Cap Table'!BH$62-BK9/'Cap Table'!BH$61)/'Cap Table'!BH$62))),0))</f>
        <v>0</v>
      </c>
      <c r="BO9" s="146">
        <f t="shared" ca="1" si="21"/>
        <v>0</v>
      </c>
      <c r="BP9" s="149">
        <f ca="1">IF(AND('Cap Table'!BH$62=0,BM9&gt;0),BK9/'Cap Table'!BH$61,IFERROR(IF(BK9=0,'Cap Table'!BH$62*(1-BJ9),MIN('Cap Table'!BH$62*(1-BJ9),BK9/'Cap Table'!BH$61)),0))</f>
        <v>0</v>
      </c>
      <c r="BQ9" s="170">
        <f t="shared" ca="1" si="81"/>
        <v>0</v>
      </c>
      <c r="BR9" s="170">
        <v>0</v>
      </c>
      <c r="BS9" s="146">
        <f t="shared" ca="1" si="22"/>
        <v>0</v>
      </c>
      <c r="BT9" s="146">
        <f t="shared" si="22"/>
        <v>0</v>
      </c>
      <c r="BU9" s="146">
        <f t="shared" ca="1" si="63"/>
        <v>0</v>
      </c>
      <c r="BV9" s="147">
        <f t="shared" ca="1" si="23"/>
        <v>0</v>
      </c>
      <c r="BW9" s="146">
        <f ca="1">BU9*'Cap Table'!BH$62</f>
        <v>0</v>
      </c>
      <c r="BX9" s="173">
        <f ca="1">IFERROR(IF(OR(BG9='Cap Table'!$B$40,BG9='Cap Table'!$B$41,BG9='Cap Table'!$B$42),IF(SUM(BI9,AN9,S9)&lt;SUM(BH9,AM9,R9),FV(MAX(BL9,AQ9,V9)/1,DATEDIF(BF9,'Cap Table'!$BH$60,"y"),0,-MAX(BH9,AM9,R9))/(MAX(BK9,AP9,U9)/'Cap Table'!$BH$61),BU9),BU9),0)</f>
        <v>0</v>
      </c>
      <c r="BY9" s="147">
        <f t="shared" ca="1" si="24"/>
        <v>0</v>
      </c>
      <c r="CA9" s="168">
        <f t="shared" ca="1" si="64"/>
        <v>44999</v>
      </c>
      <c r="CB9" s="168" t="str">
        <f t="shared" si="65"/>
        <v>Equity</v>
      </c>
      <c r="CC9" s="169">
        <v>0</v>
      </c>
      <c r="CD9" s="169">
        <f>IF('Cap Table'!CC$79&lt;&gt;"na",IF(BG9='Cap Table'!$B$40,BH9-BI9,0),0)</f>
        <v>0</v>
      </c>
      <c r="CE9" s="171">
        <f t="shared" si="25"/>
        <v>0</v>
      </c>
      <c r="CF9" s="169">
        <f t="shared" si="26"/>
        <v>0</v>
      </c>
      <c r="CG9" s="172">
        <f t="shared" si="27"/>
        <v>0</v>
      </c>
      <c r="CH9" s="170">
        <f ca="1">FV(CG9/1,DATEDIF(CA9,'Cap Table'!CC$60,"y"),0,-CD9)</f>
        <v>0</v>
      </c>
      <c r="CI9" s="170">
        <f ca="1">IF('Cap Table'!CC$80="no",IFERROR(CH9/(1-CE9),0),IFERROR(CH9/(1-(MAX(CE9,('Cap Table'!CC$62-CF9/'Cap Table'!CC$61)/'Cap Table'!CC$62))),0))</f>
        <v>0</v>
      </c>
      <c r="CJ9" s="146">
        <f t="shared" ca="1" si="28"/>
        <v>0</v>
      </c>
      <c r="CK9" s="149">
        <f ca="1">IF(AND('Cap Table'!CC$62=0,CH9&gt;0),CF9/'Cap Table'!CC$61,IFERROR(IF(CF9=0,'Cap Table'!CC$62*(1-CE9),MIN('Cap Table'!CC$62*(1-CE9),CF9/'Cap Table'!CC$61)),0))</f>
        <v>0</v>
      </c>
      <c r="CL9" s="170">
        <f t="shared" ca="1" si="82"/>
        <v>0</v>
      </c>
      <c r="CM9" s="170">
        <v>0</v>
      </c>
      <c r="CN9" s="146">
        <f t="shared" ca="1" si="29"/>
        <v>0</v>
      </c>
      <c r="CO9" s="146">
        <f t="shared" si="29"/>
        <v>0</v>
      </c>
      <c r="CP9" s="146">
        <f t="shared" ca="1" si="66"/>
        <v>0</v>
      </c>
      <c r="CQ9" s="147">
        <f t="shared" ca="1" si="30"/>
        <v>0</v>
      </c>
      <c r="CR9" s="146">
        <f ca="1">CP9*'Cap Table'!CC$62</f>
        <v>0</v>
      </c>
      <c r="CS9" s="173">
        <f ca="1">IFERROR(IF(OR(CB9='Cap Table'!$B$40,CB9='Cap Table'!$B$41,CB9='Cap Table'!$B$42),IF(SUM(CD9,BI9,AN9,S9)&lt;SUM(CC9,BH9,AM9,R9),FV(MAX(CG9,BL9,AQ9,V9)/1,DATEDIF(CA9,'Cap Table'!$CC$60,"y"),0,-MAX(CC9,BH9,AM9,R9))/(MAX(CF9,BK9,AP9,U9)/'Cap Table'!$CC$61),CP9),CP9),0)</f>
        <v>0</v>
      </c>
      <c r="CT9" s="147">
        <f t="shared" ca="1" si="31"/>
        <v>0</v>
      </c>
      <c r="CV9" s="168">
        <f t="shared" ca="1" si="67"/>
        <v>45365</v>
      </c>
      <c r="CW9" s="168" t="str">
        <f t="shared" si="68"/>
        <v>Equity</v>
      </c>
      <c r="CX9" s="169">
        <v>0</v>
      </c>
      <c r="CY9" s="169">
        <f>IF('Cap Table'!CX$79&lt;&gt;"na",IF(CB9='Cap Table'!$B$40,CC9-CD9,0),0)</f>
        <v>0</v>
      </c>
      <c r="CZ9" s="171">
        <f t="shared" si="32"/>
        <v>0</v>
      </c>
      <c r="DA9" s="169">
        <f t="shared" si="33"/>
        <v>0</v>
      </c>
      <c r="DB9" s="172">
        <f t="shared" si="34"/>
        <v>0</v>
      </c>
      <c r="DC9" s="170">
        <f ca="1">FV(DB9/1,DATEDIF(CV9,'Cap Table'!CX$60,"y"),0,-CY9)</f>
        <v>0</v>
      </c>
      <c r="DD9" s="170">
        <f ca="1">IF('Cap Table'!CX$80="no",IFERROR(DC9/(1-CZ9),0),IFERROR(DC9/(1-(MAX(CZ9,('Cap Table'!CX$62-DA9/'Cap Table'!CX$61)/'Cap Table'!CX$62))),0))</f>
        <v>0</v>
      </c>
      <c r="DE9" s="146">
        <f t="shared" ca="1" si="35"/>
        <v>0</v>
      </c>
      <c r="DF9" s="149">
        <f ca="1">IF(AND('Cap Table'!CX$62=0,DC9&gt;0),DA9/'Cap Table'!CX$61,IFERROR(IF(DA9=0,'Cap Table'!CX$62*(1-CZ9),MIN('Cap Table'!CX$62*(1-CZ9),DA9/'Cap Table'!CX$61)),0))</f>
        <v>0</v>
      </c>
      <c r="DG9" s="170">
        <f t="shared" ca="1" si="83"/>
        <v>0</v>
      </c>
      <c r="DH9" s="170">
        <v>0</v>
      </c>
      <c r="DI9" s="146">
        <f t="shared" ca="1" si="36"/>
        <v>0</v>
      </c>
      <c r="DJ9" s="146">
        <f t="shared" si="36"/>
        <v>0</v>
      </c>
      <c r="DK9" s="146">
        <f t="shared" ca="1" si="69"/>
        <v>0</v>
      </c>
      <c r="DL9" s="147">
        <f t="shared" ca="1" si="37"/>
        <v>0</v>
      </c>
      <c r="DM9" s="146">
        <f ca="1">DK9*'Cap Table'!CX$62</f>
        <v>0</v>
      </c>
      <c r="DN9" s="173">
        <f ca="1">IFERROR(IF(OR(CW9='Cap Table'!$B$40,CW9='Cap Table'!$B$41,CW9='Cap Table'!$B$42),IF(SUM(CY9,CD9,BI9,AN9,S9,)&lt;SUM(CX9,CC9,BH9,AM9,R9),FV(MAX(DB9,CG9,BL9,AQ9,V9)/1,DATEDIF(CV9,'Cap Table'!$CX$60,"y"),0,-MAX(CX9,CC9,BH9,AM9,R9))/(MAX(DA9,CF9,BK9,AP9,U9,)/'Cap Table'!$CX$61),DK9),DK9),0)</f>
        <v>0</v>
      </c>
      <c r="DO9" s="147">
        <f t="shared" ca="1" si="38"/>
        <v>0</v>
      </c>
      <c r="DQ9" s="168">
        <f t="shared" ca="1" si="70"/>
        <v>45730</v>
      </c>
      <c r="DR9" s="168" t="str">
        <f t="shared" si="71"/>
        <v>Equity</v>
      </c>
      <c r="DS9" s="169">
        <v>0</v>
      </c>
      <c r="DT9" s="169">
        <f>IF('Cap Table'!DS$79&lt;&gt;"na",IF(CW9='Cap Table'!$B$40,CX9-CY9,0),0)</f>
        <v>0</v>
      </c>
      <c r="DU9" s="171">
        <f t="shared" ref="DU9:DU26" si="86">IF(DT9=$R9,CZ9,0)</f>
        <v>0</v>
      </c>
      <c r="DV9" s="169">
        <f t="shared" ref="DV9:DV26" si="87">IF(DT9=$R9,DA9,0)</f>
        <v>0</v>
      </c>
      <c r="DW9" s="172">
        <f t="shared" ref="DW9:DW26" si="88">IF(DT9=$R9,DB9,0)</f>
        <v>0</v>
      </c>
      <c r="DX9" s="170">
        <f ca="1">FV(DW9/1,DATEDIF(DQ9,'Cap Table'!DS$60,"y"),0,-DT9)</f>
        <v>0</v>
      </c>
      <c r="DY9" s="170">
        <f ca="1">IF('Cap Table'!DS$80="no",IFERROR(DX9/(1-DU9),0),IFERROR(DX9/(1-(MAX(DU9,('Cap Table'!DS$62-DV9/'Cap Table'!DS$61)/'Cap Table'!DS$62))),0))</f>
        <v>0</v>
      </c>
      <c r="DZ9" s="146">
        <f t="shared" ca="1" si="42"/>
        <v>0</v>
      </c>
      <c r="EA9" s="149">
        <f ca="1">IF(AND('Cap Table'!DS$62=0,DX9&gt;0),DV9/'Cap Table'!DS$61,IFERROR(IF(DV9=0,'Cap Table'!DS$62*(1-DU9),MIN('Cap Table'!DS$62*(1-DU9),DV9/'Cap Table'!DS$61)),0))</f>
        <v>0</v>
      </c>
      <c r="EB9" s="170">
        <f t="shared" ca="1" si="84"/>
        <v>0</v>
      </c>
      <c r="EC9" s="170">
        <v>0</v>
      </c>
      <c r="ED9" s="146">
        <f t="shared" ca="1" si="72"/>
        <v>0</v>
      </c>
      <c r="EE9" s="146">
        <f t="shared" si="43"/>
        <v>0</v>
      </c>
      <c r="EF9" s="146">
        <f t="shared" ca="1" si="73"/>
        <v>0</v>
      </c>
      <c r="EG9" s="147">
        <f t="shared" ca="1" si="44"/>
        <v>0</v>
      </c>
      <c r="EH9" s="146">
        <f ca="1">EF9*'Cap Table'!DS$62</f>
        <v>0</v>
      </c>
      <c r="EI9" s="173">
        <f ca="1">IFERROR(IF(OR(DR9='Cap Table'!$B$40,DR9='Cap Table'!$B$41,DR9='Cap Table'!$B$42),IF(SUM(DT9,CY9,CD9,BI9,AN9,S9)&lt;SUM(DS9,CX9,CC9,BH9,AM9,R9),FV(MAX(DW9,DB9,CG9,BL9,AQ9,V9)/1,DATEDIF(DQ9,'Cap Table'!DS$60,"y"),0,-MAX(DS9,CX9,CC9,BH9,AM9,R9))/(MAX(DV9,DA9,CF9,BK9,AP9,U9)/'Cap Table'!$DS$61),EF9),EF9),0)</f>
        <v>0</v>
      </c>
      <c r="EJ9" s="147">
        <f t="shared" ca="1" si="45"/>
        <v>0</v>
      </c>
      <c r="EL9" s="146">
        <f t="shared" si="74"/>
        <v>0</v>
      </c>
      <c r="EM9" s="146">
        <f t="shared" si="74"/>
        <v>0</v>
      </c>
      <c r="EN9" s="174" t="s">
        <v>27</v>
      </c>
      <c r="EO9" s="174" t="s">
        <v>27</v>
      </c>
      <c r="EP9" s="174" t="s">
        <v>27</v>
      </c>
      <c r="EQ9" s="146">
        <f t="shared" ca="1" si="75"/>
        <v>0</v>
      </c>
      <c r="ER9" s="146">
        <f t="shared" ca="1" si="75"/>
        <v>0</v>
      </c>
      <c r="ES9" s="146">
        <f t="shared" ca="1" si="75"/>
        <v>0</v>
      </c>
      <c r="ET9" s="149">
        <f ca="1">IFERROR(ES9/EY9,0)</f>
        <v>0</v>
      </c>
      <c r="EU9" s="146">
        <f t="shared" ca="1" si="76"/>
        <v>0</v>
      </c>
      <c r="EV9" s="146">
        <f t="shared" si="76"/>
        <v>0</v>
      </c>
      <c r="EW9" s="146">
        <f t="shared" ca="1" si="77"/>
        <v>0</v>
      </c>
      <c r="EX9" s="146">
        <f t="shared" si="77"/>
        <v>0</v>
      </c>
      <c r="EY9" s="146">
        <f t="shared" ca="1" si="77"/>
        <v>0</v>
      </c>
      <c r="EZ9" s="147">
        <f t="shared" ca="1" si="46"/>
        <v>0</v>
      </c>
      <c r="FA9" s="146">
        <f t="shared" ca="1" si="78"/>
        <v>0</v>
      </c>
      <c r="FB9" s="146">
        <f t="shared" ca="1" si="78"/>
        <v>0</v>
      </c>
      <c r="FC9" s="147">
        <f t="shared" ca="1" si="47"/>
        <v>0</v>
      </c>
      <c r="FE9" s="149" t="str">
        <f t="shared" si="0"/>
        <v>Common</v>
      </c>
      <c r="FF9" s="146">
        <f t="shared" ca="1" si="48"/>
        <v>0</v>
      </c>
      <c r="FG9" s="146">
        <f t="shared" ca="1" si="49"/>
        <v>0</v>
      </c>
      <c r="FH9" s="146">
        <f t="shared" ca="1" si="50"/>
        <v>0</v>
      </c>
      <c r="FJ9" s="146" t="str">
        <f t="shared" si="51"/>
        <v>Common</v>
      </c>
      <c r="FK9" s="174" t="str">
        <f t="shared" ca="1" si="52"/>
        <v>na</v>
      </c>
      <c r="FL9" s="174" t="str">
        <f t="shared" ca="1" si="52"/>
        <v>na</v>
      </c>
      <c r="FM9" s="174" t="str">
        <f t="shared" ca="1" si="53"/>
        <v>na</v>
      </c>
    </row>
    <row r="10" spans="2:169">
      <c r="B10" s="145" t="s">
        <v>27</v>
      </c>
      <c r="D10" s="167" t="s">
        <v>27</v>
      </c>
      <c r="E10" s="167" t="str">
        <f t="shared" si="54"/>
        <v>Common</v>
      </c>
      <c r="G10" s="168">
        <f t="shared" ca="1" si="1"/>
        <v>43538</v>
      </c>
      <c r="H10" s="289" t="str">
        <f t="shared" si="2"/>
        <v>Equity</v>
      </c>
      <c r="I10" s="169">
        <v>0</v>
      </c>
      <c r="J10" s="170">
        <v>0</v>
      </c>
      <c r="K10" s="170">
        <f t="shared" si="55"/>
        <v>0</v>
      </c>
      <c r="L10" s="147">
        <f t="shared" si="3"/>
        <v>0</v>
      </c>
      <c r="M10" s="170">
        <f t="shared" si="56"/>
        <v>0</v>
      </c>
      <c r="N10" s="147">
        <f t="shared" si="4"/>
        <v>0</v>
      </c>
      <c r="O10" s="147"/>
      <c r="P10" s="168">
        <f t="shared" ca="1" si="85"/>
        <v>43904</v>
      </c>
      <c r="Q10" s="289" t="str">
        <f t="shared" si="5"/>
        <v>Equity</v>
      </c>
      <c r="R10" s="169">
        <v>0</v>
      </c>
      <c r="S10" s="169">
        <v>0</v>
      </c>
      <c r="T10" s="171">
        <v>0</v>
      </c>
      <c r="U10" s="145">
        <v>0</v>
      </c>
      <c r="V10" s="172">
        <v>0</v>
      </c>
      <c r="W10" s="170">
        <f ca="1">FV(V10/1,DATEDIF(P10,'Cap Table'!R$60,"y"),0,-S10)</f>
        <v>0</v>
      </c>
      <c r="X10" s="170">
        <f t="shared" ca="1" si="6"/>
        <v>0</v>
      </c>
      <c r="Y10" s="146">
        <f t="shared" ca="1" si="7"/>
        <v>0</v>
      </c>
      <c r="Z10" s="149">
        <f ca="1">IF(AND('Cap Table'!R$62=0,W10&gt;0),U10/'Cap Table'!R$61,IFERROR(IF(U10=0,'Cap Table'!R$62*(1-T10),MIN('Cap Table'!R$62*(1-T10),U10/'Cap Table'!R$61)),0))</f>
        <v>0</v>
      </c>
      <c r="AA10" s="170">
        <f t="shared" ca="1" si="79"/>
        <v>0</v>
      </c>
      <c r="AB10" s="170">
        <v>0</v>
      </c>
      <c r="AC10" s="146">
        <f t="shared" ca="1" si="8"/>
        <v>0</v>
      </c>
      <c r="AD10" s="146">
        <f t="shared" si="8"/>
        <v>0</v>
      </c>
      <c r="AE10" s="146">
        <f t="shared" ca="1" si="57"/>
        <v>0</v>
      </c>
      <c r="AF10" s="147">
        <f t="shared" ca="1" si="9"/>
        <v>0</v>
      </c>
      <c r="AG10" s="146">
        <f ca="1">AE10*'Cap Table'!R$62</f>
        <v>0</v>
      </c>
      <c r="AH10" s="146">
        <f ca="1">IFERROR(IF(OR(Q10='Cap Table'!$B$40,Q10='Cap Table'!$B$41,Q10='Cap Table'!$B$42),IF(SUM(S10)&lt;SUM(R10),(FV(V10/1,DATEDIF(P10,'Cap Table'!R$60,"y"),0,-R10))/(U10/'Cap Table'!$R$61),AE10),AE10),0)</f>
        <v>0</v>
      </c>
      <c r="AI10" s="147">
        <f t="shared" ca="1" si="10"/>
        <v>0</v>
      </c>
      <c r="AK10" s="168">
        <f t="shared" ca="1" si="58"/>
        <v>44269</v>
      </c>
      <c r="AL10" s="168" t="str">
        <f t="shared" si="59"/>
        <v>Equity</v>
      </c>
      <c r="AM10" s="169">
        <v>0</v>
      </c>
      <c r="AN10" s="169">
        <f>IF('Cap Table'!AM$79&lt;&gt;"na",IF(Q10='Cap Table'!$B$40,R10-S10,0),0)</f>
        <v>0</v>
      </c>
      <c r="AO10" s="171">
        <f t="shared" si="11"/>
        <v>0</v>
      </c>
      <c r="AP10" s="169">
        <f t="shared" si="12"/>
        <v>0</v>
      </c>
      <c r="AQ10" s="172">
        <f t="shared" si="13"/>
        <v>0</v>
      </c>
      <c r="AR10" s="170">
        <f ca="1">FV(AQ10/1,DATEDIF(AK10,'Cap Table'!AM$60,"y"),0,-AN10)</f>
        <v>0</v>
      </c>
      <c r="AS10" s="170">
        <f ca="1">IF('Cap Table'!AM$80="no",IFERROR(AR10/(1-AO10),0),IFERROR(AR10/(1-(MAX(AO10,('Cap Table'!AM$62-AP10/'Cap Table'!AM$61)/'Cap Table'!AM$62))),0))</f>
        <v>0</v>
      </c>
      <c r="AT10" s="146">
        <f t="shared" ca="1" si="14"/>
        <v>0</v>
      </c>
      <c r="AU10" s="149">
        <f ca="1">IF(AND('Cap Table'!AM$62=0,AR10&gt;0),AP10/'Cap Table'!AM$61,IFERROR(IF(AP10=0,'Cap Table'!AM$62*(1-AO10),MIN('Cap Table'!AM$62*(1-AO10),AP10/'Cap Table'!AM$61)),0))</f>
        <v>0</v>
      </c>
      <c r="AV10" s="170">
        <f t="shared" ca="1" si="80"/>
        <v>0</v>
      </c>
      <c r="AW10" s="170">
        <v>0</v>
      </c>
      <c r="AX10" s="146">
        <f t="shared" ca="1" si="15"/>
        <v>0</v>
      </c>
      <c r="AY10" s="146">
        <f t="shared" si="15"/>
        <v>0</v>
      </c>
      <c r="AZ10" s="146">
        <f t="shared" ca="1" si="60"/>
        <v>0</v>
      </c>
      <c r="BA10" s="147">
        <f t="shared" ca="1" si="16"/>
        <v>0</v>
      </c>
      <c r="BB10" s="146">
        <f ca="1">AZ10*'Cap Table'!AM$62</f>
        <v>0</v>
      </c>
      <c r="BC10" s="173">
        <f ca="1">IFERROR(IF(OR(AL10='Cap Table'!$B$40,AL10='Cap Table'!$B$41,AL10='Cap Table'!$B$42),IF(SUM(AN10,S10)&lt;SUM(AM10,R10),FV(MAX(AQ10,V10)/1,DATEDIF(AK10,'Cap Table'!$AM$60,"y"),0,-MAX(AM10,R10))/(MAX(AP10,U10)/'Cap Table'!$AM$61),AZ10),AZ10),0)</f>
        <v>0</v>
      </c>
      <c r="BD10" s="147">
        <f t="shared" ca="1" si="17"/>
        <v>0</v>
      </c>
      <c r="BF10" s="168">
        <f t="shared" ca="1" si="61"/>
        <v>44634</v>
      </c>
      <c r="BG10" s="168" t="str">
        <f t="shared" si="62"/>
        <v>Equity</v>
      </c>
      <c r="BH10" s="169">
        <v>0</v>
      </c>
      <c r="BI10" s="169">
        <f>IF('Cap Table'!BH$79&lt;&gt;"na",IF(AL10='Cap Table'!$B$40,AM10-AN10,0),0)</f>
        <v>0</v>
      </c>
      <c r="BJ10" s="171">
        <f t="shared" si="18"/>
        <v>0</v>
      </c>
      <c r="BK10" s="169">
        <f t="shared" si="19"/>
        <v>0</v>
      </c>
      <c r="BL10" s="172">
        <f t="shared" si="20"/>
        <v>0</v>
      </c>
      <c r="BM10" s="170">
        <f ca="1">FV(BL10/1,DATEDIF(BF10,'Cap Table'!BH$60,"y"),0,-BI10)</f>
        <v>0</v>
      </c>
      <c r="BN10" s="170">
        <f ca="1">IF('Cap Table'!BH$80="no",IFERROR(BM10/(1-BJ10),0),IFERROR(BM10/(1-(MAX(BJ10,('Cap Table'!BH$62-BK10/'Cap Table'!BH$61)/'Cap Table'!BH$62))),0))</f>
        <v>0</v>
      </c>
      <c r="BO10" s="146">
        <f t="shared" ca="1" si="21"/>
        <v>0</v>
      </c>
      <c r="BP10" s="149">
        <f ca="1">IF(AND('Cap Table'!BH$62=0,BM10&gt;0),BK10/'Cap Table'!BH$61,IFERROR(IF(BK10=0,'Cap Table'!BH$62*(1-BJ10),MIN('Cap Table'!BH$62*(1-BJ10),BK10/'Cap Table'!BH$61)),0))</f>
        <v>0</v>
      </c>
      <c r="BQ10" s="170">
        <f t="shared" ca="1" si="81"/>
        <v>0</v>
      </c>
      <c r="BR10" s="170">
        <v>0</v>
      </c>
      <c r="BS10" s="146">
        <f t="shared" ca="1" si="22"/>
        <v>0</v>
      </c>
      <c r="BT10" s="146">
        <f t="shared" si="22"/>
        <v>0</v>
      </c>
      <c r="BU10" s="146">
        <f t="shared" ca="1" si="63"/>
        <v>0</v>
      </c>
      <c r="BV10" s="147">
        <f t="shared" ca="1" si="23"/>
        <v>0</v>
      </c>
      <c r="BW10" s="146">
        <f ca="1">BU10*'Cap Table'!BH$62</f>
        <v>0</v>
      </c>
      <c r="BX10" s="173">
        <f ca="1">IFERROR(IF(OR(BG10='Cap Table'!$B$40,BG10='Cap Table'!$B$41,BG10='Cap Table'!$B$42),IF(SUM(BI10,AN10,S10)&lt;SUM(BH10,AM10,R10),FV(MAX(BL10,AQ10,V10)/1,DATEDIF(BF10,'Cap Table'!$BH$60,"y"),0,-MAX(BH10,AM10,R10))/(MAX(BK10,AP10,U10)/'Cap Table'!$BH$61),BU10),BU10),0)</f>
        <v>0</v>
      </c>
      <c r="BY10" s="147">
        <f t="shared" ca="1" si="24"/>
        <v>0</v>
      </c>
      <c r="CA10" s="168">
        <f t="shared" ca="1" si="64"/>
        <v>44999</v>
      </c>
      <c r="CB10" s="168" t="str">
        <f t="shared" si="65"/>
        <v>Equity</v>
      </c>
      <c r="CC10" s="169">
        <v>0</v>
      </c>
      <c r="CD10" s="169">
        <f>IF('Cap Table'!CC$79&lt;&gt;"na",IF(BG10='Cap Table'!$B$40,BH10-BI10,0),0)</f>
        <v>0</v>
      </c>
      <c r="CE10" s="171">
        <f t="shared" si="25"/>
        <v>0</v>
      </c>
      <c r="CF10" s="169">
        <f t="shared" si="26"/>
        <v>0</v>
      </c>
      <c r="CG10" s="172">
        <f t="shared" si="27"/>
        <v>0</v>
      </c>
      <c r="CH10" s="170">
        <f ca="1">FV(CG10/1,DATEDIF(CA10,'Cap Table'!CC$60,"y"),0,-CD10)</f>
        <v>0</v>
      </c>
      <c r="CI10" s="170">
        <f ca="1">IF('Cap Table'!CC$80="no",IFERROR(CH10/(1-CE10),0),IFERROR(CH10/(1-(MAX(CE10,('Cap Table'!CC$62-CF10/'Cap Table'!CC$61)/'Cap Table'!CC$62))),0))</f>
        <v>0</v>
      </c>
      <c r="CJ10" s="146">
        <f t="shared" ca="1" si="28"/>
        <v>0</v>
      </c>
      <c r="CK10" s="149">
        <f ca="1">IF(AND('Cap Table'!CC$62=0,CH10&gt;0),CF10/'Cap Table'!CC$61,IFERROR(IF(CF10=0,'Cap Table'!CC$62*(1-CE10),MIN('Cap Table'!CC$62*(1-CE10),CF10/'Cap Table'!CC$61)),0))</f>
        <v>0</v>
      </c>
      <c r="CL10" s="170">
        <f t="shared" ca="1" si="82"/>
        <v>0</v>
      </c>
      <c r="CM10" s="170">
        <v>0</v>
      </c>
      <c r="CN10" s="146">
        <f t="shared" ca="1" si="29"/>
        <v>0</v>
      </c>
      <c r="CO10" s="146">
        <f t="shared" si="29"/>
        <v>0</v>
      </c>
      <c r="CP10" s="146">
        <f t="shared" ca="1" si="66"/>
        <v>0</v>
      </c>
      <c r="CQ10" s="147">
        <f t="shared" ca="1" si="30"/>
        <v>0</v>
      </c>
      <c r="CR10" s="146">
        <f ca="1">CP10*'Cap Table'!CC$62</f>
        <v>0</v>
      </c>
      <c r="CS10" s="173">
        <f ca="1">IFERROR(IF(OR(CB10='Cap Table'!$B$40,CB10='Cap Table'!$B$41,CB10='Cap Table'!$B$42),IF(SUM(CD10,BI10,AN10,S10)&lt;SUM(CC10,BH10,AM10,R10),FV(MAX(CG10,BL10,AQ10,V10)/1,DATEDIF(CA10,'Cap Table'!$CC$60,"y"),0,-MAX(CC10,BH10,AM10,R10))/(MAX(CF10,BK10,AP10,U10)/'Cap Table'!$CC$61),CP10),CP10),0)</f>
        <v>0</v>
      </c>
      <c r="CT10" s="147">
        <f t="shared" ca="1" si="31"/>
        <v>0</v>
      </c>
      <c r="CV10" s="168">
        <f t="shared" ca="1" si="67"/>
        <v>45365</v>
      </c>
      <c r="CW10" s="168" t="str">
        <f t="shared" si="68"/>
        <v>Equity</v>
      </c>
      <c r="CX10" s="169">
        <v>0</v>
      </c>
      <c r="CY10" s="169">
        <f>IF('Cap Table'!CX$79&lt;&gt;"na",IF(CB10='Cap Table'!$B$40,CC10-CD10,0),0)</f>
        <v>0</v>
      </c>
      <c r="CZ10" s="171">
        <f t="shared" si="32"/>
        <v>0</v>
      </c>
      <c r="DA10" s="169">
        <f t="shared" si="33"/>
        <v>0</v>
      </c>
      <c r="DB10" s="172">
        <f t="shared" si="34"/>
        <v>0</v>
      </c>
      <c r="DC10" s="170">
        <f ca="1">FV(DB10/1,DATEDIF(CV10,'Cap Table'!CX$60,"y"),0,-CY10)</f>
        <v>0</v>
      </c>
      <c r="DD10" s="170">
        <f ca="1">IF('Cap Table'!CX$80="no",IFERROR(DC10/(1-CZ10),0),IFERROR(DC10/(1-(MAX(CZ10,('Cap Table'!CX$62-DA10/'Cap Table'!CX$61)/'Cap Table'!CX$62))),0))</f>
        <v>0</v>
      </c>
      <c r="DE10" s="146">
        <f t="shared" ca="1" si="35"/>
        <v>0</v>
      </c>
      <c r="DF10" s="149">
        <f ca="1">IF(AND('Cap Table'!CX$62=0,DC10&gt;0),DA10/'Cap Table'!CX$61,IFERROR(IF(DA10=0,'Cap Table'!CX$62*(1-CZ10),MIN('Cap Table'!CX$62*(1-CZ10),DA10/'Cap Table'!CX$61)),0))</f>
        <v>0</v>
      </c>
      <c r="DG10" s="170">
        <f t="shared" ca="1" si="83"/>
        <v>0</v>
      </c>
      <c r="DH10" s="170">
        <v>0</v>
      </c>
      <c r="DI10" s="146">
        <f t="shared" ca="1" si="36"/>
        <v>0</v>
      </c>
      <c r="DJ10" s="146">
        <f t="shared" si="36"/>
        <v>0</v>
      </c>
      <c r="DK10" s="146">
        <f t="shared" ca="1" si="69"/>
        <v>0</v>
      </c>
      <c r="DL10" s="147">
        <f t="shared" ca="1" si="37"/>
        <v>0</v>
      </c>
      <c r="DM10" s="146">
        <f ca="1">DK10*'Cap Table'!CX$62</f>
        <v>0</v>
      </c>
      <c r="DN10" s="173">
        <f ca="1">IFERROR(IF(OR(CW10='Cap Table'!$B$40,CW10='Cap Table'!$B$41,CW10='Cap Table'!$B$42),IF(SUM(CY10,CD10,BI10,AN10,S10,)&lt;SUM(CX10,CC10,BH10,AM10,R10),FV(MAX(DB10,CG10,BL10,AQ10,V10)/1,DATEDIF(CV10,'Cap Table'!$CX$60,"y"),0,-MAX(CX10,CC10,BH10,AM10,R10))/(MAX(DA10,CF10,BK10,AP10,U10,)/'Cap Table'!$CX$61),DK10),DK10),0)</f>
        <v>0</v>
      </c>
      <c r="DO10" s="147">
        <f t="shared" ca="1" si="38"/>
        <v>0</v>
      </c>
      <c r="DQ10" s="168">
        <f t="shared" ca="1" si="70"/>
        <v>45730</v>
      </c>
      <c r="DR10" s="168" t="str">
        <f t="shared" si="71"/>
        <v>Equity</v>
      </c>
      <c r="DS10" s="169">
        <v>0</v>
      </c>
      <c r="DT10" s="169">
        <f>IF('Cap Table'!DS$79&lt;&gt;"na",IF(CW10='Cap Table'!$B$40,CX10-CY10,0),0)</f>
        <v>0</v>
      </c>
      <c r="DU10" s="171">
        <f t="shared" si="86"/>
        <v>0</v>
      </c>
      <c r="DV10" s="169">
        <f t="shared" si="87"/>
        <v>0</v>
      </c>
      <c r="DW10" s="172">
        <f t="shared" si="88"/>
        <v>0</v>
      </c>
      <c r="DX10" s="170">
        <f ca="1">FV(DW10/1,DATEDIF(DQ10,'Cap Table'!DS$60,"y"),0,-DT10)</f>
        <v>0</v>
      </c>
      <c r="DY10" s="170">
        <f ca="1">IF('Cap Table'!DS$80="no",IFERROR(DX10/(1-DU10),0),IFERROR(DX10/(1-(MAX(DU10,('Cap Table'!DS$62-DV10/'Cap Table'!DS$61)/'Cap Table'!DS$62))),0))</f>
        <v>0</v>
      </c>
      <c r="DZ10" s="146">
        <f t="shared" ca="1" si="42"/>
        <v>0</v>
      </c>
      <c r="EA10" s="149">
        <f ca="1">IF(AND('Cap Table'!DS$62=0,DX10&gt;0),DV10/'Cap Table'!DS$61,IFERROR(IF(DV10=0,'Cap Table'!DS$62*(1-DU10),MIN('Cap Table'!DS$62*(1-DU10),DV10/'Cap Table'!DS$61)),0))</f>
        <v>0</v>
      </c>
      <c r="EB10" s="170">
        <f t="shared" ca="1" si="84"/>
        <v>0</v>
      </c>
      <c r="EC10" s="170">
        <v>0</v>
      </c>
      <c r="ED10" s="146">
        <f t="shared" ca="1" si="72"/>
        <v>0</v>
      </c>
      <c r="EE10" s="146">
        <f t="shared" si="43"/>
        <v>0</v>
      </c>
      <c r="EF10" s="146">
        <f t="shared" ca="1" si="73"/>
        <v>0</v>
      </c>
      <c r="EG10" s="147">
        <f t="shared" ca="1" si="44"/>
        <v>0</v>
      </c>
      <c r="EH10" s="146">
        <f ca="1">EF10*'Cap Table'!DS$62</f>
        <v>0</v>
      </c>
      <c r="EI10" s="173">
        <f ca="1">IFERROR(IF(OR(DR10='Cap Table'!$B$40,DR10='Cap Table'!$B$41,DR10='Cap Table'!$B$42),IF(SUM(DT10,CY10,CD10,BI10,AN10,S10)&lt;SUM(DS10,CX10,CC10,BH10,AM10,R10),FV(MAX(DW10,DB10,CG10,BL10,AQ10,V10)/1,DATEDIF(DQ10,'Cap Table'!DS$60,"y"),0,-MAX(DS10,CX10,CC10,BH10,AM10,R10))/(MAX(DV10,DA10,CF10,BK10,AP10,U10)/'Cap Table'!$DS$61),EF10),EF10),0)</f>
        <v>0</v>
      </c>
      <c r="EJ10" s="147">
        <f t="shared" ca="1" si="45"/>
        <v>0</v>
      </c>
      <c r="EL10" s="146">
        <f t="shared" si="74"/>
        <v>0</v>
      </c>
      <c r="EM10" s="146">
        <f t="shared" si="74"/>
        <v>0</v>
      </c>
      <c r="EN10" s="174" t="s">
        <v>27</v>
      </c>
      <c r="EO10" s="174" t="s">
        <v>27</v>
      </c>
      <c r="EP10" s="174" t="s">
        <v>27</v>
      </c>
      <c r="EQ10" s="146">
        <f t="shared" ca="1" si="75"/>
        <v>0</v>
      </c>
      <c r="ER10" s="146">
        <f t="shared" ca="1" si="75"/>
        <v>0</v>
      </c>
      <c r="ES10" s="146">
        <f t="shared" ca="1" si="75"/>
        <v>0</v>
      </c>
      <c r="ET10" s="149">
        <f t="shared" ref="ET10:ET29" ca="1" si="89">IFERROR(ES10/EY10,0)</f>
        <v>0</v>
      </c>
      <c r="EU10" s="146">
        <f t="shared" ca="1" si="76"/>
        <v>0</v>
      </c>
      <c r="EV10" s="146">
        <f t="shared" si="76"/>
        <v>0</v>
      </c>
      <c r="EW10" s="146">
        <f t="shared" ca="1" si="77"/>
        <v>0</v>
      </c>
      <c r="EX10" s="146">
        <f t="shared" si="77"/>
        <v>0</v>
      </c>
      <c r="EY10" s="146">
        <f t="shared" ca="1" si="77"/>
        <v>0</v>
      </c>
      <c r="EZ10" s="147">
        <f t="shared" ca="1" si="46"/>
        <v>0</v>
      </c>
      <c r="FA10" s="146">
        <f t="shared" ca="1" si="78"/>
        <v>0</v>
      </c>
      <c r="FB10" s="146">
        <f t="shared" ca="1" si="78"/>
        <v>0</v>
      </c>
      <c r="FC10" s="147">
        <f t="shared" ca="1" si="47"/>
        <v>0</v>
      </c>
      <c r="FE10" s="149" t="str">
        <f t="shared" si="0"/>
        <v>Common</v>
      </c>
      <c r="FF10" s="146">
        <f t="shared" ca="1" si="48"/>
        <v>0</v>
      </c>
      <c r="FG10" s="146">
        <f t="shared" ca="1" si="49"/>
        <v>0</v>
      </c>
      <c r="FH10" s="146">
        <f t="shared" ca="1" si="50"/>
        <v>0</v>
      </c>
      <c r="FJ10" s="146" t="str">
        <f t="shared" si="51"/>
        <v>Common</v>
      </c>
      <c r="FK10" s="174" t="str">
        <f t="shared" ca="1" si="52"/>
        <v>na</v>
      </c>
      <c r="FL10" s="174" t="str">
        <f t="shared" ca="1" si="52"/>
        <v>na</v>
      </c>
      <c r="FM10" s="174" t="str">
        <f t="shared" ca="1" si="53"/>
        <v>na</v>
      </c>
    </row>
    <row r="11" spans="2:169">
      <c r="B11" s="145" t="s">
        <v>27</v>
      </c>
      <c r="D11" s="167" t="s">
        <v>27</v>
      </c>
      <c r="E11" s="167" t="str">
        <f t="shared" si="54"/>
        <v>Common</v>
      </c>
      <c r="G11" s="168">
        <f t="shared" ca="1" si="1"/>
        <v>43538</v>
      </c>
      <c r="H11" s="289" t="str">
        <f t="shared" si="2"/>
        <v>Equity</v>
      </c>
      <c r="I11" s="169">
        <v>0</v>
      </c>
      <c r="J11" s="170">
        <v>0</v>
      </c>
      <c r="K11" s="170">
        <f t="shared" si="55"/>
        <v>0</v>
      </c>
      <c r="L11" s="147">
        <f t="shared" si="3"/>
        <v>0</v>
      </c>
      <c r="M11" s="170">
        <f t="shared" si="56"/>
        <v>0</v>
      </c>
      <c r="N11" s="147">
        <f t="shared" si="4"/>
        <v>0</v>
      </c>
      <c r="O11" s="147"/>
      <c r="P11" s="168">
        <f t="shared" ca="1" si="85"/>
        <v>43904</v>
      </c>
      <c r="Q11" s="289" t="str">
        <f t="shared" si="5"/>
        <v>Equity</v>
      </c>
      <c r="R11" s="169">
        <v>0</v>
      </c>
      <c r="S11" s="169">
        <v>0</v>
      </c>
      <c r="T11" s="171">
        <v>0</v>
      </c>
      <c r="U11" s="145">
        <v>0</v>
      </c>
      <c r="V11" s="172">
        <v>0</v>
      </c>
      <c r="W11" s="170">
        <f ca="1">FV(V11/1,DATEDIF(P11,'Cap Table'!R$60,"y"),0,-S11)</f>
        <v>0</v>
      </c>
      <c r="X11" s="170">
        <f t="shared" ca="1" si="6"/>
        <v>0</v>
      </c>
      <c r="Y11" s="146">
        <f t="shared" ca="1" si="7"/>
        <v>0</v>
      </c>
      <c r="Z11" s="149">
        <f ca="1">IF(AND('Cap Table'!R$62=0,W11&gt;0),U11/'Cap Table'!R$61,IFERROR(IF(U11=0,'Cap Table'!R$62*(1-T11),MIN('Cap Table'!R$62*(1-T11),U11/'Cap Table'!R$61)),0))</f>
        <v>0</v>
      </c>
      <c r="AA11" s="170">
        <f t="shared" ca="1" si="79"/>
        <v>0</v>
      </c>
      <c r="AB11" s="170">
        <v>0</v>
      </c>
      <c r="AC11" s="146">
        <f t="shared" ca="1" si="8"/>
        <v>0</v>
      </c>
      <c r="AD11" s="146">
        <f t="shared" si="8"/>
        <v>0</v>
      </c>
      <c r="AE11" s="146">
        <f t="shared" ca="1" si="57"/>
        <v>0</v>
      </c>
      <c r="AF11" s="147">
        <f t="shared" ca="1" si="9"/>
        <v>0</v>
      </c>
      <c r="AG11" s="146">
        <f ca="1">AE11*'Cap Table'!R$62</f>
        <v>0</v>
      </c>
      <c r="AH11" s="146">
        <f ca="1">IFERROR(IF(OR(Q11='Cap Table'!$B$40,Q11='Cap Table'!$B$41,Q11='Cap Table'!$B$42),IF(SUM(S11)&lt;SUM(R11),(FV(V11/1,DATEDIF(P11,'Cap Table'!R$60,"y"),0,-R11))/(U11/'Cap Table'!$R$61),AE11),AE11),0)</f>
        <v>0</v>
      </c>
      <c r="AI11" s="147">
        <f t="shared" ca="1" si="10"/>
        <v>0</v>
      </c>
      <c r="AK11" s="168">
        <f t="shared" ca="1" si="58"/>
        <v>44269</v>
      </c>
      <c r="AL11" s="168" t="str">
        <f t="shared" si="59"/>
        <v>Equity</v>
      </c>
      <c r="AM11" s="169">
        <v>0</v>
      </c>
      <c r="AN11" s="169">
        <f>IF('Cap Table'!AM$79&lt;&gt;"na",IF(Q11='Cap Table'!$B$40,R11-S11,0),0)</f>
        <v>0</v>
      </c>
      <c r="AO11" s="171">
        <f t="shared" si="11"/>
        <v>0</v>
      </c>
      <c r="AP11" s="169">
        <f t="shared" si="12"/>
        <v>0</v>
      </c>
      <c r="AQ11" s="172">
        <f t="shared" si="13"/>
        <v>0</v>
      </c>
      <c r="AR11" s="170">
        <f ca="1">FV(AQ11/1,DATEDIF(AK11,'Cap Table'!AM$60,"y"),0,-AN11)</f>
        <v>0</v>
      </c>
      <c r="AS11" s="170">
        <f ca="1">IF('Cap Table'!AM$80="no",IFERROR(AR11/(1-AO11),0),IFERROR(AR11/(1-(MAX(AO11,('Cap Table'!AM$62-AP11/'Cap Table'!AM$61)/'Cap Table'!AM$62))),0))</f>
        <v>0</v>
      </c>
      <c r="AT11" s="146">
        <f t="shared" ca="1" si="14"/>
        <v>0</v>
      </c>
      <c r="AU11" s="149">
        <f ca="1">IF(AND('Cap Table'!AM$62=0,AR11&gt;0),AP11/'Cap Table'!AM$61,IFERROR(IF(AP11=0,'Cap Table'!AM$62*(1-AO11),MIN('Cap Table'!AM$62*(1-AO11),AP11/'Cap Table'!AM$61)),0))</f>
        <v>0</v>
      </c>
      <c r="AV11" s="170">
        <f t="shared" ca="1" si="80"/>
        <v>0</v>
      </c>
      <c r="AW11" s="170">
        <v>0</v>
      </c>
      <c r="AX11" s="146">
        <f t="shared" ca="1" si="15"/>
        <v>0</v>
      </c>
      <c r="AY11" s="146">
        <f t="shared" si="15"/>
        <v>0</v>
      </c>
      <c r="AZ11" s="146">
        <f t="shared" ca="1" si="60"/>
        <v>0</v>
      </c>
      <c r="BA11" s="147">
        <f t="shared" ca="1" si="16"/>
        <v>0</v>
      </c>
      <c r="BB11" s="146">
        <f ca="1">AZ11*'Cap Table'!AM$62</f>
        <v>0</v>
      </c>
      <c r="BC11" s="173">
        <f ca="1">IFERROR(IF(OR(AL11='Cap Table'!$B$40,AL11='Cap Table'!$B$41,AL11='Cap Table'!$B$42),IF(SUM(AN11,S11)&lt;SUM(AM11,R11),FV(MAX(AQ11,V11)/1,DATEDIF(AK11,'Cap Table'!$AM$60,"y"),0,-MAX(AM11,R11))/(MAX(AP11,U11)/'Cap Table'!$AM$61),AZ11),AZ11),0)</f>
        <v>0</v>
      </c>
      <c r="BD11" s="147">
        <f t="shared" ca="1" si="17"/>
        <v>0</v>
      </c>
      <c r="BF11" s="168">
        <f t="shared" ca="1" si="61"/>
        <v>44634</v>
      </c>
      <c r="BG11" s="168" t="str">
        <f t="shared" si="62"/>
        <v>Equity</v>
      </c>
      <c r="BH11" s="169">
        <v>0</v>
      </c>
      <c r="BI11" s="169">
        <f>IF('Cap Table'!BH$79&lt;&gt;"na",IF(AL11='Cap Table'!$B$40,AM11-AN11,0),0)</f>
        <v>0</v>
      </c>
      <c r="BJ11" s="171">
        <f t="shared" si="18"/>
        <v>0</v>
      </c>
      <c r="BK11" s="169">
        <f t="shared" si="19"/>
        <v>0</v>
      </c>
      <c r="BL11" s="172">
        <f t="shared" si="20"/>
        <v>0</v>
      </c>
      <c r="BM11" s="170">
        <f ca="1">FV(BL11/1,DATEDIF(BF11,'Cap Table'!BH$60,"y"),0,-BI11)</f>
        <v>0</v>
      </c>
      <c r="BN11" s="170">
        <f ca="1">IF('Cap Table'!BH$80="no",IFERROR(BM11/(1-BJ11),0),IFERROR(BM11/(1-(MAX(BJ11,('Cap Table'!BH$62-BK11/'Cap Table'!BH$61)/'Cap Table'!BH$62))),0))</f>
        <v>0</v>
      </c>
      <c r="BO11" s="146">
        <f t="shared" ca="1" si="21"/>
        <v>0</v>
      </c>
      <c r="BP11" s="149">
        <f ca="1">IF(AND('Cap Table'!BH$62=0,BM11&gt;0),BK11/'Cap Table'!BH$61,IFERROR(IF(BK11=0,'Cap Table'!BH$62*(1-BJ11),MIN('Cap Table'!BH$62*(1-BJ11),BK11/'Cap Table'!BH$61)),0))</f>
        <v>0</v>
      </c>
      <c r="BQ11" s="170">
        <f t="shared" ca="1" si="81"/>
        <v>0</v>
      </c>
      <c r="BR11" s="170">
        <v>0</v>
      </c>
      <c r="BS11" s="146">
        <f t="shared" ca="1" si="22"/>
        <v>0</v>
      </c>
      <c r="BT11" s="146">
        <f t="shared" si="22"/>
        <v>0</v>
      </c>
      <c r="BU11" s="146">
        <f t="shared" ca="1" si="63"/>
        <v>0</v>
      </c>
      <c r="BV11" s="147">
        <f t="shared" ca="1" si="23"/>
        <v>0</v>
      </c>
      <c r="BW11" s="146">
        <f ca="1">BU11*'Cap Table'!BH$62</f>
        <v>0</v>
      </c>
      <c r="BX11" s="173">
        <f ca="1">IFERROR(IF(OR(BG11='Cap Table'!$B$40,BG11='Cap Table'!$B$41,BG11='Cap Table'!$B$42),IF(SUM(BI11,AN11,S11)&lt;SUM(BH11,AM11,R11),FV(MAX(BL11,AQ11,V11)/1,DATEDIF(BF11,'Cap Table'!$BH$60,"y"),0,-MAX(BH11,AM11,R11))/(MAX(BK11,AP11,U11)/'Cap Table'!$BH$61),BU11),BU11),0)</f>
        <v>0</v>
      </c>
      <c r="BY11" s="147">
        <f t="shared" ca="1" si="24"/>
        <v>0</v>
      </c>
      <c r="CA11" s="168">
        <f t="shared" ca="1" si="64"/>
        <v>44999</v>
      </c>
      <c r="CB11" s="168" t="str">
        <f t="shared" si="65"/>
        <v>Equity</v>
      </c>
      <c r="CC11" s="169">
        <v>0</v>
      </c>
      <c r="CD11" s="169">
        <f>IF('Cap Table'!CC$79&lt;&gt;"na",IF(BG11='Cap Table'!$B$40,BH11-BI11,0),0)</f>
        <v>0</v>
      </c>
      <c r="CE11" s="171">
        <f t="shared" si="25"/>
        <v>0</v>
      </c>
      <c r="CF11" s="169">
        <f t="shared" si="26"/>
        <v>0</v>
      </c>
      <c r="CG11" s="172">
        <f t="shared" si="27"/>
        <v>0</v>
      </c>
      <c r="CH11" s="170">
        <f ca="1">FV(CG11/1,DATEDIF(CA11,'Cap Table'!CC$60,"y"),0,-CD11)</f>
        <v>0</v>
      </c>
      <c r="CI11" s="170">
        <f ca="1">IF('Cap Table'!CC$80="no",IFERROR(CH11/(1-CE11),0),IFERROR(CH11/(1-(MAX(CE11,('Cap Table'!CC$62-CF11/'Cap Table'!CC$61)/'Cap Table'!CC$62))),0))</f>
        <v>0</v>
      </c>
      <c r="CJ11" s="146">
        <f t="shared" ca="1" si="28"/>
        <v>0</v>
      </c>
      <c r="CK11" s="149">
        <f ca="1">IF(AND('Cap Table'!CC$62=0,CH11&gt;0),CF11/'Cap Table'!CC$61,IFERROR(IF(CF11=0,'Cap Table'!CC$62*(1-CE11),MIN('Cap Table'!CC$62*(1-CE11),CF11/'Cap Table'!CC$61)),0))</f>
        <v>0</v>
      </c>
      <c r="CL11" s="170">
        <f t="shared" ca="1" si="82"/>
        <v>0</v>
      </c>
      <c r="CM11" s="170">
        <v>0</v>
      </c>
      <c r="CN11" s="146">
        <f t="shared" ca="1" si="29"/>
        <v>0</v>
      </c>
      <c r="CO11" s="146">
        <f t="shared" si="29"/>
        <v>0</v>
      </c>
      <c r="CP11" s="146">
        <f t="shared" ca="1" si="66"/>
        <v>0</v>
      </c>
      <c r="CQ11" s="147">
        <f t="shared" ca="1" si="30"/>
        <v>0</v>
      </c>
      <c r="CR11" s="146">
        <f ca="1">CP11*'Cap Table'!CC$62</f>
        <v>0</v>
      </c>
      <c r="CS11" s="173">
        <f ca="1">IFERROR(IF(OR(CB11='Cap Table'!$B$40,CB11='Cap Table'!$B$41,CB11='Cap Table'!$B$42),IF(SUM(CD11,BI11,AN11,S11)&lt;SUM(CC11,BH11,AM11,R11),FV(MAX(CG11,BL11,AQ11,V11)/1,DATEDIF(CA11,'Cap Table'!$CC$60,"y"),0,-MAX(CC11,BH11,AM11,R11))/(MAX(CF11,BK11,AP11,U11)/'Cap Table'!$CC$61),CP11),CP11),0)</f>
        <v>0</v>
      </c>
      <c r="CT11" s="147">
        <f t="shared" ca="1" si="31"/>
        <v>0</v>
      </c>
      <c r="CV11" s="168">
        <f t="shared" ca="1" si="67"/>
        <v>45365</v>
      </c>
      <c r="CW11" s="168" t="str">
        <f t="shared" si="68"/>
        <v>Equity</v>
      </c>
      <c r="CX11" s="169">
        <v>0</v>
      </c>
      <c r="CY11" s="169">
        <f>IF('Cap Table'!CX$79&lt;&gt;"na",IF(CB11='Cap Table'!$B$40,CC11-CD11,0),0)</f>
        <v>0</v>
      </c>
      <c r="CZ11" s="171">
        <f t="shared" si="32"/>
        <v>0</v>
      </c>
      <c r="DA11" s="169">
        <f t="shared" si="33"/>
        <v>0</v>
      </c>
      <c r="DB11" s="172">
        <f t="shared" si="34"/>
        <v>0</v>
      </c>
      <c r="DC11" s="170">
        <f ca="1">FV(DB11/1,DATEDIF(CV11,'Cap Table'!CX$60,"y"),0,-CY11)</f>
        <v>0</v>
      </c>
      <c r="DD11" s="170">
        <f ca="1">IF('Cap Table'!CX$80="no",IFERROR(DC11/(1-CZ11),0),IFERROR(DC11/(1-(MAX(CZ11,('Cap Table'!CX$62-DA11/'Cap Table'!CX$61)/'Cap Table'!CX$62))),0))</f>
        <v>0</v>
      </c>
      <c r="DE11" s="146">
        <f t="shared" ca="1" si="35"/>
        <v>0</v>
      </c>
      <c r="DF11" s="149">
        <f ca="1">IF(AND('Cap Table'!CX$62=0,DC11&gt;0),DA11/'Cap Table'!CX$61,IFERROR(IF(DA11=0,'Cap Table'!CX$62*(1-CZ11),MIN('Cap Table'!CX$62*(1-CZ11),DA11/'Cap Table'!CX$61)),0))</f>
        <v>0</v>
      </c>
      <c r="DG11" s="170">
        <f t="shared" ca="1" si="83"/>
        <v>0</v>
      </c>
      <c r="DH11" s="170">
        <v>0</v>
      </c>
      <c r="DI11" s="146">
        <f t="shared" ca="1" si="36"/>
        <v>0</v>
      </c>
      <c r="DJ11" s="146">
        <f t="shared" si="36"/>
        <v>0</v>
      </c>
      <c r="DK11" s="146">
        <f t="shared" ca="1" si="69"/>
        <v>0</v>
      </c>
      <c r="DL11" s="147">
        <f t="shared" ca="1" si="37"/>
        <v>0</v>
      </c>
      <c r="DM11" s="146">
        <f ca="1">DK11*'Cap Table'!CX$62</f>
        <v>0</v>
      </c>
      <c r="DN11" s="173">
        <f ca="1">IFERROR(IF(OR(CW11='Cap Table'!$B$40,CW11='Cap Table'!$B$41,CW11='Cap Table'!$B$42),IF(SUM(CY11,CD11,BI11,AN11,S11,)&lt;SUM(CX11,CC11,BH11,AM11,R11),FV(MAX(DB11,CG11,BL11,AQ11,V11)/1,DATEDIF(CV11,'Cap Table'!$CX$60,"y"),0,-MAX(CX11,CC11,BH11,AM11,R11))/(MAX(DA11,CF11,BK11,AP11,U11,)/'Cap Table'!$CX$61),DK11),DK11),0)</f>
        <v>0</v>
      </c>
      <c r="DO11" s="147">
        <f t="shared" ca="1" si="38"/>
        <v>0</v>
      </c>
      <c r="DQ11" s="168">
        <f t="shared" ca="1" si="70"/>
        <v>45730</v>
      </c>
      <c r="DR11" s="168" t="str">
        <f t="shared" si="71"/>
        <v>Equity</v>
      </c>
      <c r="DS11" s="169">
        <v>0</v>
      </c>
      <c r="DT11" s="169">
        <f>IF('Cap Table'!DS$79&lt;&gt;"na",IF(CW11='Cap Table'!$B$40,CX11-CY11,0),0)</f>
        <v>0</v>
      </c>
      <c r="DU11" s="171">
        <f t="shared" si="86"/>
        <v>0</v>
      </c>
      <c r="DV11" s="169">
        <f t="shared" si="87"/>
        <v>0</v>
      </c>
      <c r="DW11" s="172">
        <f t="shared" si="88"/>
        <v>0</v>
      </c>
      <c r="DX11" s="170">
        <f ca="1">FV(DW11/1,DATEDIF(DQ11,'Cap Table'!DS$60,"y"),0,-DT11)</f>
        <v>0</v>
      </c>
      <c r="DY11" s="170">
        <f ca="1">IF('Cap Table'!DS$80="no",IFERROR(DX11/(1-DU11),0),IFERROR(DX11/(1-(MAX(DU11,('Cap Table'!DS$62-DV11/'Cap Table'!DS$61)/'Cap Table'!DS$62))),0))</f>
        <v>0</v>
      </c>
      <c r="DZ11" s="146">
        <f t="shared" ca="1" si="42"/>
        <v>0</v>
      </c>
      <c r="EA11" s="149">
        <f ca="1">IF(AND('Cap Table'!DS$62=0,DX11&gt;0),DV11/'Cap Table'!DS$61,IFERROR(IF(DV11=0,'Cap Table'!DS$62*(1-DU11),MIN('Cap Table'!DS$62*(1-DU11),DV11/'Cap Table'!DS$61)),0))</f>
        <v>0</v>
      </c>
      <c r="EB11" s="170">
        <f t="shared" ca="1" si="84"/>
        <v>0</v>
      </c>
      <c r="EC11" s="170">
        <v>0</v>
      </c>
      <c r="ED11" s="146">
        <f t="shared" ca="1" si="72"/>
        <v>0</v>
      </c>
      <c r="EE11" s="146">
        <f t="shared" si="43"/>
        <v>0</v>
      </c>
      <c r="EF11" s="146">
        <f t="shared" ca="1" si="73"/>
        <v>0</v>
      </c>
      <c r="EG11" s="147">
        <f t="shared" ca="1" si="44"/>
        <v>0</v>
      </c>
      <c r="EH11" s="146">
        <f ca="1">EF11*'Cap Table'!DS$62</f>
        <v>0</v>
      </c>
      <c r="EI11" s="173">
        <f ca="1">IFERROR(IF(OR(DR11='Cap Table'!$B$40,DR11='Cap Table'!$B$41,DR11='Cap Table'!$B$42),IF(SUM(DT11,CY11,CD11,BI11,AN11,S11)&lt;SUM(DS11,CX11,CC11,BH11,AM11,R11),FV(MAX(DW11,DB11,CG11,BL11,AQ11,V11)/1,DATEDIF(DQ11,'Cap Table'!DS$60,"y"),0,-MAX(DS11,CX11,CC11,BH11,AM11,R11))/(MAX(DV11,DA11,CF11,BK11,AP11,U11)/'Cap Table'!$DS$61),EF11),EF11),0)</f>
        <v>0</v>
      </c>
      <c r="EJ11" s="147">
        <f t="shared" ca="1" si="45"/>
        <v>0</v>
      </c>
      <c r="EL11" s="146">
        <f t="shared" si="74"/>
        <v>0</v>
      </c>
      <c r="EM11" s="146">
        <f t="shared" si="74"/>
        <v>0</v>
      </c>
      <c r="EN11" s="174" t="s">
        <v>27</v>
      </c>
      <c r="EO11" s="174" t="s">
        <v>27</v>
      </c>
      <c r="EP11" s="174" t="s">
        <v>27</v>
      </c>
      <c r="EQ11" s="146">
        <f t="shared" ca="1" si="75"/>
        <v>0</v>
      </c>
      <c r="ER11" s="146">
        <f t="shared" ca="1" si="75"/>
        <v>0</v>
      </c>
      <c r="ES11" s="146">
        <f t="shared" ca="1" si="75"/>
        <v>0</v>
      </c>
      <c r="ET11" s="149">
        <f t="shared" ca="1" si="89"/>
        <v>0</v>
      </c>
      <c r="EU11" s="146">
        <f t="shared" ca="1" si="76"/>
        <v>0</v>
      </c>
      <c r="EV11" s="146">
        <f t="shared" si="76"/>
        <v>0</v>
      </c>
      <c r="EW11" s="146">
        <f t="shared" ca="1" si="77"/>
        <v>0</v>
      </c>
      <c r="EX11" s="146">
        <f t="shared" si="77"/>
        <v>0</v>
      </c>
      <c r="EY11" s="146">
        <f t="shared" ca="1" si="77"/>
        <v>0</v>
      </c>
      <c r="EZ11" s="147">
        <f t="shared" ca="1" si="46"/>
        <v>0</v>
      </c>
      <c r="FA11" s="146">
        <f t="shared" ca="1" si="78"/>
        <v>0</v>
      </c>
      <c r="FB11" s="146">
        <f t="shared" ca="1" si="78"/>
        <v>0</v>
      </c>
      <c r="FC11" s="147">
        <f t="shared" ca="1" si="47"/>
        <v>0</v>
      </c>
      <c r="FE11" s="149" t="str">
        <f t="shared" si="0"/>
        <v>Common</v>
      </c>
      <c r="FF11" s="146">
        <f t="shared" ca="1" si="48"/>
        <v>0</v>
      </c>
      <c r="FG11" s="146">
        <f t="shared" ca="1" si="49"/>
        <v>0</v>
      </c>
      <c r="FH11" s="146">
        <f t="shared" ca="1" si="50"/>
        <v>0</v>
      </c>
      <c r="FJ11" s="146" t="str">
        <f t="shared" si="51"/>
        <v>Common</v>
      </c>
      <c r="FK11" s="174" t="str">
        <f t="shared" ca="1" si="52"/>
        <v>na</v>
      </c>
      <c r="FL11" s="174" t="str">
        <f t="shared" ca="1" si="52"/>
        <v>na</v>
      </c>
      <c r="FM11" s="174" t="str">
        <f t="shared" ca="1" si="53"/>
        <v>na</v>
      </c>
    </row>
    <row r="12" spans="2:169">
      <c r="B12" s="145" t="s">
        <v>27</v>
      </c>
      <c r="D12" s="167" t="s">
        <v>27</v>
      </c>
      <c r="E12" s="167" t="str">
        <f t="shared" si="54"/>
        <v>Common</v>
      </c>
      <c r="G12" s="168">
        <f t="shared" ca="1" si="1"/>
        <v>43538</v>
      </c>
      <c r="H12" s="289" t="str">
        <f t="shared" si="2"/>
        <v>Equity</v>
      </c>
      <c r="I12" s="169">
        <v>0</v>
      </c>
      <c r="J12" s="170">
        <v>0</v>
      </c>
      <c r="K12" s="170">
        <f t="shared" si="55"/>
        <v>0</v>
      </c>
      <c r="L12" s="147">
        <f t="shared" si="3"/>
        <v>0</v>
      </c>
      <c r="M12" s="170">
        <f t="shared" si="56"/>
        <v>0</v>
      </c>
      <c r="N12" s="147">
        <f t="shared" si="4"/>
        <v>0</v>
      </c>
      <c r="O12" s="147"/>
      <c r="P12" s="168">
        <f t="shared" ca="1" si="85"/>
        <v>43904</v>
      </c>
      <c r="Q12" s="289" t="str">
        <f t="shared" si="5"/>
        <v>Equity</v>
      </c>
      <c r="R12" s="169">
        <v>0</v>
      </c>
      <c r="S12" s="169">
        <v>0</v>
      </c>
      <c r="T12" s="171">
        <v>0</v>
      </c>
      <c r="U12" s="145">
        <v>0</v>
      </c>
      <c r="V12" s="172">
        <v>0</v>
      </c>
      <c r="W12" s="170">
        <f ca="1">FV(V12/1,DATEDIF(P12,'Cap Table'!R$60,"y"),0,-S12)</f>
        <v>0</v>
      </c>
      <c r="X12" s="170">
        <f t="shared" ca="1" si="6"/>
        <v>0</v>
      </c>
      <c r="Y12" s="146">
        <f t="shared" ca="1" si="7"/>
        <v>0</v>
      </c>
      <c r="Z12" s="149">
        <f ca="1">IF(AND('Cap Table'!R$62=0,W12&gt;0),U12/'Cap Table'!R$61,IFERROR(IF(U12=0,'Cap Table'!R$62*(1-T12),MIN('Cap Table'!R$62*(1-T12),U12/'Cap Table'!R$61)),0))</f>
        <v>0</v>
      </c>
      <c r="AA12" s="170">
        <f t="shared" ca="1" si="79"/>
        <v>0</v>
      </c>
      <c r="AB12" s="170">
        <v>0</v>
      </c>
      <c r="AC12" s="146">
        <f t="shared" ca="1" si="8"/>
        <v>0</v>
      </c>
      <c r="AD12" s="146">
        <f t="shared" si="8"/>
        <v>0</v>
      </c>
      <c r="AE12" s="146">
        <f t="shared" ca="1" si="57"/>
        <v>0</v>
      </c>
      <c r="AF12" s="147">
        <f t="shared" ca="1" si="9"/>
        <v>0</v>
      </c>
      <c r="AG12" s="146">
        <f ca="1">AE12*'Cap Table'!R$62</f>
        <v>0</v>
      </c>
      <c r="AH12" s="146">
        <f ca="1">IFERROR(IF(OR(Q12='Cap Table'!$B$40,Q12='Cap Table'!$B$41,Q12='Cap Table'!$B$42),IF(SUM(S12)&lt;SUM(R12),(FV(V12/1,DATEDIF(P12,'Cap Table'!R$60,"y"),0,-R12))/(U12/'Cap Table'!$R$61),AE12),AE12),0)</f>
        <v>0</v>
      </c>
      <c r="AI12" s="147">
        <f t="shared" ca="1" si="10"/>
        <v>0</v>
      </c>
      <c r="AK12" s="168">
        <f t="shared" ca="1" si="58"/>
        <v>44269</v>
      </c>
      <c r="AL12" s="168" t="str">
        <f t="shared" si="59"/>
        <v>Equity</v>
      </c>
      <c r="AM12" s="169">
        <v>0</v>
      </c>
      <c r="AN12" s="169">
        <f>IF('Cap Table'!AM$79&lt;&gt;"na",IF(Q12='Cap Table'!$B$40,R12-S12,0),0)</f>
        <v>0</v>
      </c>
      <c r="AO12" s="171">
        <f t="shared" si="11"/>
        <v>0</v>
      </c>
      <c r="AP12" s="169">
        <f t="shared" si="12"/>
        <v>0</v>
      </c>
      <c r="AQ12" s="172">
        <f t="shared" si="13"/>
        <v>0</v>
      </c>
      <c r="AR12" s="170">
        <f ca="1">FV(AQ12/1,DATEDIF(AK12,'Cap Table'!AM$60,"y"),0,-AN12)</f>
        <v>0</v>
      </c>
      <c r="AS12" s="170">
        <f ca="1">IF('Cap Table'!AM$80="no",IFERROR(AR12/(1-AO12),0),IFERROR(AR12/(1-(MAX(AO12,('Cap Table'!AM$62-AP12/'Cap Table'!AM$61)/'Cap Table'!AM$62))),0))</f>
        <v>0</v>
      </c>
      <c r="AT12" s="146">
        <f t="shared" ca="1" si="14"/>
        <v>0</v>
      </c>
      <c r="AU12" s="149">
        <f ca="1">IF(AND('Cap Table'!AM$62=0,AR12&gt;0),AP12/'Cap Table'!AM$61,IFERROR(IF(AP12=0,'Cap Table'!AM$62*(1-AO12),MIN('Cap Table'!AM$62*(1-AO12),AP12/'Cap Table'!AM$61)),0))</f>
        <v>0</v>
      </c>
      <c r="AV12" s="170">
        <f t="shared" ca="1" si="80"/>
        <v>0</v>
      </c>
      <c r="AW12" s="170">
        <v>0</v>
      </c>
      <c r="AX12" s="146">
        <f t="shared" ca="1" si="15"/>
        <v>0</v>
      </c>
      <c r="AY12" s="146">
        <f t="shared" si="15"/>
        <v>0</v>
      </c>
      <c r="AZ12" s="146">
        <f t="shared" ca="1" si="60"/>
        <v>0</v>
      </c>
      <c r="BA12" s="147">
        <f t="shared" ca="1" si="16"/>
        <v>0</v>
      </c>
      <c r="BB12" s="146">
        <f ca="1">AZ12*'Cap Table'!AM$62</f>
        <v>0</v>
      </c>
      <c r="BC12" s="173">
        <f ca="1">IFERROR(IF(OR(AL12='Cap Table'!$B$40,AL12='Cap Table'!$B$41,AL12='Cap Table'!$B$42),IF(SUM(AN12,S12)&lt;SUM(AM12,R12),FV(MAX(AQ12,V12)/1,DATEDIF(AK12,'Cap Table'!$AM$60,"y"),0,-MAX(AM12,R12))/(MAX(AP12,U12)/'Cap Table'!$AM$61),AZ12),AZ12),0)</f>
        <v>0</v>
      </c>
      <c r="BD12" s="147">
        <f t="shared" ca="1" si="17"/>
        <v>0</v>
      </c>
      <c r="BF12" s="168">
        <f t="shared" ca="1" si="61"/>
        <v>44634</v>
      </c>
      <c r="BG12" s="168" t="str">
        <f t="shared" si="62"/>
        <v>Equity</v>
      </c>
      <c r="BH12" s="169">
        <v>0</v>
      </c>
      <c r="BI12" s="169">
        <f>IF('Cap Table'!BH$79&lt;&gt;"na",IF(AL12='Cap Table'!$B$40,AM12-AN12,0),0)</f>
        <v>0</v>
      </c>
      <c r="BJ12" s="171">
        <f t="shared" si="18"/>
        <v>0</v>
      </c>
      <c r="BK12" s="169">
        <f t="shared" si="19"/>
        <v>0</v>
      </c>
      <c r="BL12" s="172">
        <f t="shared" si="20"/>
        <v>0</v>
      </c>
      <c r="BM12" s="170">
        <f ca="1">FV(BL12/1,DATEDIF(BF12,'Cap Table'!BH$60,"y"),0,-BI12)</f>
        <v>0</v>
      </c>
      <c r="BN12" s="170">
        <f ca="1">IF('Cap Table'!BH$80="no",IFERROR(BM12/(1-BJ12),0),IFERROR(BM12/(1-(MAX(BJ12,('Cap Table'!BH$62-BK12/'Cap Table'!BH$61)/'Cap Table'!BH$62))),0))</f>
        <v>0</v>
      </c>
      <c r="BO12" s="146">
        <f t="shared" ca="1" si="21"/>
        <v>0</v>
      </c>
      <c r="BP12" s="149">
        <f ca="1">IF(AND('Cap Table'!BH$62=0,BM12&gt;0),BK12/'Cap Table'!BH$61,IFERROR(IF(BK12=0,'Cap Table'!BH$62*(1-BJ12),MIN('Cap Table'!BH$62*(1-BJ12),BK12/'Cap Table'!BH$61)),0))</f>
        <v>0</v>
      </c>
      <c r="BQ12" s="170">
        <f t="shared" ca="1" si="81"/>
        <v>0</v>
      </c>
      <c r="BR12" s="170">
        <v>0</v>
      </c>
      <c r="BS12" s="146">
        <f t="shared" ca="1" si="22"/>
        <v>0</v>
      </c>
      <c r="BT12" s="146">
        <f t="shared" si="22"/>
        <v>0</v>
      </c>
      <c r="BU12" s="146">
        <f t="shared" ca="1" si="63"/>
        <v>0</v>
      </c>
      <c r="BV12" s="147">
        <f t="shared" ca="1" si="23"/>
        <v>0</v>
      </c>
      <c r="BW12" s="146">
        <f ca="1">BU12*'Cap Table'!BH$62</f>
        <v>0</v>
      </c>
      <c r="BX12" s="173">
        <f ca="1">IFERROR(IF(OR(BG12='Cap Table'!$B$40,BG12='Cap Table'!$B$41,BG12='Cap Table'!$B$42),IF(SUM(BI12,AN12,S12)&lt;SUM(BH12,AM12,R12),FV(MAX(BL12,AQ12,V12)/1,DATEDIF(BF12,'Cap Table'!$BH$60,"y"),0,-MAX(BH12,AM12,R12))/(MAX(BK12,AP12,U12)/'Cap Table'!$BH$61),BU12),BU12),0)</f>
        <v>0</v>
      </c>
      <c r="BY12" s="147">
        <f t="shared" ca="1" si="24"/>
        <v>0</v>
      </c>
      <c r="CA12" s="168">
        <f t="shared" ca="1" si="64"/>
        <v>44999</v>
      </c>
      <c r="CB12" s="168" t="str">
        <f t="shared" si="65"/>
        <v>Equity</v>
      </c>
      <c r="CC12" s="169">
        <v>0</v>
      </c>
      <c r="CD12" s="169">
        <f>IF('Cap Table'!CC$79&lt;&gt;"na",IF(BG12='Cap Table'!$B$40,BH12-BI12,0),0)</f>
        <v>0</v>
      </c>
      <c r="CE12" s="171">
        <f t="shared" si="25"/>
        <v>0</v>
      </c>
      <c r="CF12" s="169">
        <f t="shared" si="26"/>
        <v>0</v>
      </c>
      <c r="CG12" s="172">
        <f t="shared" si="27"/>
        <v>0</v>
      </c>
      <c r="CH12" s="170">
        <f ca="1">FV(CG12/1,DATEDIF(CA12,'Cap Table'!CC$60,"y"),0,-CD12)</f>
        <v>0</v>
      </c>
      <c r="CI12" s="170">
        <f ca="1">IF('Cap Table'!CC$80="no",IFERROR(CH12/(1-CE12),0),IFERROR(CH12/(1-(MAX(CE12,('Cap Table'!CC$62-CF12/'Cap Table'!CC$61)/'Cap Table'!CC$62))),0))</f>
        <v>0</v>
      </c>
      <c r="CJ12" s="146">
        <f t="shared" ca="1" si="28"/>
        <v>0</v>
      </c>
      <c r="CK12" s="149">
        <f ca="1">IF(AND('Cap Table'!CC$62=0,CH12&gt;0),CF12/'Cap Table'!CC$61,IFERROR(IF(CF12=0,'Cap Table'!CC$62*(1-CE12),MIN('Cap Table'!CC$62*(1-CE12),CF12/'Cap Table'!CC$61)),0))</f>
        <v>0</v>
      </c>
      <c r="CL12" s="170">
        <f t="shared" ca="1" si="82"/>
        <v>0</v>
      </c>
      <c r="CM12" s="170">
        <v>0</v>
      </c>
      <c r="CN12" s="146">
        <f t="shared" ca="1" si="29"/>
        <v>0</v>
      </c>
      <c r="CO12" s="146">
        <f t="shared" si="29"/>
        <v>0</v>
      </c>
      <c r="CP12" s="146">
        <f t="shared" ca="1" si="66"/>
        <v>0</v>
      </c>
      <c r="CQ12" s="147">
        <f t="shared" ca="1" si="30"/>
        <v>0</v>
      </c>
      <c r="CR12" s="146">
        <f ca="1">CP12*'Cap Table'!CC$62</f>
        <v>0</v>
      </c>
      <c r="CS12" s="173">
        <f ca="1">IFERROR(IF(OR(CB12='Cap Table'!$B$40,CB12='Cap Table'!$B$41,CB12='Cap Table'!$B$42),IF(SUM(CD12,BI12,AN12,S12)&lt;SUM(CC12,BH12,AM12,R12),FV(MAX(CG12,BL12,AQ12,V12)/1,DATEDIF(CA12,'Cap Table'!$CC$60,"y"),0,-MAX(CC12,BH12,AM12,R12))/(MAX(CF12,BK12,AP12,U12)/'Cap Table'!$CC$61),CP12),CP12),0)</f>
        <v>0</v>
      </c>
      <c r="CT12" s="147">
        <f t="shared" ca="1" si="31"/>
        <v>0</v>
      </c>
      <c r="CV12" s="168">
        <f t="shared" ca="1" si="67"/>
        <v>45365</v>
      </c>
      <c r="CW12" s="168" t="str">
        <f t="shared" si="68"/>
        <v>Equity</v>
      </c>
      <c r="CX12" s="169">
        <v>0</v>
      </c>
      <c r="CY12" s="169">
        <f>IF('Cap Table'!CX$79&lt;&gt;"na",IF(CB12='Cap Table'!$B$40,CC12-CD12,0),0)</f>
        <v>0</v>
      </c>
      <c r="CZ12" s="171">
        <f t="shared" si="32"/>
        <v>0</v>
      </c>
      <c r="DA12" s="169">
        <f t="shared" si="33"/>
        <v>0</v>
      </c>
      <c r="DB12" s="172">
        <f t="shared" si="34"/>
        <v>0</v>
      </c>
      <c r="DC12" s="170">
        <f ca="1">FV(DB12/1,DATEDIF(CV12,'Cap Table'!CX$60,"y"),0,-CY12)</f>
        <v>0</v>
      </c>
      <c r="DD12" s="170">
        <f ca="1">IF('Cap Table'!CX$80="no",IFERROR(DC12/(1-CZ12),0),IFERROR(DC12/(1-(MAX(CZ12,('Cap Table'!CX$62-DA12/'Cap Table'!CX$61)/'Cap Table'!CX$62))),0))</f>
        <v>0</v>
      </c>
      <c r="DE12" s="146">
        <f t="shared" ca="1" si="35"/>
        <v>0</v>
      </c>
      <c r="DF12" s="149">
        <f ca="1">IF(AND('Cap Table'!CX$62=0,DC12&gt;0),DA12/'Cap Table'!CX$61,IFERROR(IF(DA12=0,'Cap Table'!CX$62*(1-CZ12),MIN('Cap Table'!CX$62*(1-CZ12),DA12/'Cap Table'!CX$61)),0))</f>
        <v>0</v>
      </c>
      <c r="DG12" s="170">
        <f t="shared" ca="1" si="83"/>
        <v>0</v>
      </c>
      <c r="DH12" s="170">
        <v>0</v>
      </c>
      <c r="DI12" s="146">
        <f t="shared" ca="1" si="36"/>
        <v>0</v>
      </c>
      <c r="DJ12" s="146">
        <f t="shared" si="36"/>
        <v>0</v>
      </c>
      <c r="DK12" s="146">
        <f t="shared" ca="1" si="69"/>
        <v>0</v>
      </c>
      <c r="DL12" s="147">
        <f t="shared" ca="1" si="37"/>
        <v>0</v>
      </c>
      <c r="DM12" s="146">
        <f ca="1">DK12*'Cap Table'!CX$62</f>
        <v>0</v>
      </c>
      <c r="DN12" s="173">
        <f ca="1">IFERROR(IF(OR(CW12='Cap Table'!$B$40,CW12='Cap Table'!$B$41,CW12='Cap Table'!$B$42),IF(SUM(CY12,CD12,BI12,AN12,S12,)&lt;SUM(CX12,CC12,BH12,AM12,R12),FV(MAX(DB12,CG12,BL12,AQ12,V12)/1,DATEDIF(CV12,'Cap Table'!$CX$60,"y"),0,-MAX(CX12,CC12,BH12,AM12,R12))/(MAX(DA12,CF12,BK12,AP12,U12,)/'Cap Table'!$CX$61),DK12),DK12),0)</f>
        <v>0</v>
      </c>
      <c r="DO12" s="147">
        <f t="shared" ca="1" si="38"/>
        <v>0</v>
      </c>
      <c r="DQ12" s="168">
        <f t="shared" ca="1" si="70"/>
        <v>45730</v>
      </c>
      <c r="DR12" s="168" t="str">
        <f t="shared" si="71"/>
        <v>Equity</v>
      </c>
      <c r="DS12" s="169">
        <v>0</v>
      </c>
      <c r="DT12" s="169">
        <f>IF('Cap Table'!DS$79&lt;&gt;"na",IF(CW12='Cap Table'!$B$40,CX12-CY12,0),0)</f>
        <v>0</v>
      </c>
      <c r="DU12" s="171">
        <f t="shared" si="86"/>
        <v>0</v>
      </c>
      <c r="DV12" s="169">
        <f t="shared" si="87"/>
        <v>0</v>
      </c>
      <c r="DW12" s="172">
        <f t="shared" si="88"/>
        <v>0</v>
      </c>
      <c r="DX12" s="170">
        <f ca="1">FV(DW12/1,DATEDIF(DQ12,'Cap Table'!DS$60,"y"),0,-DT12)</f>
        <v>0</v>
      </c>
      <c r="DY12" s="170">
        <f ca="1">IF('Cap Table'!DS$80="no",IFERROR(DX12/(1-DU12),0),IFERROR(DX12/(1-(MAX(DU12,('Cap Table'!DS$62-DV12/'Cap Table'!DS$61)/'Cap Table'!DS$62))),0))</f>
        <v>0</v>
      </c>
      <c r="DZ12" s="146">
        <f t="shared" ca="1" si="42"/>
        <v>0</v>
      </c>
      <c r="EA12" s="149">
        <f ca="1">IF(AND('Cap Table'!DS$62=0,DX12&gt;0),DV12/'Cap Table'!DS$61,IFERROR(IF(DV12=0,'Cap Table'!DS$62*(1-DU12),MIN('Cap Table'!DS$62*(1-DU12),DV12/'Cap Table'!DS$61)),0))</f>
        <v>0</v>
      </c>
      <c r="EB12" s="170">
        <f t="shared" ca="1" si="84"/>
        <v>0</v>
      </c>
      <c r="EC12" s="170">
        <v>0</v>
      </c>
      <c r="ED12" s="146">
        <f t="shared" ca="1" si="72"/>
        <v>0</v>
      </c>
      <c r="EE12" s="146">
        <f t="shared" si="43"/>
        <v>0</v>
      </c>
      <c r="EF12" s="146">
        <f t="shared" ca="1" si="73"/>
        <v>0</v>
      </c>
      <c r="EG12" s="147">
        <f t="shared" ca="1" si="44"/>
        <v>0</v>
      </c>
      <c r="EH12" s="146">
        <f ca="1">EF12*'Cap Table'!DS$62</f>
        <v>0</v>
      </c>
      <c r="EI12" s="173">
        <f ca="1">IFERROR(IF(OR(DR12='Cap Table'!$B$40,DR12='Cap Table'!$B$41,DR12='Cap Table'!$B$42),IF(SUM(DT12,CY12,CD12,BI12,AN12,S12)&lt;SUM(DS12,CX12,CC12,BH12,AM12,R12),FV(MAX(DW12,DB12,CG12,BL12,AQ12,V12)/1,DATEDIF(DQ12,'Cap Table'!DS$60,"y"),0,-MAX(DS12,CX12,CC12,BH12,AM12,R12))/(MAX(DV12,DA12,CF12,BK12,AP12,U12)/'Cap Table'!$DS$61),EF12),EF12),0)</f>
        <v>0</v>
      </c>
      <c r="EJ12" s="147">
        <f t="shared" ca="1" si="45"/>
        <v>0</v>
      </c>
      <c r="EL12" s="146">
        <f t="shared" si="74"/>
        <v>0</v>
      </c>
      <c r="EM12" s="146">
        <f t="shared" si="74"/>
        <v>0</v>
      </c>
      <c r="EN12" s="174" t="s">
        <v>27</v>
      </c>
      <c r="EO12" s="174" t="s">
        <v>27</v>
      </c>
      <c r="EP12" s="174" t="s">
        <v>27</v>
      </c>
      <c r="EQ12" s="146">
        <f t="shared" ca="1" si="75"/>
        <v>0</v>
      </c>
      <c r="ER12" s="146">
        <f t="shared" ca="1" si="75"/>
        <v>0</v>
      </c>
      <c r="ES12" s="146">
        <f t="shared" ca="1" si="75"/>
        <v>0</v>
      </c>
      <c r="ET12" s="149">
        <f t="shared" ca="1" si="89"/>
        <v>0</v>
      </c>
      <c r="EU12" s="146">
        <f t="shared" ca="1" si="76"/>
        <v>0</v>
      </c>
      <c r="EV12" s="146">
        <f t="shared" si="76"/>
        <v>0</v>
      </c>
      <c r="EW12" s="146">
        <f t="shared" ca="1" si="77"/>
        <v>0</v>
      </c>
      <c r="EX12" s="146">
        <f t="shared" si="77"/>
        <v>0</v>
      </c>
      <c r="EY12" s="146">
        <f t="shared" ca="1" si="77"/>
        <v>0</v>
      </c>
      <c r="EZ12" s="147">
        <f t="shared" ca="1" si="46"/>
        <v>0</v>
      </c>
      <c r="FA12" s="146">
        <f t="shared" ca="1" si="78"/>
        <v>0</v>
      </c>
      <c r="FB12" s="146">
        <f t="shared" ca="1" si="78"/>
        <v>0</v>
      </c>
      <c r="FC12" s="147">
        <f t="shared" ca="1" si="47"/>
        <v>0</v>
      </c>
      <c r="FE12" s="149" t="str">
        <f t="shared" si="0"/>
        <v>Common</v>
      </c>
      <c r="FF12" s="146">
        <f t="shared" ca="1" si="48"/>
        <v>0</v>
      </c>
      <c r="FG12" s="146">
        <f t="shared" ca="1" si="49"/>
        <v>0</v>
      </c>
      <c r="FH12" s="146">
        <f t="shared" ca="1" si="50"/>
        <v>0</v>
      </c>
      <c r="FJ12" s="146" t="str">
        <f t="shared" si="51"/>
        <v>Common</v>
      </c>
      <c r="FK12" s="174" t="str">
        <f t="shared" ca="1" si="52"/>
        <v>na</v>
      </c>
      <c r="FL12" s="174" t="str">
        <f t="shared" ca="1" si="52"/>
        <v>na</v>
      </c>
      <c r="FM12" s="174" t="str">
        <f t="shared" ca="1" si="53"/>
        <v>na</v>
      </c>
    </row>
    <row r="13" spans="2:169">
      <c r="B13" s="145" t="s">
        <v>27</v>
      </c>
      <c r="D13" s="167" t="s">
        <v>27</v>
      </c>
      <c r="E13" s="167" t="str">
        <f t="shared" si="54"/>
        <v>Common</v>
      </c>
      <c r="G13" s="168">
        <f t="shared" ca="1" si="1"/>
        <v>43538</v>
      </c>
      <c r="H13" s="289" t="str">
        <f t="shared" si="2"/>
        <v>Equity</v>
      </c>
      <c r="I13" s="169">
        <v>0</v>
      </c>
      <c r="J13" s="170">
        <v>0</v>
      </c>
      <c r="K13" s="170">
        <f t="shared" si="55"/>
        <v>0</v>
      </c>
      <c r="L13" s="147">
        <f t="shared" si="3"/>
        <v>0</v>
      </c>
      <c r="M13" s="170">
        <f t="shared" si="56"/>
        <v>0</v>
      </c>
      <c r="N13" s="147">
        <f t="shared" si="4"/>
        <v>0</v>
      </c>
      <c r="O13" s="147"/>
      <c r="P13" s="168">
        <f t="shared" ca="1" si="85"/>
        <v>43904</v>
      </c>
      <c r="Q13" s="289" t="str">
        <f t="shared" si="5"/>
        <v>Equity</v>
      </c>
      <c r="R13" s="169">
        <v>0</v>
      </c>
      <c r="S13" s="169">
        <v>0</v>
      </c>
      <c r="T13" s="171">
        <v>0</v>
      </c>
      <c r="U13" s="145">
        <v>0</v>
      </c>
      <c r="V13" s="172">
        <v>0</v>
      </c>
      <c r="W13" s="170">
        <f ca="1">FV(V13/1,DATEDIF(P13,'Cap Table'!R$60,"y"),0,-S13)</f>
        <v>0</v>
      </c>
      <c r="X13" s="170">
        <f t="shared" ca="1" si="6"/>
        <v>0</v>
      </c>
      <c r="Y13" s="146">
        <f t="shared" ca="1" si="7"/>
        <v>0</v>
      </c>
      <c r="Z13" s="149">
        <f ca="1">IF(AND('Cap Table'!R$62=0,W13&gt;0),U13/'Cap Table'!R$61,IFERROR(IF(U13=0,'Cap Table'!R$62*(1-T13),MIN('Cap Table'!R$62*(1-T13),U13/'Cap Table'!R$61)),0))</f>
        <v>0</v>
      </c>
      <c r="AA13" s="170">
        <f t="shared" ca="1" si="79"/>
        <v>0</v>
      </c>
      <c r="AB13" s="170">
        <v>0</v>
      </c>
      <c r="AC13" s="146">
        <f t="shared" ca="1" si="8"/>
        <v>0</v>
      </c>
      <c r="AD13" s="146">
        <f t="shared" si="8"/>
        <v>0</v>
      </c>
      <c r="AE13" s="146">
        <f t="shared" ca="1" si="57"/>
        <v>0</v>
      </c>
      <c r="AF13" s="147">
        <f t="shared" ca="1" si="9"/>
        <v>0</v>
      </c>
      <c r="AG13" s="146">
        <f ca="1">AE13*'Cap Table'!R$62</f>
        <v>0</v>
      </c>
      <c r="AH13" s="146">
        <f ca="1">IFERROR(IF(OR(Q13='Cap Table'!$B$40,Q13='Cap Table'!$B$41,Q13='Cap Table'!$B$42),IF(SUM(S13)&lt;SUM(R13),(FV(V13/1,DATEDIF(P13,'Cap Table'!R$60,"y"),0,-R13))/(U13/'Cap Table'!$R$61),AE13),AE13),0)</f>
        <v>0</v>
      </c>
      <c r="AI13" s="147">
        <f t="shared" ca="1" si="10"/>
        <v>0</v>
      </c>
      <c r="AK13" s="168">
        <f t="shared" ca="1" si="58"/>
        <v>44269</v>
      </c>
      <c r="AL13" s="168" t="str">
        <f t="shared" si="59"/>
        <v>Equity</v>
      </c>
      <c r="AM13" s="169">
        <v>0</v>
      </c>
      <c r="AN13" s="169">
        <f>IF('Cap Table'!AM$79&lt;&gt;"na",IF(Q13='Cap Table'!$B$40,R13-S13,0),0)</f>
        <v>0</v>
      </c>
      <c r="AO13" s="171">
        <f t="shared" si="11"/>
        <v>0</v>
      </c>
      <c r="AP13" s="169">
        <f t="shared" si="12"/>
        <v>0</v>
      </c>
      <c r="AQ13" s="172">
        <f t="shared" si="13"/>
        <v>0</v>
      </c>
      <c r="AR13" s="170">
        <f ca="1">FV(AQ13/1,DATEDIF(AK13,'Cap Table'!AM$60,"y"),0,-AN13)</f>
        <v>0</v>
      </c>
      <c r="AS13" s="170">
        <f ca="1">IF('Cap Table'!AM$80="no",IFERROR(AR13/(1-AO13),0),IFERROR(AR13/(1-(MAX(AO13,('Cap Table'!AM$62-AP13/'Cap Table'!AM$61)/'Cap Table'!AM$62))),0))</f>
        <v>0</v>
      </c>
      <c r="AT13" s="146">
        <f t="shared" ca="1" si="14"/>
        <v>0</v>
      </c>
      <c r="AU13" s="149">
        <f ca="1">IF(AND('Cap Table'!AM$62=0,AR13&gt;0),AP13/'Cap Table'!AM$61,IFERROR(IF(AP13=0,'Cap Table'!AM$62*(1-AO13),MIN('Cap Table'!AM$62*(1-AO13),AP13/'Cap Table'!AM$61)),0))</f>
        <v>0</v>
      </c>
      <c r="AV13" s="170">
        <f t="shared" ca="1" si="80"/>
        <v>0</v>
      </c>
      <c r="AW13" s="170">
        <v>0</v>
      </c>
      <c r="AX13" s="146">
        <f t="shared" ca="1" si="15"/>
        <v>0</v>
      </c>
      <c r="AY13" s="146">
        <f t="shared" si="15"/>
        <v>0</v>
      </c>
      <c r="AZ13" s="146">
        <f t="shared" ca="1" si="60"/>
        <v>0</v>
      </c>
      <c r="BA13" s="147">
        <f t="shared" ca="1" si="16"/>
        <v>0</v>
      </c>
      <c r="BB13" s="146">
        <f ca="1">AZ13*'Cap Table'!AM$62</f>
        <v>0</v>
      </c>
      <c r="BC13" s="173">
        <f ca="1">IFERROR(IF(OR(AL13='Cap Table'!$B$40,AL13='Cap Table'!$B$41,AL13='Cap Table'!$B$42),IF(SUM(AN13,S13)&lt;SUM(AM13,R13),FV(MAX(AQ13,V13)/1,DATEDIF(AK13,'Cap Table'!$AM$60,"y"),0,-MAX(AM13,R13))/(MAX(AP13,U13)/'Cap Table'!$AM$61),AZ13),AZ13),0)</f>
        <v>0</v>
      </c>
      <c r="BD13" s="147">
        <f t="shared" ca="1" si="17"/>
        <v>0</v>
      </c>
      <c r="BF13" s="168">
        <f t="shared" ca="1" si="61"/>
        <v>44634</v>
      </c>
      <c r="BG13" s="168" t="str">
        <f t="shared" si="62"/>
        <v>Equity</v>
      </c>
      <c r="BH13" s="169">
        <v>0</v>
      </c>
      <c r="BI13" s="169">
        <f>IF('Cap Table'!BH$79&lt;&gt;"na",IF(AL13='Cap Table'!$B$40,AM13-AN13,0),0)</f>
        <v>0</v>
      </c>
      <c r="BJ13" s="171">
        <f t="shared" si="18"/>
        <v>0</v>
      </c>
      <c r="BK13" s="169">
        <f t="shared" si="19"/>
        <v>0</v>
      </c>
      <c r="BL13" s="172">
        <f t="shared" si="20"/>
        <v>0</v>
      </c>
      <c r="BM13" s="170">
        <f ca="1">FV(BL13/1,DATEDIF(BF13,'Cap Table'!BH$60,"y"),0,-BI13)</f>
        <v>0</v>
      </c>
      <c r="BN13" s="170">
        <f ca="1">IF('Cap Table'!BH$80="no",IFERROR(BM13/(1-BJ13),0),IFERROR(BM13/(1-(MAX(BJ13,('Cap Table'!BH$62-BK13/'Cap Table'!BH$61)/'Cap Table'!BH$62))),0))</f>
        <v>0</v>
      </c>
      <c r="BO13" s="146">
        <f t="shared" ca="1" si="21"/>
        <v>0</v>
      </c>
      <c r="BP13" s="149">
        <f ca="1">IF(AND('Cap Table'!BH$62=0,BM13&gt;0),BK13/'Cap Table'!BH$61,IFERROR(IF(BK13=0,'Cap Table'!BH$62*(1-BJ13),MIN('Cap Table'!BH$62*(1-BJ13),BK13/'Cap Table'!BH$61)),0))</f>
        <v>0</v>
      </c>
      <c r="BQ13" s="170">
        <f t="shared" ca="1" si="81"/>
        <v>0</v>
      </c>
      <c r="BR13" s="170">
        <v>0</v>
      </c>
      <c r="BS13" s="146">
        <f t="shared" ca="1" si="22"/>
        <v>0</v>
      </c>
      <c r="BT13" s="146">
        <f t="shared" si="22"/>
        <v>0</v>
      </c>
      <c r="BU13" s="146">
        <f t="shared" ca="1" si="63"/>
        <v>0</v>
      </c>
      <c r="BV13" s="147">
        <f t="shared" ca="1" si="23"/>
        <v>0</v>
      </c>
      <c r="BW13" s="146">
        <f ca="1">BU13*'Cap Table'!BH$62</f>
        <v>0</v>
      </c>
      <c r="BX13" s="173">
        <f ca="1">IFERROR(IF(OR(BG13='Cap Table'!$B$40,BG13='Cap Table'!$B$41,BG13='Cap Table'!$B$42),IF(SUM(BI13,AN13,S13)&lt;SUM(BH13,AM13,R13),FV(MAX(BL13,AQ13,V13)/1,DATEDIF(BF13,'Cap Table'!$BH$60,"y"),0,-MAX(BH13,AM13,R13))/(MAX(BK13,AP13,U13)/'Cap Table'!$BH$61),BU13),BU13),0)</f>
        <v>0</v>
      </c>
      <c r="BY13" s="147">
        <f t="shared" ca="1" si="24"/>
        <v>0</v>
      </c>
      <c r="CA13" s="168">
        <f t="shared" ca="1" si="64"/>
        <v>44999</v>
      </c>
      <c r="CB13" s="168" t="str">
        <f t="shared" si="65"/>
        <v>Equity</v>
      </c>
      <c r="CC13" s="169">
        <v>0</v>
      </c>
      <c r="CD13" s="169">
        <f>IF('Cap Table'!CC$79&lt;&gt;"na",IF(BG13='Cap Table'!$B$40,BH13-BI13,0),0)</f>
        <v>0</v>
      </c>
      <c r="CE13" s="171">
        <f t="shared" si="25"/>
        <v>0</v>
      </c>
      <c r="CF13" s="169">
        <f t="shared" si="26"/>
        <v>0</v>
      </c>
      <c r="CG13" s="172">
        <f t="shared" si="27"/>
        <v>0</v>
      </c>
      <c r="CH13" s="170">
        <f ca="1">FV(CG13/1,DATEDIF(CA13,'Cap Table'!CC$60,"y"),0,-CD13)</f>
        <v>0</v>
      </c>
      <c r="CI13" s="170">
        <f ca="1">IF('Cap Table'!CC$80="no",IFERROR(CH13/(1-CE13),0),IFERROR(CH13/(1-(MAX(CE13,('Cap Table'!CC$62-CF13/'Cap Table'!CC$61)/'Cap Table'!CC$62))),0))</f>
        <v>0</v>
      </c>
      <c r="CJ13" s="146">
        <f t="shared" ca="1" si="28"/>
        <v>0</v>
      </c>
      <c r="CK13" s="149">
        <f ca="1">IF(AND('Cap Table'!CC$62=0,CH13&gt;0),CF13/'Cap Table'!CC$61,IFERROR(IF(CF13=0,'Cap Table'!CC$62*(1-CE13),MIN('Cap Table'!CC$62*(1-CE13),CF13/'Cap Table'!CC$61)),0))</f>
        <v>0</v>
      </c>
      <c r="CL13" s="170">
        <f t="shared" ca="1" si="82"/>
        <v>0</v>
      </c>
      <c r="CM13" s="170">
        <v>0</v>
      </c>
      <c r="CN13" s="146">
        <f t="shared" ca="1" si="29"/>
        <v>0</v>
      </c>
      <c r="CO13" s="146">
        <f t="shared" si="29"/>
        <v>0</v>
      </c>
      <c r="CP13" s="146">
        <f t="shared" ca="1" si="66"/>
        <v>0</v>
      </c>
      <c r="CQ13" s="147">
        <f t="shared" ca="1" si="30"/>
        <v>0</v>
      </c>
      <c r="CR13" s="146">
        <f ca="1">CP13*'Cap Table'!CC$62</f>
        <v>0</v>
      </c>
      <c r="CS13" s="173">
        <f ca="1">IFERROR(IF(OR(CB13='Cap Table'!$B$40,CB13='Cap Table'!$B$41,CB13='Cap Table'!$B$42),IF(SUM(CD13,BI13,AN13,S13)&lt;SUM(CC13,BH13,AM13,R13),FV(MAX(CG13,BL13,AQ13,V13)/1,DATEDIF(CA13,'Cap Table'!$CC$60,"y"),0,-MAX(CC13,BH13,AM13,R13))/(MAX(CF13,BK13,AP13,U13)/'Cap Table'!$CC$61),CP13),CP13),0)</f>
        <v>0</v>
      </c>
      <c r="CT13" s="147">
        <f t="shared" ca="1" si="31"/>
        <v>0</v>
      </c>
      <c r="CV13" s="168">
        <f t="shared" ca="1" si="67"/>
        <v>45365</v>
      </c>
      <c r="CW13" s="168" t="str">
        <f t="shared" si="68"/>
        <v>Equity</v>
      </c>
      <c r="CX13" s="169">
        <v>0</v>
      </c>
      <c r="CY13" s="169">
        <f>IF('Cap Table'!CX$79&lt;&gt;"na",IF(CB13='Cap Table'!$B$40,CC13-CD13,0),0)</f>
        <v>0</v>
      </c>
      <c r="CZ13" s="171">
        <f t="shared" si="32"/>
        <v>0</v>
      </c>
      <c r="DA13" s="169">
        <f t="shared" si="33"/>
        <v>0</v>
      </c>
      <c r="DB13" s="172">
        <f t="shared" si="34"/>
        <v>0</v>
      </c>
      <c r="DC13" s="170">
        <f ca="1">FV(DB13/1,DATEDIF(CV13,'Cap Table'!CX$60,"y"),0,-CY13)</f>
        <v>0</v>
      </c>
      <c r="DD13" s="170">
        <f ca="1">IF('Cap Table'!CX$80="no",IFERROR(DC13/(1-CZ13),0),IFERROR(DC13/(1-(MAX(CZ13,('Cap Table'!CX$62-DA13/'Cap Table'!CX$61)/'Cap Table'!CX$62))),0))</f>
        <v>0</v>
      </c>
      <c r="DE13" s="146">
        <f t="shared" ca="1" si="35"/>
        <v>0</v>
      </c>
      <c r="DF13" s="149">
        <f ca="1">IF(AND('Cap Table'!CX$62=0,DC13&gt;0),DA13/'Cap Table'!CX$61,IFERROR(IF(DA13=0,'Cap Table'!CX$62*(1-CZ13),MIN('Cap Table'!CX$62*(1-CZ13),DA13/'Cap Table'!CX$61)),0))</f>
        <v>0</v>
      </c>
      <c r="DG13" s="170">
        <f t="shared" ca="1" si="83"/>
        <v>0</v>
      </c>
      <c r="DH13" s="170">
        <v>0</v>
      </c>
      <c r="DI13" s="146">
        <f t="shared" ca="1" si="36"/>
        <v>0</v>
      </c>
      <c r="DJ13" s="146">
        <f t="shared" si="36"/>
        <v>0</v>
      </c>
      <c r="DK13" s="146">
        <f t="shared" ca="1" si="69"/>
        <v>0</v>
      </c>
      <c r="DL13" s="147">
        <f t="shared" ca="1" si="37"/>
        <v>0</v>
      </c>
      <c r="DM13" s="146">
        <f ca="1">DK13*'Cap Table'!CX$62</f>
        <v>0</v>
      </c>
      <c r="DN13" s="173">
        <f ca="1">IFERROR(IF(OR(CW13='Cap Table'!$B$40,CW13='Cap Table'!$B$41,CW13='Cap Table'!$B$42),IF(SUM(CY13,CD13,BI13,AN13,S13,)&lt;SUM(CX13,CC13,BH13,AM13,R13),FV(MAX(DB13,CG13,BL13,AQ13,V13)/1,DATEDIF(CV13,'Cap Table'!$CX$60,"y"),0,-MAX(CX13,CC13,BH13,AM13,R13))/(MAX(DA13,CF13,BK13,AP13,U13,)/'Cap Table'!$CX$61),DK13),DK13),0)</f>
        <v>0</v>
      </c>
      <c r="DO13" s="147">
        <f t="shared" ca="1" si="38"/>
        <v>0</v>
      </c>
      <c r="DQ13" s="168">
        <f t="shared" ca="1" si="70"/>
        <v>45730</v>
      </c>
      <c r="DR13" s="168" t="str">
        <f t="shared" si="71"/>
        <v>Equity</v>
      </c>
      <c r="DS13" s="169">
        <v>0</v>
      </c>
      <c r="DT13" s="169">
        <f>IF('Cap Table'!DS$79&lt;&gt;"na",IF(CW13='Cap Table'!$B$40,CX13-CY13,0),0)</f>
        <v>0</v>
      </c>
      <c r="DU13" s="171">
        <f t="shared" si="86"/>
        <v>0</v>
      </c>
      <c r="DV13" s="169">
        <f t="shared" si="87"/>
        <v>0</v>
      </c>
      <c r="DW13" s="172">
        <f t="shared" si="88"/>
        <v>0</v>
      </c>
      <c r="DX13" s="170">
        <f ca="1">FV(DW13/1,DATEDIF(DQ13,'Cap Table'!DS$60,"y"),0,-DT13)</f>
        <v>0</v>
      </c>
      <c r="DY13" s="170">
        <f ca="1">IF('Cap Table'!DS$80="no",IFERROR(DX13/(1-DU13),0),IFERROR(DX13/(1-(MAX(DU13,('Cap Table'!DS$62-DV13/'Cap Table'!DS$61)/'Cap Table'!DS$62))),0))</f>
        <v>0</v>
      </c>
      <c r="DZ13" s="146">
        <f t="shared" ca="1" si="42"/>
        <v>0</v>
      </c>
      <c r="EA13" s="149">
        <f ca="1">IF(AND('Cap Table'!DS$62=0,DX13&gt;0),DV13/'Cap Table'!DS$61,IFERROR(IF(DV13=0,'Cap Table'!DS$62*(1-DU13),MIN('Cap Table'!DS$62*(1-DU13),DV13/'Cap Table'!DS$61)),0))</f>
        <v>0</v>
      </c>
      <c r="EB13" s="170">
        <f t="shared" ca="1" si="84"/>
        <v>0</v>
      </c>
      <c r="EC13" s="170">
        <v>0</v>
      </c>
      <c r="ED13" s="146">
        <f t="shared" ca="1" si="72"/>
        <v>0</v>
      </c>
      <c r="EE13" s="146">
        <f t="shared" si="43"/>
        <v>0</v>
      </c>
      <c r="EF13" s="146">
        <f t="shared" ca="1" si="73"/>
        <v>0</v>
      </c>
      <c r="EG13" s="147">
        <f t="shared" ca="1" si="44"/>
        <v>0</v>
      </c>
      <c r="EH13" s="146">
        <f ca="1">EF13*'Cap Table'!DS$62</f>
        <v>0</v>
      </c>
      <c r="EI13" s="173">
        <f ca="1">IFERROR(IF(OR(DR13='Cap Table'!$B$40,DR13='Cap Table'!$B$41,DR13='Cap Table'!$B$42),IF(SUM(DT13,CY13,CD13,BI13,AN13,S13)&lt;SUM(DS13,CX13,CC13,BH13,AM13,R13),FV(MAX(DW13,DB13,CG13,BL13,AQ13,V13)/1,DATEDIF(DQ13,'Cap Table'!DS$60,"y"),0,-MAX(DS13,CX13,CC13,BH13,AM13,R13))/(MAX(DV13,DA13,CF13,BK13,AP13,U13)/'Cap Table'!$DS$61),EF13),EF13),0)</f>
        <v>0</v>
      </c>
      <c r="EJ13" s="147">
        <f t="shared" ca="1" si="45"/>
        <v>0</v>
      </c>
      <c r="EL13" s="146">
        <f t="shared" si="74"/>
        <v>0</v>
      </c>
      <c r="EM13" s="146">
        <f t="shared" si="74"/>
        <v>0</v>
      </c>
      <c r="EN13" s="174" t="s">
        <v>27</v>
      </c>
      <c r="EO13" s="174" t="s">
        <v>27</v>
      </c>
      <c r="EP13" s="174" t="s">
        <v>27</v>
      </c>
      <c r="EQ13" s="146">
        <f t="shared" ca="1" si="75"/>
        <v>0</v>
      </c>
      <c r="ER13" s="146">
        <f t="shared" ca="1" si="75"/>
        <v>0</v>
      </c>
      <c r="ES13" s="146">
        <f t="shared" ca="1" si="75"/>
        <v>0</v>
      </c>
      <c r="ET13" s="149">
        <f t="shared" ca="1" si="89"/>
        <v>0</v>
      </c>
      <c r="EU13" s="146">
        <f t="shared" ca="1" si="76"/>
        <v>0</v>
      </c>
      <c r="EV13" s="146">
        <f t="shared" si="76"/>
        <v>0</v>
      </c>
      <c r="EW13" s="146">
        <f t="shared" ca="1" si="77"/>
        <v>0</v>
      </c>
      <c r="EX13" s="146">
        <f t="shared" si="77"/>
        <v>0</v>
      </c>
      <c r="EY13" s="146">
        <f t="shared" ca="1" si="77"/>
        <v>0</v>
      </c>
      <c r="EZ13" s="147">
        <f t="shared" ca="1" si="46"/>
        <v>0</v>
      </c>
      <c r="FA13" s="146">
        <f t="shared" ca="1" si="78"/>
        <v>0</v>
      </c>
      <c r="FB13" s="146">
        <f t="shared" ca="1" si="78"/>
        <v>0</v>
      </c>
      <c r="FC13" s="147">
        <f t="shared" ca="1" si="47"/>
        <v>0</v>
      </c>
      <c r="FE13" s="149" t="str">
        <f t="shared" si="0"/>
        <v>Common</v>
      </c>
      <c r="FF13" s="146">
        <f t="shared" ca="1" si="48"/>
        <v>0</v>
      </c>
      <c r="FG13" s="146">
        <f t="shared" ca="1" si="49"/>
        <v>0</v>
      </c>
      <c r="FH13" s="146">
        <f t="shared" ca="1" si="50"/>
        <v>0</v>
      </c>
      <c r="FJ13" s="146" t="str">
        <f t="shared" si="51"/>
        <v>Common</v>
      </c>
      <c r="FK13" s="174" t="str">
        <f t="shared" ca="1" si="52"/>
        <v>na</v>
      </c>
      <c r="FL13" s="174" t="str">
        <f t="shared" ca="1" si="52"/>
        <v>na</v>
      </c>
      <c r="FM13" s="174" t="str">
        <f t="shared" ca="1" si="53"/>
        <v>na</v>
      </c>
    </row>
    <row r="14" spans="2:169">
      <c r="B14" s="145" t="s">
        <v>27</v>
      </c>
      <c r="D14" s="167" t="s">
        <v>27</v>
      </c>
      <c r="E14" s="167" t="str">
        <f t="shared" si="54"/>
        <v>Common</v>
      </c>
      <c r="G14" s="168">
        <f t="shared" ca="1" si="1"/>
        <v>43538</v>
      </c>
      <c r="H14" s="289" t="str">
        <f t="shared" si="2"/>
        <v>Equity</v>
      </c>
      <c r="I14" s="169">
        <v>0</v>
      </c>
      <c r="J14" s="170">
        <v>0</v>
      </c>
      <c r="K14" s="170">
        <f t="shared" si="55"/>
        <v>0</v>
      </c>
      <c r="L14" s="147">
        <f t="shared" si="3"/>
        <v>0</v>
      </c>
      <c r="M14" s="170">
        <f t="shared" si="56"/>
        <v>0</v>
      </c>
      <c r="N14" s="147">
        <f t="shared" si="4"/>
        <v>0</v>
      </c>
      <c r="O14" s="147"/>
      <c r="P14" s="168">
        <f t="shared" ca="1" si="85"/>
        <v>43904</v>
      </c>
      <c r="Q14" s="289" t="str">
        <f t="shared" si="5"/>
        <v>Equity</v>
      </c>
      <c r="R14" s="169">
        <v>0</v>
      </c>
      <c r="S14" s="169">
        <v>0</v>
      </c>
      <c r="T14" s="171">
        <v>0</v>
      </c>
      <c r="U14" s="145">
        <v>0</v>
      </c>
      <c r="V14" s="172">
        <v>0</v>
      </c>
      <c r="W14" s="170">
        <f ca="1">FV(V14/1,DATEDIF(P14,'Cap Table'!R$60,"y"),0,-S14)</f>
        <v>0</v>
      </c>
      <c r="X14" s="170">
        <f t="shared" ca="1" si="6"/>
        <v>0</v>
      </c>
      <c r="Y14" s="146">
        <f t="shared" ca="1" si="7"/>
        <v>0</v>
      </c>
      <c r="Z14" s="149">
        <f ca="1">IF(AND('Cap Table'!R$62=0,W14&gt;0),U14/'Cap Table'!R$61,IFERROR(IF(U14=0,'Cap Table'!R$62*(1-T14),MIN('Cap Table'!R$62*(1-T14),U14/'Cap Table'!R$61)),0))</f>
        <v>0</v>
      </c>
      <c r="AA14" s="170">
        <f t="shared" ca="1" si="79"/>
        <v>0</v>
      </c>
      <c r="AB14" s="170">
        <v>0</v>
      </c>
      <c r="AC14" s="146">
        <f t="shared" ca="1" si="8"/>
        <v>0</v>
      </c>
      <c r="AD14" s="146">
        <f t="shared" si="8"/>
        <v>0</v>
      </c>
      <c r="AE14" s="146">
        <f t="shared" ca="1" si="57"/>
        <v>0</v>
      </c>
      <c r="AF14" s="147">
        <f t="shared" ca="1" si="9"/>
        <v>0</v>
      </c>
      <c r="AG14" s="146">
        <f ca="1">AE14*'Cap Table'!R$62</f>
        <v>0</v>
      </c>
      <c r="AH14" s="146">
        <f ca="1">IFERROR(IF(OR(Q14='Cap Table'!$B$40,Q14='Cap Table'!$B$41,Q14='Cap Table'!$B$42),IF(SUM(S14)&lt;SUM(R14),(FV(V14/1,DATEDIF(P14,'Cap Table'!R$60,"y"),0,-R14))/(U14/'Cap Table'!$R$61),AE14),AE14),0)</f>
        <v>0</v>
      </c>
      <c r="AI14" s="147">
        <f t="shared" ca="1" si="10"/>
        <v>0</v>
      </c>
      <c r="AK14" s="168">
        <f t="shared" ca="1" si="58"/>
        <v>44269</v>
      </c>
      <c r="AL14" s="168" t="str">
        <f t="shared" si="59"/>
        <v>Equity</v>
      </c>
      <c r="AM14" s="169">
        <v>0</v>
      </c>
      <c r="AN14" s="169">
        <f>IF('Cap Table'!AM$79&lt;&gt;"na",IF(Q14='Cap Table'!$B$40,R14-S14,0),0)</f>
        <v>0</v>
      </c>
      <c r="AO14" s="171">
        <f t="shared" si="11"/>
        <v>0</v>
      </c>
      <c r="AP14" s="169">
        <f t="shared" si="12"/>
        <v>0</v>
      </c>
      <c r="AQ14" s="172">
        <f t="shared" si="13"/>
        <v>0</v>
      </c>
      <c r="AR14" s="170">
        <f ca="1">FV(AQ14/1,DATEDIF(AK14,'Cap Table'!AM$60,"y"),0,-AN14)</f>
        <v>0</v>
      </c>
      <c r="AS14" s="170">
        <f ca="1">IF('Cap Table'!AM$80="no",IFERROR(AR14/(1-AO14),0),IFERROR(AR14/(1-(MAX(AO14,('Cap Table'!AM$62-AP14/'Cap Table'!AM$61)/'Cap Table'!AM$62))),0))</f>
        <v>0</v>
      </c>
      <c r="AT14" s="146">
        <f t="shared" ca="1" si="14"/>
        <v>0</v>
      </c>
      <c r="AU14" s="149">
        <f ca="1">IF(AND('Cap Table'!AM$62=0,AR14&gt;0),AP14/'Cap Table'!AM$61,IFERROR(IF(AP14=0,'Cap Table'!AM$62*(1-AO14),MIN('Cap Table'!AM$62*(1-AO14),AP14/'Cap Table'!AM$61)),0))</f>
        <v>0</v>
      </c>
      <c r="AV14" s="170">
        <f t="shared" ca="1" si="80"/>
        <v>0</v>
      </c>
      <c r="AW14" s="170">
        <v>0</v>
      </c>
      <c r="AX14" s="146">
        <f t="shared" ca="1" si="15"/>
        <v>0</v>
      </c>
      <c r="AY14" s="146">
        <f t="shared" si="15"/>
        <v>0</v>
      </c>
      <c r="AZ14" s="146">
        <f t="shared" ca="1" si="60"/>
        <v>0</v>
      </c>
      <c r="BA14" s="147">
        <f t="shared" ca="1" si="16"/>
        <v>0</v>
      </c>
      <c r="BB14" s="146">
        <f ca="1">AZ14*'Cap Table'!AM$62</f>
        <v>0</v>
      </c>
      <c r="BC14" s="173">
        <f ca="1">IFERROR(IF(OR(AL14='Cap Table'!$B$40,AL14='Cap Table'!$B$41,AL14='Cap Table'!$B$42),IF(SUM(AN14,S14)&lt;SUM(AM14,R14),FV(MAX(AQ14,V14)/1,DATEDIF(AK14,'Cap Table'!$AM$60,"y"),0,-MAX(AM14,R14))/(MAX(AP14,U14)/'Cap Table'!$AM$61),AZ14),AZ14),0)</f>
        <v>0</v>
      </c>
      <c r="BD14" s="147">
        <f t="shared" ca="1" si="17"/>
        <v>0</v>
      </c>
      <c r="BF14" s="168">
        <f t="shared" ca="1" si="61"/>
        <v>44634</v>
      </c>
      <c r="BG14" s="168" t="str">
        <f t="shared" si="62"/>
        <v>Equity</v>
      </c>
      <c r="BH14" s="169">
        <v>0</v>
      </c>
      <c r="BI14" s="169">
        <f>IF('Cap Table'!BH$79&lt;&gt;"na",IF(AL14='Cap Table'!$B$40,AM14-AN14,0),0)</f>
        <v>0</v>
      </c>
      <c r="BJ14" s="171">
        <f t="shared" si="18"/>
        <v>0</v>
      </c>
      <c r="BK14" s="169">
        <f t="shared" si="19"/>
        <v>0</v>
      </c>
      <c r="BL14" s="172">
        <f t="shared" si="20"/>
        <v>0</v>
      </c>
      <c r="BM14" s="170">
        <f ca="1">FV(BL14/1,DATEDIF(BF14,'Cap Table'!BH$60,"y"),0,-BI14)</f>
        <v>0</v>
      </c>
      <c r="BN14" s="170">
        <f ca="1">IF('Cap Table'!BH$80="no",IFERROR(BM14/(1-BJ14),0),IFERROR(BM14/(1-(MAX(BJ14,('Cap Table'!BH$62-BK14/'Cap Table'!BH$61)/'Cap Table'!BH$62))),0))</f>
        <v>0</v>
      </c>
      <c r="BO14" s="146">
        <f t="shared" ca="1" si="21"/>
        <v>0</v>
      </c>
      <c r="BP14" s="149">
        <f ca="1">IF(AND('Cap Table'!BH$62=0,BM14&gt;0),BK14/'Cap Table'!BH$61,IFERROR(IF(BK14=0,'Cap Table'!BH$62*(1-BJ14),MIN('Cap Table'!BH$62*(1-BJ14),BK14/'Cap Table'!BH$61)),0))</f>
        <v>0</v>
      </c>
      <c r="BQ14" s="170">
        <f t="shared" ca="1" si="81"/>
        <v>0</v>
      </c>
      <c r="BR14" s="170">
        <v>0</v>
      </c>
      <c r="BS14" s="146">
        <f t="shared" ca="1" si="22"/>
        <v>0</v>
      </c>
      <c r="BT14" s="146">
        <f t="shared" si="22"/>
        <v>0</v>
      </c>
      <c r="BU14" s="146">
        <f t="shared" ca="1" si="63"/>
        <v>0</v>
      </c>
      <c r="BV14" s="147">
        <f t="shared" ca="1" si="23"/>
        <v>0</v>
      </c>
      <c r="BW14" s="146">
        <f ca="1">BU14*'Cap Table'!BH$62</f>
        <v>0</v>
      </c>
      <c r="BX14" s="173">
        <f ca="1">IFERROR(IF(OR(BG14='Cap Table'!$B$40,BG14='Cap Table'!$B$41,BG14='Cap Table'!$B$42),IF(SUM(BI14,AN14,S14)&lt;SUM(BH14,AM14,R14),FV(MAX(BL14,AQ14,V14)/1,DATEDIF(BF14,'Cap Table'!$BH$60,"y"),0,-MAX(BH14,AM14,R14))/(MAX(BK14,AP14,U14)/'Cap Table'!$BH$61),BU14),BU14),0)</f>
        <v>0</v>
      </c>
      <c r="BY14" s="147">
        <f t="shared" ca="1" si="24"/>
        <v>0</v>
      </c>
      <c r="CA14" s="168">
        <f t="shared" ca="1" si="64"/>
        <v>44999</v>
      </c>
      <c r="CB14" s="168" t="str">
        <f t="shared" si="65"/>
        <v>Equity</v>
      </c>
      <c r="CC14" s="169">
        <v>0</v>
      </c>
      <c r="CD14" s="169">
        <f>IF('Cap Table'!CC$79&lt;&gt;"na",IF(BG14='Cap Table'!$B$40,BH14-BI14,0),0)</f>
        <v>0</v>
      </c>
      <c r="CE14" s="171">
        <f t="shared" si="25"/>
        <v>0</v>
      </c>
      <c r="CF14" s="169">
        <f t="shared" si="26"/>
        <v>0</v>
      </c>
      <c r="CG14" s="172">
        <f t="shared" si="27"/>
        <v>0</v>
      </c>
      <c r="CH14" s="170">
        <f ca="1">FV(CG14/1,DATEDIF(CA14,'Cap Table'!CC$60,"y"),0,-CD14)</f>
        <v>0</v>
      </c>
      <c r="CI14" s="170">
        <f ca="1">IF('Cap Table'!CC$80="no",IFERROR(CH14/(1-CE14),0),IFERROR(CH14/(1-(MAX(CE14,('Cap Table'!CC$62-CF14/'Cap Table'!CC$61)/'Cap Table'!CC$62))),0))</f>
        <v>0</v>
      </c>
      <c r="CJ14" s="146">
        <f t="shared" ca="1" si="28"/>
        <v>0</v>
      </c>
      <c r="CK14" s="149">
        <f ca="1">IF(AND('Cap Table'!CC$62=0,CH14&gt;0),CF14/'Cap Table'!CC$61,IFERROR(IF(CF14=0,'Cap Table'!CC$62*(1-CE14),MIN('Cap Table'!CC$62*(1-CE14),CF14/'Cap Table'!CC$61)),0))</f>
        <v>0</v>
      </c>
      <c r="CL14" s="170">
        <f t="shared" ca="1" si="82"/>
        <v>0</v>
      </c>
      <c r="CM14" s="170">
        <v>0</v>
      </c>
      <c r="CN14" s="146">
        <f t="shared" ca="1" si="29"/>
        <v>0</v>
      </c>
      <c r="CO14" s="146">
        <f t="shared" si="29"/>
        <v>0</v>
      </c>
      <c r="CP14" s="146">
        <f t="shared" ca="1" si="66"/>
        <v>0</v>
      </c>
      <c r="CQ14" s="147">
        <f t="shared" ca="1" si="30"/>
        <v>0</v>
      </c>
      <c r="CR14" s="146">
        <f ca="1">CP14*'Cap Table'!CC$62</f>
        <v>0</v>
      </c>
      <c r="CS14" s="173">
        <f ca="1">IFERROR(IF(OR(CB14='Cap Table'!$B$40,CB14='Cap Table'!$B$41,CB14='Cap Table'!$B$42),IF(SUM(CD14,BI14,AN14,S14)&lt;SUM(CC14,BH14,AM14,R14),FV(MAX(CG14,BL14,AQ14,V14)/1,DATEDIF(CA14,'Cap Table'!$CC$60,"y"),0,-MAX(CC14,BH14,AM14,R14))/(MAX(CF14,BK14,AP14,U14)/'Cap Table'!$CC$61),CP14),CP14),0)</f>
        <v>0</v>
      </c>
      <c r="CT14" s="147">
        <f t="shared" ca="1" si="31"/>
        <v>0</v>
      </c>
      <c r="CV14" s="168">
        <f t="shared" ca="1" si="67"/>
        <v>45365</v>
      </c>
      <c r="CW14" s="168" t="str">
        <f t="shared" si="68"/>
        <v>Equity</v>
      </c>
      <c r="CX14" s="169">
        <v>0</v>
      </c>
      <c r="CY14" s="169">
        <f>IF('Cap Table'!CX$79&lt;&gt;"na",IF(CB14='Cap Table'!$B$40,CC14-CD14,0),0)</f>
        <v>0</v>
      </c>
      <c r="CZ14" s="171">
        <f t="shared" si="32"/>
        <v>0</v>
      </c>
      <c r="DA14" s="169">
        <f t="shared" si="33"/>
        <v>0</v>
      </c>
      <c r="DB14" s="172">
        <f t="shared" si="34"/>
        <v>0</v>
      </c>
      <c r="DC14" s="170">
        <f ca="1">FV(DB14/1,DATEDIF(CV14,'Cap Table'!CX$60,"y"),0,-CY14)</f>
        <v>0</v>
      </c>
      <c r="DD14" s="170">
        <f ca="1">IF('Cap Table'!CX$80="no",IFERROR(DC14/(1-CZ14),0),IFERROR(DC14/(1-(MAX(CZ14,('Cap Table'!CX$62-DA14/'Cap Table'!CX$61)/'Cap Table'!CX$62))),0))</f>
        <v>0</v>
      </c>
      <c r="DE14" s="146">
        <f t="shared" ca="1" si="35"/>
        <v>0</v>
      </c>
      <c r="DF14" s="149">
        <f ca="1">IF(AND('Cap Table'!CX$62=0,DC14&gt;0),DA14/'Cap Table'!CX$61,IFERROR(IF(DA14=0,'Cap Table'!CX$62*(1-CZ14),MIN('Cap Table'!CX$62*(1-CZ14),DA14/'Cap Table'!CX$61)),0))</f>
        <v>0</v>
      </c>
      <c r="DG14" s="170">
        <f t="shared" ca="1" si="83"/>
        <v>0</v>
      </c>
      <c r="DH14" s="170">
        <v>0</v>
      </c>
      <c r="DI14" s="146">
        <f t="shared" ca="1" si="36"/>
        <v>0</v>
      </c>
      <c r="DJ14" s="146">
        <f t="shared" si="36"/>
        <v>0</v>
      </c>
      <c r="DK14" s="146">
        <f t="shared" ca="1" si="69"/>
        <v>0</v>
      </c>
      <c r="DL14" s="147">
        <f t="shared" ca="1" si="37"/>
        <v>0</v>
      </c>
      <c r="DM14" s="146">
        <f ca="1">DK14*'Cap Table'!CX$62</f>
        <v>0</v>
      </c>
      <c r="DN14" s="173">
        <f ca="1">IFERROR(IF(OR(CW14='Cap Table'!$B$40,CW14='Cap Table'!$B$41,CW14='Cap Table'!$B$42),IF(SUM(CY14,CD14,BI14,AN14,S14,)&lt;SUM(CX14,CC14,BH14,AM14,R14),FV(MAX(DB14,CG14,BL14,AQ14,V14)/1,DATEDIF(CV14,'Cap Table'!$CX$60,"y"),0,-MAX(CX14,CC14,BH14,AM14,R14))/(MAX(DA14,CF14,BK14,AP14,U14,)/'Cap Table'!$CX$61),DK14),DK14),0)</f>
        <v>0</v>
      </c>
      <c r="DO14" s="147">
        <f t="shared" ca="1" si="38"/>
        <v>0</v>
      </c>
      <c r="DQ14" s="168">
        <f t="shared" ca="1" si="70"/>
        <v>45730</v>
      </c>
      <c r="DR14" s="168" t="str">
        <f t="shared" si="71"/>
        <v>Equity</v>
      </c>
      <c r="DS14" s="169">
        <v>0</v>
      </c>
      <c r="DT14" s="169">
        <f>IF('Cap Table'!DS$79&lt;&gt;"na",IF(CW14='Cap Table'!$B$40,CX14-CY14,0),0)</f>
        <v>0</v>
      </c>
      <c r="DU14" s="171">
        <f t="shared" si="86"/>
        <v>0</v>
      </c>
      <c r="DV14" s="169">
        <f t="shared" si="87"/>
        <v>0</v>
      </c>
      <c r="DW14" s="172">
        <f t="shared" si="88"/>
        <v>0</v>
      </c>
      <c r="DX14" s="170">
        <f ca="1">FV(DW14/1,DATEDIF(DQ14,'Cap Table'!DS$60,"y"),0,-DT14)</f>
        <v>0</v>
      </c>
      <c r="DY14" s="170">
        <f ca="1">IF('Cap Table'!DS$80="no",IFERROR(DX14/(1-DU14),0),IFERROR(DX14/(1-(MAX(DU14,('Cap Table'!DS$62-DV14/'Cap Table'!DS$61)/'Cap Table'!DS$62))),0))</f>
        <v>0</v>
      </c>
      <c r="DZ14" s="146">
        <f t="shared" ca="1" si="42"/>
        <v>0</v>
      </c>
      <c r="EA14" s="149">
        <f ca="1">IF(AND('Cap Table'!DS$62=0,DX14&gt;0),DV14/'Cap Table'!DS$61,IFERROR(IF(DV14=0,'Cap Table'!DS$62*(1-DU14),MIN('Cap Table'!DS$62*(1-DU14),DV14/'Cap Table'!DS$61)),0))</f>
        <v>0</v>
      </c>
      <c r="EB14" s="170">
        <f t="shared" ca="1" si="84"/>
        <v>0</v>
      </c>
      <c r="EC14" s="170">
        <v>0</v>
      </c>
      <c r="ED14" s="146">
        <f t="shared" ca="1" si="72"/>
        <v>0</v>
      </c>
      <c r="EE14" s="146">
        <f t="shared" si="43"/>
        <v>0</v>
      </c>
      <c r="EF14" s="146">
        <f t="shared" ca="1" si="73"/>
        <v>0</v>
      </c>
      <c r="EG14" s="147">
        <f t="shared" ca="1" si="44"/>
        <v>0</v>
      </c>
      <c r="EH14" s="146">
        <f ca="1">EF14*'Cap Table'!DS$62</f>
        <v>0</v>
      </c>
      <c r="EI14" s="173">
        <f ca="1">IFERROR(IF(OR(DR14='Cap Table'!$B$40,DR14='Cap Table'!$B$41,DR14='Cap Table'!$B$42),IF(SUM(DT14,CY14,CD14,BI14,AN14,S14)&lt;SUM(DS14,CX14,CC14,BH14,AM14,R14),FV(MAX(DW14,DB14,CG14,BL14,AQ14,V14)/1,DATEDIF(DQ14,'Cap Table'!DS$60,"y"),0,-MAX(DS14,CX14,CC14,BH14,AM14,R14))/(MAX(DV14,DA14,CF14,BK14,AP14,U14)/'Cap Table'!$DS$61),EF14),EF14),0)</f>
        <v>0</v>
      </c>
      <c r="EJ14" s="147">
        <f t="shared" ca="1" si="45"/>
        <v>0</v>
      </c>
      <c r="EL14" s="146">
        <f t="shared" si="74"/>
        <v>0</v>
      </c>
      <c r="EM14" s="146">
        <f t="shared" si="74"/>
        <v>0</v>
      </c>
      <c r="EN14" s="174" t="s">
        <v>27</v>
      </c>
      <c r="EO14" s="174" t="s">
        <v>27</v>
      </c>
      <c r="EP14" s="174" t="s">
        <v>27</v>
      </c>
      <c r="EQ14" s="146">
        <f t="shared" ca="1" si="75"/>
        <v>0</v>
      </c>
      <c r="ER14" s="146">
        <f t="shared" ca="1" si="75"/>
        <v>0</v>
      </c>
      <c r="ES14" s="146">
        <f t="shared" ca="1" si="75"/>
        <v>0</v>
      </c>
      <c r="ET14" s="149">
        <f t="shared" ca="1" si="89"/>
        <v>0</v>
      </c>
      <c r="EU14" s="146">
        <f t="shared" ca="1" si="76"/>
        <v>0</v>
      </c>
      <c r="EV14" s="146">
        <f t="shared" si="76"/>
        <v>0</v>
      </c>
      <c r="EW14" s="146">
        <f t="shared" ca="1" si="77"/>
        <v>0</v>
      </c>
      <c r="EX14" s="146">
        <f t="shared" si="77"/>
        <v>0</v>
      </c>
      <c r="EY14" s="146">
        <f t="shared" ca="1" si="77"/>
        <v>0</v>
      </c>
      <c r="EZ14" s="147">
        <f t="shared" ca="1" si="46"/>
        <v>0</v>
      </c>
      <c r="FA14" s="146">
        <f t="shared" ca="1" si="78"/>
        <v>0</v>
      </c>
      <c r="FB14" s="146">
        <f t="shared" ca="1" si="78"/>
        <v>0</v>
      </c>
      <c r="FC14" s="147">
        <f t="shared" ca="1" si="47"/>
        <v>0</v>
      </c>
      <c r="FE14" s="149" t="str">
        <f t="shared" si="0"/>
        <v>Common</v>
      </c>
      <c r="FF14" s="146">
        <f t="shared" ca="1" si="48"/>
        <v>0</v>
      </c>
      <c r="FG14" s="146">
        <f t="shared" ca="1" si="49"/>
        <v>0</v>
      </c>
      <c r="FH14" s="146">
        <f t="shared" ca="1" si="50"/>
        <v>0</v>
      </c>
      <c r="FJ14" s="146" t="str">
        <f t="shared" si="51"/>
        <v>Common</v>
      </c>
      <c r="FK14" s="174" t="str">
        <f t="shared" ca="1" si="52"/>
        <v>na</v>
      </c>
      <c r="FL14" s="174" t="str">
        <f t="shared" ca="1" si="52"/>
        <v>na</v>
      </c>
      <c r="FM14" s="174" t="str">
        <f t="shared" ca="1" si="53"/>
        <v>na</v>
      </c>
    </row>
    <row r="15" spans="2:169">
      <c r="B15" s="145" t="s">
        <v>27</v>
      </c>
      <c r="D15" s="167" t="s">
        <v>27</v>
      </c>
      <c r="E15" s="167" t="str">
        <f t="shared" si="54"/>
        <v>Common</v>
      </c>
      <c r="G15" s="168">
        <f t="shared" ca="1" si="1"/>
        <v>43538</v>
      </c>
      <c r="H15" s="289" t="str">
        <f t="shared" si="2"/>
        <v>Equity</v>
      </c>
      <c r="I15" s="169">
        <v>0</v>
      </c>
      <c r="J15" s="170">
        <v>0</v>
      </c>
      <c r="K15" s="170">
        <f t="shared" si="55"/>
        <v>0</v>
      </c>
      <c r="L15" s="147">
        <f t="shared" si="3"/>
        <v>0</v>
      </c>
      <c r="M15" s="170">
        <f t="shared" si="56"/>
        <v>0</v>
      </c>
      <c r="N15" s="147">
        <f t="shared" si="4"/>
        <v>0</v>
      </c>
      <c r="O15" s="147"/>
      <c r="P15" s="168">
        <f t="shared" ca="1" si="85"/>
        <v>43904</v>
      </c>
      <c r="Q15" s="289" t="str">
        <f t="shared" si="5"/>
        <v>Equity</v>
      </c>
      <c r="R15" s="169">
        <v>0</v>
      </c>
      <c r="S15" s="169">
        <v>0</v>
      </c>
      <c r="T15" s="171">
        <v>0</v>
      </c>
      <c r="U15" s="145">
        <v>0</v>
      </c>
      <c r="V15" s="172">
        <v>0</v>
      </c>
      <c r="W15" s="170">
        <f ca="1">FV(V15/1,DATEDIF(P15,'Cap Table'!R$60,"y"),0,-S15)</f>
        <v>0</v>
      </c>
      <c r="X15" s="170">
        <f t="shared" ca="1" si="6"/>
        <v>0</v>
      </c>
      <c r="Y15" s="146">
        <f t="shared" ca="1" si="7"/>
        <v>0</v>
      </c>
      <c r="Z15" s="149">
        <f ca="1">IF(AND('Cap Table'!R$62=0,W15&gt;0),U15/'Cap Table'!R$61,IFERROR(IF(U15=0,'Cap Table'!R$62*(1-T15),MIN('Cap Table'!R$62*(1-T15),U15/'Cap Table'!R$61)),0))</f>
        <v>0</v>
      </c>
      <c r="AA15" s="170">
        <f t="shared" ca="1" si="79"/>
        <v>0</v>
      </c>
      <c r="AB15" s="170">
        <v>0</v>
      </c>
      <c r="AC15" s="146">
        <f t="shared" ca="1" si="8"/>
        <v>0</v>
      </c>
      <c r="AD15" s="146">
        <f t="shared" si="8"/>
        <v>0</v>
      </c>
      <c r="AE15" s="146">
        <f t="shared" ca="1" si="57"/>
        <v>0</v>
      </c>
      <c r="AF15" s="147">
        <f t="shared" ca="1" si="9"/>
        <v>0</v>
      </c>
      <c r="AG15" s="146">
        <f ca="1">AE15*'Cap Table'!R$62</f>
        <v>0</v>
      </c>
      <c r="AH15" s="146">
        <f ca="1">IFERROR(IF(OR(Q15='Cap Table'!$B$40,Q15='Cap Table'!$B$41,Q15='Cap Table'!$B$42),IF(SUM(S15)&lt;SUM(R15),(FV(V15/1,DATEDIF(P15,'Cap Table'!R$60,"y"),0,-R15))/(U15/'Cap Table'!$R$61),AE15),AE15),0)</f>
        <v>0</v>
      </c>
      <c r="AI15" s="147">
        <f t="shared" ca="1" si="10"/>
        <v>0</v>
      </c>
      <c r="AK15" s="168">
        <f t="shared" ca="1" si="58"/>
        <v>44269</v>
      </c>
      <c r="AL15" s="168" t="str">
        <f t="shared" si="59"/>
        <v>Equity</v>
      </c>
      <c r="AM15" s="169">
        <v>0</v>
      </c>
      <c r="AN15" s="169">
        <f>IF('Cap Table'!AM$79&lt;&gt;"na",IF(Q15='Cap Table'!$B$40,R15-S15,0),0)</f>
        <v>0</v>
      </c>
      <c r="AO15" s="171">
        <f t="shared" si="11"/>
        <v>0</v>
      </c>
      <c r="AP15" s="169">
        <f t="shared" si="12"/>
        <v>0</v>
      </c>
      <c r="AQ15" s="172">
        <f t="shared" si="13"/>
        <v>0</v>
      </c>
      <c r="AR15" s="170">
        <f ca="1">FV(AQ15/1,DATEDIF(AK15,'Cap Table'!AM$60,"y"),0,-AN15)</f>
        <v>0</v>
      </c>
      <c r="AS15" s="170">
        <f ca="1">IF('Cap Table'!AM$80="no",IFERROR(AR15/(1-AO15),0),IFERROR(AR15/(1-(MAX(AO15,('Cap Table'!AM$62-AP15/'Cap Table'!AM$61)/'Cap Table'!AM$62))),0))</f>
        <v>0</v>
      </c>
      <c r="AT15" s="146">
        <f t="shared" ca="1" si="14"/>
        <v>0</v>
      </c>
      <c r="AU15" s="149">
        <f ca="1">IF(AND('Cap Table'!AM$62=0,AR15&gt;0),AP15/'Cap Table'!AM$61,IFERROR(IF(AP15=0,'Cap Table'!AM$62*(1-AO15),MIN('Cap Table'!AM$62*(1-AO15),AP15/'Cap Table'!AM$61)),0))</f>
        <v>0</v>
      </c>
      <c r="AV15" s="170">
        <f t="shared" ca="1" si="80"/>
        <v>0</v>
      </c>
      <c r="AW15" s="170">
        <v>0</v>
      </c>
      <c r="AX15" s="146">
        <f t="shared" ca="1" si="15"/>
        <v>0</v>
      </c>
      <c r="AY15" s="146">
        <f t="shared" si="15"/>
        <v>0</v>
      </c>
      <c r="AZ15" s="146">
        <f t="shared" ca="1" si="60"/>
        <v>0</v>
      </c>
      <c r="BA15" s="147">
        <f t="shared" ca="1" si="16"/>
        <v>0</v>
      </c>
      <c r="BB15" s="146">
        <f ca="1">AZ15*'Cap Table'!AM$62</f>
        <v>0</v>
      </c>
      <c r="BC15" s="173">
        <f ca="1">IFERROR(IF(OR(AL15='Cap Table'!$B$40,AL15='Cap Table'!$B$41,AL15='Cap Table'!$B$42),IF(SUM(AN15,S15)&lt;SUM(AM15,R15),FV(MAX(AQ15,V15)/1,DATEDIF(AK15,'Cap Table'!$AM$60,"y"),0,-MAX(AM15,R15))/(MAX(AP15,U15)/'Cap Table'!$AM$61),AZ15),AZ15),0)</f>
        <v>0</v>
      </c>
      <c r="BD15" s="147">
        <f t="shared" ca="1" si="17"/>
        <v>0</v>
      </c>
      <c r="BF15" s="168">
        <f t="shared" ca="1" si="61"/>
        <v>44634</v>
      </c>
      <c r="BG15" s="168" t="str">
        <f t="shared" si="62"/>
        <v>Equity</v>
      </c>
      <c r="BH15" s="169">
        <v>0</v>
      </c>
      <c r="BI15" s="169">
        <f>IF('Cap Table'!BH$79&lt;&gt;"na",IF(AL15='Cap Table'!$B$40,AM15-AN15,0),0)</f>
        <v>0</v>
      </c>
      <c r="BJ15" s="171">
        <f t="shared" si="18"/>
        <v>0</v>
      </c>
      <c r="BK15" s="169">
        <f t="shared" si="19"/>
        <v>0</v>
      </c>
      <c r="BL15" s="172">
        <f t="shared" si="20"/>
        <v>0</v>
      </c>
      <c r="BM15" s="170">
        <f ca="1">FV(BL15/1,DATEDIF(BF15,'Cap Table'!BH$60,"y"),0,-BI15)</f>
        <v>0</v>
      </c>
      <c r="BN15" s="170">
        <f ca="1">IF('Cap Table'!BH$80="no",IFERROR(BM15/(1-BJ15),0),IFERROR(BM15/(1-(MAX(BJ15,('Cap Table'!BH$62-BK15/'Cap Table'!BH$61)/'Cap Table'!BH$62))),0))</f>
        <v>0</v>
      </c>
      <c r="BO15" s="146">
        <f t="shared" ca="1" si="21"/>
        <v>0</v>
      </c>
      <c r="BP15" s="149">
        <f ca="1">IF(AND('Cap Table'!BH$62=0,BM15&gt;0),BK15/'Cap Table'!BH$61,IFERROR(IF(BK15=0,'Cap Table'!BH$62*(1-BJ15),MIN('Cap Table'!BH$62*(1-BJ15),BK15/'Cap Table'!BH$61)),0))</f>
        <v>0</v>
      </c>
      <c r="BQ15" s="170">
        <f t="shared" ca="1" si="81"/>
        <v>0</v>
      </c>
      <c r="BR15" s="170">
        <v>0</v>
      </c>
      <c r="BS15" s="146">
        <f t="shared" ca="1" si="22"/>
        <v>0</v>
      </c>
      <c r="BT15" s="146">
        <f t="shared" si="22"/>
        <v>0</v>
      </c>
      <c r="BU15" s="146">
        <f t="shared" ca="1" si="63"/>
        <v>0</v>
      </c>
      <c r="BV15" s="147">
        <f t="shared" ca="1" si="23"/>
        <v>0</v>
      </c>
      <c r="BW15" s="146">
        <f ca="1">BU15*'Cap Table'!BH$62</f>
        <v>0</v>
      </c>
      <c r="BX15" s="173">
        <f ca="1">IFERROR(IF(OR(BG15='Cap Table'!$B$40,BG15='Cap Table'!$B$41,BG15='Cap Table'!$B$42),IF(SUM(BI15,AN15,S15)&lt;SUM(BH15,AM15,R15),FV(MAX(BL15,AQ15,V15)/1,DATEDIF(BF15,'Cap Table'!$BH$60,"y"),0,-MAX(BH15,AM15,R15))/(MAX(BK15,AP15,U15)/'Cap Table'!$BH$61),BU15),BU15),0)</f>
        <v>0</v>
      </c>
      <c r="BY15" s="147">
        <f t="shared" ca="1" si="24"/>
        <v>0</v>
      </c>
      <c r="CA15" s="168">
        <f t="shared" ca="1" si="64"/>
        <v>44999</v>
      </c>
      <c r="CB15" s="168" t="str">
        <f t="shared" si="65"/>
        <v>Equity</v>
      </c>
      <c r="CC15" s="169">
        <v>0</v>
      </c>
      <c r="CD15" s="169">
        <f>IF('Cap Table'!CC$79&lt;&gt;"na",IF(BG15='Cap Table'!$B$40,BH15-BI15,0),0)</f>
        <v>0</v>
      </c>
      <c r="CE15" s="171">
        <f t="shared" si="25"/>
        <v>0</v>
      </c>
      <c r="CF15" s="169">
        <f t="shared" si="26"/>
        <v>0</v>
      </c>
      <c r="CG15" s="172">
        <f t="shared" si="27"/>
        <v>0</v>
      </c>
      <c r="CH15" s="170">
        <f ca="1">FV(CG15/1,DATEDIF(CA15,'Cap Table'!CC$60,"y"),0,-CD15)</f>
        <v>0</v>
      </c>
      <c r="CI15" s="170">
        <f ca="1">IF('Cap Table'!CC$80="no",IFERROR(CH15/(1-CE15),0),IFERROR(CH15/(1-(MAX(CE15,('Cap Table'!CC$62-CF15/'Cap Table'!CC$61)/'Cap Table'!CC$62))),0))</f>
        <v>0</v>
      </c>
      <c r="CJ15" s="146">
        <f t="shared" ca="1" si="28"/>
        <v>0</v>
      </c>
      <c r="CK15" s="149">
        <f ca="1">IF(AND('Cap Table'!CC$62=0,CH15&gt;0),CF15/'Cap Table'!CC$61,IFERROR(IF(CF15=0,'Cap Table'!CC$62*(1-CE15),MIN('Cap Table'!CC$62*(1-CE15),CF15/'Cap Table'!CC$61)),0))</f>
        <v>0</v>
      </c>
      <c r="CL15" s="170">
        <f t="shared" ca="1" si="82"/>
        <v>0</v>
      </c>
      <c r="CM15" s="170">
        <v>0</v>
      </c>
      <c r="CN15" s="146">
        <f t="shared" ca="1" si="29"/>
        <v>0</v>
      </c>
      <c r="CO15" s="146">
        <f t="shared" si="29"/>
        <v>0</v>
      </c>
      <c r="CP15" s="146">
        <f t="shared" ca="1" si="66"/>
        <v>0</v>
      </c>
      <c r="CQ15" s="147">
        <f t="shared" ca="1" si="30"/>
        <v>0</v>
      </c>
      <c r="CR15" s="146">
        <f ca="1">CP15*'Cap Table'!CC$62</f>
        <v>0</v>
      </c>
      <c r="CS15" s="173">
        <f ca="1">IFERROR(IF(OR(CB15='Cap Table'!$B$40,CB15='Cap Table'!$B$41,CB15='Cap Table'!$B$42),IF(SUM(CD15,BI15,AN15,S15)&lt;SUM(CC15,BH15,AM15,R15),FV(MAX(CG15,BL15,AQ15,V15)/1,DATEDIF(CA15,'Cap Table'!$CC$60,"y"),0,-MAX(CC15,BH15,AM15,R15))/(MAX(CF15,BK15,AP15,U15)/'Cap Table'!$CC$61),CP15),CP15),0)</f>
        <v>0</v>
      </c>
      <c r="CT15" s="147">
        <f t="shared" ca="1" si="31"/>
        <v>0</v>
      </c>
      <c r="CV15" s="168">
        <f t="shared" ca="1" si="67"/>
        <v>45365</v>
      </c>
      <c r="CW15" s="168" t="str">
        <f t="shared" si="68"/>
        <v>Equity</v>
      </c>
      <c r="CX15" s="169">
        <v>0</v>
      </c>
      <c r="CY15" s="169">
        <f>IF('Cap Table'!CX$79&lt;&gt;"na",IF(CB15='Cap Table'!$B$40,CC15-CD15,0),0)</f>
        <v>0</v>
      </c>
      <c r="CZ15" s="171">
        <f t="shared" si="32"/>
        <v>0</v>
      </c>
      <c r="DA15" s="169">
        <f t="shared" si="33"/>
        <v>0</v>
      </c>
      <c r="DB15" s="172">
        <f t="shared" si="34"/>
        <v>0</v>
      </c>
      <c r="DC15" s="170">
        <f ca="1">FV(DB15/1,DATEDIF(CV15,'Cap Table'!CX$60,"y"),0,-CY15)</f>
        <v>0</v>
      </c>
      <c r="DD15" s="170">
        <f ca="1">IF('Cap Table'!CX$80="no",IFERROR(DC15/(1-CZ15),0),IFERROR(DC15/(1-(MAX(CZ15,('Cap Table'!CX$62-DA15/'Cap Table'!CX$61)/'Cap Table'!CX$62))),0))</f>
        <v>0</v>
      </c>
      <c r="DE15" s="146">
        <f t="shared" ca="1" si="35"/>
        <v>0</v>
      </c>
      <c r="DF15" s="149">
        <f ca="1">IF(AND('Cap Table'!CX$62=0,DC15&gt;0),DA15/'Cap Table'!CX$61,IFERROR(IF(DA15=0,'Cap Table'!CX$62*(1-CZ15),MIN('Cap Table'!CX$62*(1-CZ15),DA15/'Cap Table'!CX$61)),0))</f>
        <v>0</v>
      </c>
      <c r="DG15" s="170">
        <f t="shared" ca="1" si="83"/>
        <v>0</v>
      </c>
      <c r="DH15" s="170">
        <v>0</v>
      </c>
      <c r="DI15" s="146">
        <f t="shared" ca="1" si="36"/>
        <v>0</v>
      </c>
      <c r="DJ15" s="146">
        <f t="shared" si="36"/>
        <v>0</v>
      </c>
      <c r="DK15" s="146">
        <f t="shared" ca="1" si="69"/>
        <v>0</v>
      </c>
      <c r="DL15" s="147">
        <f t="shared" ca="1" si="37"/>
        <v>0</v>
      </c>
      <c r="DM15" s="146">
        <f ca="1">DK15*'Cap Table'!CX$62</f>
        <v>0</v>
      </c>
      <c r="DN15" s="173">
        <f ca="1">IFERROR(IF(OR(CW15='Cap Table'!$B$40,CW15='Cap Table'!$B$41,CW15='Cap Table'!$B$42),IF(SUM(CY15,CD15,BI15,AN15,S15,)&lt;SUM(CX15,CC15,BH15,AM15,R15),FV(MAX(DB15,CG15,BL15,AQ15,V15)/1,DATEDIF(CV15,'Cap Table'!$CX$60,"y"),0,-MAX(CX15,CC15,BH15,AM15,R15))/(MAX(DA15,CF15,BK15,AP15,U15,)/'Cap Table'!$CX$61),DK15),DK15),0)</f>
        <v>0</v>
      </c>
      <c r="DO15" s="147">
        <f t="shared" ca="1" si="38"/>
        <v>0</v>
      </c>
      <c r="DQ15" s="168">
        <f t="shared" ca="1" si="70"/>
        <v>45730</v>
      </c>
      <c r="DR15" s="168" t="str">
        <f t="shared" si="71"/>
        <v>Equity</v>
      </c>
      <c r="DS15" s="169">
        <v>0</v>
      </c>
      <c r="DT15" s="169">
        <f>IF('Cap Table'!DS$79&lt;&gt;"na",IF(CW15='Cap Table'!$B$40,CX15-CY15,0),0)</f>
        <v>0</v>
      </c>
      <c r="DU15" s="171">
        <f t="shared" si="86"/>
        <v>0</v>
      </c>
      <c r="DV15" s="169">
        <f t="shared" si="87"/>
        <v>0</v>
      </c>
      <c r="DW15" s="172">
        <f t="shared" si="88"/>
        <v>0</v>
      </c>
      <c r="DX15" s="170">
        <f ca="1">FV(DW15/1,DATEDIF(DQ15,'Cap Table'!DS$60,"y"),0,-DT15)</f>
        <v>0</v>
      </c>
      <c r="DY15" s="170">
        <f ca="1">IF('Cap Table'!DS$80="no",IFERROR(DX15/(1-DU15),0),IFERROR(DX15/(1-(MAX(DU15,('Cap Table'!DS$62-DV15/'Cap Table'!DS$61)/'Cap Table'!DS$62))),0))</f>
        <v>0</v>
      </c>
      <c r="DZ15" s="146">
        <f t="shared" ca="1" si="42"/>
        <v>0</v>
      </c>
      <c r="EA15" s="149">
        <f ca="1">IF(AND('Cap Table'!DS$62=0,DX15&gt;0),DV15/'Cap Table'!DS$61,IFERROR(IF(DV15=0,'Cap Table'!DS$62*(1-DU15),MIN('Cap Table'!DS$62*(1-DU15),DV15/'Cap Table'!DS$61)),0))</f>
        <v>0</v>
      </c>
      <c r="EB15" s="170">
        <f t="shared" ca="1" si="84"/>
        <v>0</v>
      </c>
      <c r="EC15" s="170">
        <v>0</v>
      </c>
      <c r="ED15" s="146">
        <f t="shared" ca="1" si="72"/>
        <v>0</v>
      </c>
      <c r="EE15" s="146">
        <f t="shared" si="43"/>
        <v>0</v>
      </c>
      <c r="EF15" s="146">
        <f t="shared" ca="1" si="73"/>
        <v>0</v>
      </c>
      <c r="EG15" s="147">
        <f t="shared" ca="1" si="44"/>
        <v>0</v>
      </c>
      <c r="EH15" s="146">
        <f ca="1">EF15*'Cap Table'!DS$62</f>
        <v>0</v>
      </c>
      <c r="EI15" s="173">
        <f ca="1">IFERROR(IF(OR(DR15='Cap Table'!$B$40,DR15='Cap Table'!$B$41,DR15='Cap Table'!$B$42),IF(SUM(DT15,CY15,CD15,BI15,AN15,S15)&lt;SUM(DS15,CX15,CC15,BH15,AM15,R15),FV(MAX(DW15,DB15,CG15,BL15,AQ15,V15)/1,DATEDIF(DQ15,'Cap Table'!DS$60,"y"),0,-MAX(DS15,CX15,CC15,BH15,AM15,R15))/(MAX(DV15,DA15,CF15,BK15,AP15,U15)/'Cap Table'!$DS$61),EF15),EF15),0)</f>
        <v>0</v>
      </c>
      <c r="EJ15" s="147">
        <f t="shared" ca="1" si="45"/>
        <v>0</v>
      </c>
      <c r="EL15" s="146">
        <f t="shared" si="74"/>
        <v>0</v>
      </c>
      <c r="EM15" s="146">
        <f t="shared" si="74"/>
        <v>0</v>
      </c>
      <c r="EN15" s="174" t="s">
        <v>27</v>
      </c>
      <c r="EO15" s="174" t="s">
        <v>27</v>
      </c>
      <c r="EP15" s="174" t="s">
        <v>27</v>
      </c>
      <c r="EQ15" s="146">
        <f t="shared" ca="1" si="75"/>
        <v>0</v>
      </c>
      <c r="ER15" s="146">
        <f t="shared" ca="1" si="75"/>
        <v>0</v>
      </c>
      <c r="ES15" s="146">
        <f t="shared" ca="1" si="75"/>
        <v>0</v>
      </c>
      <c r="ET15" s="149">
        <f t="shared" ca="1" si="89"/>
        <v>0</v>
      </c>
      <c r="EU15" s="146">
        <f t="shared" ca="1" si="76"/>
        <v>0</v>
      </c>
      <c r="EV15" s="146">
        <f t="shared" si="76"/>
        <v>0</v>
      </c>
      <c r="EW15" s="146">
        <f t="shared" ca="1" si="77"/>
        <v>0</v>
      </c>
      <c r="EX15" s="146">
        <f t="shared" si="77"/>
        <v>0</v>
      </c>
      <c r="EY15" s="146">
        <f t="shared" ca="1" si="77"/>
        <v>0</v>
      </c>
      <c r="EZ15" s="147">
        <f t="shared" ca="1" si="46"/>
        <v>0</v>
      </c>
      <c r="FA15" s="146">
        <f t="shared" ca="1" si="78"/>
        <v>0</v>
      </c>
      <c r="FB15" s="146">
        <f t="shared" ca="1" si="78"/>
        <v>0</v>
      </c>
      <c r="FC15" s="147">
        <f t="shared" ca="1" si="47"/>
        <v>0</v>
      </c>
      <c r="FE15" s="149" t="str">
        <f t="shared" si="0"/>
        <v>Common</v>
      </c>
      <c r="FF15" s="146">
        <f t="shared" ca="1" si="48"/>
        <v>0</v>
      </c>
      <c r="FG15" s="146">
        <f t="shared" ca="1" si="49"/>
        <v>0</v>
      </c>
      <c r="FH15" s="146">
        <f t="shared" ca="1" si="50"/>
        <v>0</v>
      </c>
      <c r="FJ15" s="146" t="str">
        <f t="shared" si="51"/>
        <v>Common</v>
      </c>
      <c r="FK15" s="174" t="str">
        <f t="shared" ca="1" si="52"/>
        <v>na</v>
      </c>
      <c r="FL15" s="174" t="str">
        <f t="shared" ca="1" si="52"/>
        <v>na</v>
      </c>
      <c r="FM15" s="174" t="str">
        <f t="shared" ca="1" si="53"/>
        <v>na</v>
      </c>
    </row>
    <row r="16" spans="2:169">
      <c r="B16" s="145" t="s">
        <v>27</v>
      </c>
      <c r="D16" s="167" t="s">
        <v>27</v>
      </c>
      <c r="E16" s="167" t="str">
        <f t="shared" si="54"/>
        <v>Common</v>
      </c>
      <c r="G16" s="168">
        <f t="shared" ca="1" si="1"/>
        <v>43538</v>
      </c>
      <c r="H16" s="289" t="str">
        <f t="shared" si="2"/>
        <v>Equity</v>
      </c>
      <c r="I16" s="169">
        <v>0</v>
      </c>
      <c r="J16" s="170">
        <v>0</v>
      </c>
      <c r="K16" s="170">
        <f t="shared" si="55"/>
        <v>0</v>
      </c>
      <c r="L16" s="147">
        <f t="shared" si="3"/>
        <v>0</v>
      </c>
      <c r="M16" s="170">
        <f t="shared" si="56"/>
        <v>0</v>
      </c>
      <c r="N16" s="147">
        <f t="shared" si="4"/>
        <v>0</v>
      </c>
      <c r="O16" s="147"/>
      <c r="P16" s="168">
        <f t="shared" ca="1" si="85"/>
        <v>43904</v>
      </c>
      <c r="Q16" s="289" t="str">
        <f t="shared" si="5"/>
        <v>Equity</v>
      </c>
      <c r="R16" s="169">
        <v>0</v>
      </c>
      <c r="S16" s="169">
        <v>0</v>
      </c>
      <c r="T16" s="171">
        <v>0</v>
      </c>
      <c r="U16" s="145">
        <v>0</v>
      </c>
      <c r="V16" s="172">
        <v>0</v>
      </c>
      <c r="W16" s="170">
        <f ca="1">FV(V16/1,DATEDIF(P16,'Cap Table'!R$60,"y"),0,-S16)</f>
        <v>0</v>
      </c>
      <c r="X16" s="170">
        <f t="shared" ca="1" si="6"/>
        <v>0</v>
      </c>
      <c r="Y16" s="146">
        <f t="shared" ca="1" si="7"/>
        <v>0</v>
      </c>
      <c r="Z16" s="149">
        <f ca="1">IF(AND('Cap Table'!R$62=0,W16&gt;0),U16/'Cap Table'!R$61,IFERROR(IF(U16=0,'Cap Table'!R$62*(1-T16),MIN('Cap Table'!R$62*(1-T16),U16/'Cap Table'!R$61)),0))</f>
        <v>0</v>
      </c>
      <c r="AA16" s="170">
        <f t="shared" ca="1" si="79"/>
        <v>0</v>
      </c>
      <c r="AB16" s="170">
        <v>0</v>
      </c>
      <c r="AC16" s="146">
        <f t="shared" ca="1" si="8"/>
        <v>0</v>
      </c>
      <c r="AD16" s="146">
        <f t="shared" si="8"/>
        <v>0</v>
      </c>
      <c r="AE16" s="146">
        <f t="shared" ca="1" si="57"/>
        <v>0</v>
      </c>
      <c r="AF16" s="147">
        <f t="shared" ca="1" si="9"/>
        <v>0</v>
      </c>
      <c r="AG16" s="146">
        <f ca="1">AE16*'Cap Table'!R$62</f>
        <v>0</v>
      </c>
      <c r="AH16" s="146">
        <f ca="1">IFERROR(IF(OR(Q16='Cap Table'!$B$40,Q16='Cap Table'!$B$41,Q16='Cap Table'!$B$42),IF(SUM(S16)&lt;SUM(R16),(FV(V16/1,DATEDIF(P16,'Cap Table'!R$60,"y"),0,-R16))/(U16/'Cap Table'!$R$61),AE16),AE16),0)</f>
        <v>0</v>
      </c>
      <c r="AI16" s="147">
        <f t="shared" ca="1" si="10"/>
        <v>0</v>
      </c>
      <c r="AK16" s="168">
        <f t="shared" ca="1" si="58"/>
        <v>44269</v>
      </c>
      <c r="AL16" s="168" t="str">
        <f t="shared" si="59"/>
        <v>Equity</v>
      </c>
      <c r="AM16" s="169">
        <v>0</v>
      </c>
      <c r="AN16" s="169">
        <f>IF('Cap Table'!AM$79&lt;&gt;"na",IF(Q16='Cap Table'!$B$40,R16-S16,0),0)</f>
        <v>0</v>
      </c>
      <c r="AO16" s="171">
        <f t="shared" si="11"/>
        <v>0</v>
      </c>
      <c r="AP16" s="169">
        <f t="shared" si="12"/>
        <v>0</v>
      </c>
      <c r="AQ16" s="172">
        <f t="shared" si="13"/>
        <v>0</v>
      </c>
      <c r="AR16" s="170">
        <f ca="1">FV(AQ16/1,DATEDIF(AK16,'Cap Table'!AM$60,"y"),0,-AN16)</f>
        <v>0</v>
      </c>
      <c r="AS16" s="170">
        <f ca="1">IF('Cap Table'!AM$80="no",IFERROR(AR16/(1-AO16),0),IFERROR(AR16/(1-(MAX(AO16,('Cap Table'!AM$62-AP16/'Cap Table'!AM$61)/'Cap Table'!AM$62))),0))</f>
        <v>0</v>
      </c>
      <c r="AT16" s="146">
        <f t="shared" ca="1" si="14"/>
        <v>0</v>
      </c>
      <c r="AU16" s="149">
        <f ca="1">IF(AND('Cap Table'!AM$62=0,AR16&gt;0),AP16/'Cap Table'!AM$61,IFERROR(IF(AP16=0,'Cap Table'!AM$62*(1-AO16),MIN('Cap Table'!AM$62*(1-AO16),AP16/'Cap Table'!AM$61)),0))</f>
        <v>0</v>
      </c>
      <c r="AV16" s="170">
        <f t="shared" ca="1" si="80"/>
        <v>0</v>
      </c>
      <c r="AW16" s="170">
        <v>0</v>
      </c>
      <c r="AX16" s="146">
        <f t="shared" ca="1" si="15"/>
        <v>0</v>
      </c>
      <c r="AY16" s="146">
        <f t="shared" si="15"/>
        <v>0</v>
      </c>
      <c r="AZ16" s="146">
        <f t="shared" ca="1" si="60"/>
        <v>0</v>
      </c>
      <c r="BA16" s="147">
        <f t="shared" ca="1" si="16"/>
        <v>0</v>
      </c>
      <c r="BB16" s="146">
        <f ca="1">AZ16*'Cap Table'!AM$62</f>
        <v>0</v>
      </c>
      <c r="BC16" s="173">
        <f ca="1">IFERROR(IF(OR(AL16='Cap Table'!$B$40,AL16='Cap Table'!$B$41,AL16='Cap Table'!$B$42),IF(SUM(AN16,S16)&lt;SUM(AM16,R16),FV(MAX(AQ16,V16)/1,DATEDIF(AK16,'Cap Table'!$AM$60,"y"),0,-MAX(AM16,R16))/(MAX(AP16,U16)/'Cap Table'!$AM$61),AZ16),AZ16),0)</f>
        <v>0</v>
      </c>
      <c r="BD16" s="147">
        <f t="shared" ca="1" si="17"/>
        <v>0</v>
      </c>
      <c r="BF16" s="168">
        <f t="shared" ca="1" si="61"/>
        <v>44634</v>
      </c>
      <c r="BG16" s="168" t="str">
        <f t="shared" si="62"/>
        <v>Equity</v>
      </c>
      <c r="BH16" s="169">
        <v>0</v>
      </c>
      <c r="BI16" s="169">
        <f>IF('Cap Table'!BH$79&lt;&gt;"na",IF(AL16='Cap Table'!$B$40,AM16-AN16,0),0)</f>
        <v>0</v>
      </c>
      <c r="BJ16" s="171">
        <f t="shared" si="18"/>
        <v>0</v>
      </c>
      <c r="BK16" s="169">
        <f t="shared" si="19"/>
        <v>0</v>
      </c>
      <c r="BL16" s="172">
        <f t="shared" si="20"/>
        <v>0</v>
      </c>
      <c r="BM16" s="170">
        <f ca="1">FV(BL16/1,DATEDIF(BF16,'Cap Table'!BH$60,"y"),0,-BI16)</f>
        <v>0</v>
      </c>
      <c r="BN16" s="170">
        <f ca="1">IF('Cap Table'!BH$80="no",IFERROR(BM16/(1-BJ16),0),IFERROR(BM16/(1-(MAX(BJ16,('Cap Table'!BH$62-BK16/'Cap Table'!BH$61)/'Cap Table'!BH$62))),0))</f>
        <v>0</v>
      </c>
      <c r="BO16" s="146">
        <f t="shared" ca="1" si="21"/>
        <v>0</v>
      </c>
      <c r="BP16" s="149">
        <f ca="1">IF(AND('Cap Table'!BH$62=0,BM16&gt;0),BK16/'Cap Table'!BH$61,IFERROR(IF(BK16=0,'Cap Table'!BH$62*(1-BJ16),MIN('Cap Table'!BH$62*(1-BJ16),BK16/'Cap Table'!BH$61)),0))</f>
        <v>0</v>
      </c>
      <c r="BQ16" s="170">
        <f t="shared" ca="1" si="81"/>
        <v>0</v>
      </c>
      <c r="BR16" s="170">
        <v>0</v>
      </c>
      <c r="BS16" s="146">
        <f t="shared" ca="1" si="22"/>
        <v>0</v>
      </c>
      <c r="BT16" s="146">
        <f t="shared" si="22"/>
        <v>0</v>
      </c>
      <c r="BU16" s="146">
        <f t="shared" ca="1" si="63"/>
        <v>0</v>
      </c>
      <c r="BV16" s="147">
        <f t="shared" ca="1" si="23"/>
        <v>0</v>
      </c>
      <c r="BW16" s="146">
        <f ca="1">BU16*'Cap Table'!BH$62</f>
        <v>0</v>
      </c>
      <c r="BX16" s="173">
        <f ca="1">IFERROR(IF(OR(BG16='Cap Table'!$B$40,BG16='Cap Table'!$B$41,BG16='Cap Table'!$B$42),IF(SUM(BI16,AN16,S16)&lt;SUM(BH16,AM16,R16),FV(MAX(BL16,AQ16,V16)/1,DATEDIF(BF16,'Cap Table'!$BH$60,"y"),0,-MAX(BH16,AM16,R16))/(MAX(BK16,AP16,U16)/'Cap Table'!$BH$61),BU16),BU16),0)</f>
        <v>0</v>
      </c>
      <c r="BY16" s="147">
        <f t="shared" ca="1" si="24"/>
        <v>0</v>
      </c>
      <c r="CA16" s="168">
        <f t="shared" ca="1" si="64"/>
        <v>44999</v>
      </c>
      <c r="CB16" s="168" t="str">
        <f t="shared" si="65"/>
        <v>Equity</v>
      </c>
      <c r="CC16" s="169">
        <v>0</v>
      </c>
      <c r="CD16" s="169">
        <f>IF('Cap Table'!CC$79&lt;&gt;"na",IF(BG16='Cap Table'!$B$40,BH16-BI16,0),0)</f>
        <v>0</v>
      </c>
      <c r="CE16" s="171">
        <f t="shared" si="25"/>
        <v>0</v>
      </c>
      <c r="CF16" s="169">
        <f t="shared" si="26"/>
        <v>0</v>
      </c>
      <c r="CG16" s="172">
        <f t="shared" si="27"/>
        <v>0</v>
      </c>
      <c r="CH16" s="170">
        <f ca="1">FV(CG16/1,DATEDIF(CA16,'Cap Table'!CC$60,"y"),0,-CD16)</f>
        <v>0</v>
      </c>
      <c r="CI16" s="170">
        <f ca="1">IF('Cap Table'!CC$80="no",IFERROR(CH16/(1-CE16),0),IFERROR(CH16/(1-(MAX(CE16,('Cap Table'!CC$62-CF16/'Cap Table'!CC$61)/'Cap Table'!CC$62))),0))</f>
        <v>0</v>
      </c>
      <c r="CJ16" s="146">
        <f t="shared" ca="1" si="28"/>
        <v>0</v>
      </c>
      <c r="CK16" s="149">
        <f ca="1">IF(AND('Cap Table'!CC$62=0,CH16&gt;0),CF16/'Cap Table'!CC$61,IFERROR(IF(CF16=0,'Cap Table'!CC$62*(1-CE16),MIN('Cap Table'!CC$62*(1-CE16),CF16/'Cap Table'!CC$61)),0))</f>
        <v>0</v>
      </c>
      <c r="CL16" s="170">
        <f t="shared" ca="1" si="82"/>
        <v>0</v>
      </c>
      <c r="CM16" s="170">
        <v>0</v>
      </c>
      <c r="CN16" s="146">
        <f t="shared" ca="1" si="29"/>
        <v>0</v>
      </c>
      <c r="CO16" s="146">
        <f t="shared" si="29"/>
        <v>0</v>
      </c>
      <c r="CP16" s="146">
        <f t="shared" ca="1" si="66"/>
        <v>0</v>
      </c>
      <c r="CQ16" s="147">
        <f t="shared" ca="1" si="30"/>
        <v>0</v>
      </c>
      <c r="CR16" s="146">
        <f ca="1">CP16*'Cap Table'!CC$62</f>
        <v>0</v>
      </c>
      <c r="CS16" s="173">
        <f ca="1">IFERROR(IF(OR(CB16='Cap Table'!$B$40,CB16='Cap Table'!$B$41,CB16='Cap Table'!$B$42),IF(SUM(CD16,BI16,AN16,S16)&lt;SUM(CC16,BH16,AM16,R16),FV(MAX(CG16,BL16,AQ16,V16)/1,DATEDIF(CA16,'Cap Table'!$CC$60,"y"),0,-MAX(CC16,BH16,AM16,R16))/(MAX(CF16,BK16,AP16,U16)/'Cap Table'!$CC$61),CP16),CP16),0)</f>
        <v>0</v>
      </c>
      <c r="CT16" s="147">
        <f t="shared" ca="1" si="31"/>
        <v>0</v>
      </c>
      <c r="CV16" s="168">
        <f t="shared" ca="1" si="67"/>
        <v>45365</v>
      </c>
      <c r="CW16" s="168" t="str">
        <f t="shared" si="68"/>
        <v>Equity</v>
      </c>
      <c r="CX16" s="169">
        <v>0</v>
      </c>
      <c r="CY16" s="169">
        <f>IF('Cap Table'!CX$79&lt;&gt;"na",IF(CB16='Cap Table'!$B$40,CC16-CD16,0),0)</f>
        <v>0</v>
      </c>
      <c r="CZ16" s="171">
        <f t="shared" si="32"/>
        <v>0</v>
      </c>
      <c r="DA16" s="169">
        <f t="shared" si="33"/>
        <v>0</v>
      </c>
      <c r="DB16" s="172">
        <f t="shared" si="34"/>
        <v>0</v>
      </c>
      <c r="DC16" s="170">
        <f ca="1">FV(DB16/1,DATEDIF(CV16,'Cap Table'!CX$60,"y"),0,-CY16)</f>
        <v>0</v>
      </c>
      <c r="DD16" s="170">
        <f ca="1">IF('Cap Table'!CX$80="no",IFERROR(DC16/(1-CZ16),0),IFERROR(DC16/(1-(MAX(CZ16,('Cap Table'!CX$62-DA16/'Cap Table'!CX$61)/'Cap Table'!CX$62))),0))</f>
        <v>0</v>
      </c>
      <c r="DE16" s="146">
        <f t="shared" ca="1" si="35"/>
        <v>0</v>
      </c>
      <c r="DF16" s="149">
        <f ca="1">IF(AND('Cap Table'!CX$62=0,DC16&gt;0),DA16/'Cap Table'!CX$61,IFERROR(IF(DA16=0,'Cap Table'!CX$62*(1-CZ16),MIN('Cap Table'!CX$62*(1-CZ16),DA16/'Cap Table'!CX$61)),0))</f>
        <v>0</v>
      </c>
      <c r="DG16" s="170">
        <f t="shared" ca="1" si="83"/>
        <v>0</v>
      </c>
      <c r="DH16" s="170">
        <v>0</v>
      </c>
      <c r="DI16" s="146">
        <f t="shared" ca="1" si="36"/>
        <v>0</v>
      </c>
      <c r="DJ16" s="146">
        <f t="shared" si="36"/>
        <v>0</v>
      </c>
      <c r="DK16" s="146">
        <f t="shared" ca="1" si="69"/>
        <v>0</v>
      </c>
      <c r="DL16" s="147">
        <f t="shared" ca="1" si="37"/>
        <v>0</v>
      </c>
      <c r="DM16" s="146">
        <f ca="1">DK16*'Cap Table'!CX$62</f>
        <v>0</v>
      </c>
      <c r="DN16" s="173">
        <f ca="1">IFERROR(IF(OR(CW16='Cap Table'!$B$40,CW16='Cap Table'!$B$41,CW16='Cap Table'!$B$42),IF(SUM(CY16,CD16,BI16,AN16,S16,)&lt;SUM(CX16,CC16,BH16,AM16,R16),FV(MAX(DB16,CG16,BL16,AQ16,V16)/1,DATEDIF(CV16,'Cap Table'!$CX$60,"y"),0,-MAX(CX16,CC16,BH16,AM16,R16))/(MAX(DA16,CF16,BK16,AP16,U16,)/'Cap Table'!$CX$61),DK16),DK16),0)</f>
        <v>0</v>
      </c>
      <c r="DO16" s="147">
        <f t="shared" ca="1" si="38"/>
        <v>0</v>
      </c>
      <c r="DQ16" s="168">
        <f t="shared" ca="1" si="70"/>
        <v>45730</v>
      </c>
      <c r="DR16" s="168" t="str">
        <f t="shared" si="71"/>
        <v>Equity</v>
      </c>
      <c r="DS16" s="169">
        <v>0</v>
      </c>
      <c r="DT16" s="169">
        <f>IF('Cap Table'!DS$79&lt;&gt;"na",IF(CW16='Cap Table'!$B$40,CX16-CY16,0),0)</f>
        <v>0</v>
      </c>
      <c r="DU16" s="171">
        <f t="shared" si="86"/>
        <v>0</v>
      </c>
      <c r="DV16" s="169">
        <f t="shared" si="87"/>
        <v>0</v>
      </c>
      <c r="DW16" s="172">
        <f t="shared" si="88"/>
        <v>0</v>
      </c>
      <c r="DX16" s="170">
        <f ca="1">FV(DW16/1,DATEDIF(DQ16,'Cap Table'!DS$60,"y"),0,-DT16)</f>
        <v>0</v>
      </c>
      <c r="DY16" s="170">
        <f ca="1">IF('Cap Table'!DS$80="no",IFERROR(DX16/(1-DU16),0),IFERROR(DX16/(1-(MAX(DU16,('Cap Table'!DS$62-DV16/'Cap Table'!DS$61)/'Cap Table'!DS$62))),0))</f>
        <v>0</v>
      </c>
      <c r="DZ16" s="146">
        <f t="shared" ca="1" si="42"/>
        <v>0</v>
      </c>
      <c r="EA16" s="149">
        <f ca="1">IF(AND('Cap Table'!DS$62=0,DX16&gt;0),DV16/'Cap Table'!DS$61,IFERROR(IF(DV16=0,'Cap Table'!DS$62*(1-DU16),MIN('Cap Table'!DS$62*(1-DU16),DV16/'Cap Table'!DS$61)),0))</f>
        <v>0</v>
      </c>
      <c r="EB16" s="170">
        <f t="shared" ca="1" si="84"/>
        <v>0</v>
      </c>
      <c r="EC16" s="170">
        <v>0</v>
      </c>
      <c r="ED16" s="146">
        <f t="shared" ca="1" si="72"/>
        <v>0</v>
      </c>
      <c r="EE16" s="146">
        <f t="shared" si="43"/>
        <v>0</v>
      </c>
      <c r="EF16" s="146">
        <f t="shared" ca="1" si="73"/>
        <v>0</v>
      </c>
      <c r="EG16" s="147">
        <f t="shared" ca="1" si="44"/>
        <v>0</v>
      </c>
      <c r="EH16" s="146">
        <f ca="1">EF16*'Cap Table'!DS$62</f>
        <v>0</v>
      </c>
      <c r="EI16" s="173">
        <f ca="1">IFERROR(IF(OR(DR16='Cap Table'!$B$40,DR16='Cap Table'!$B$41,DR16='Cap Table'!$B$42),IF(SUM(DT16,CY16,CD16,BI16,AN16,S16)&lt;SUM(DS16,CX16,CC16,BH16,AM16,R16),FV(MAX(DW16,DB16,CG16,BL16,AQ16,V16)/1,DATEDIF(DQ16,'Cap Table'!DS$60,"y"),0,-MAX(DS16,CX16,CC16,BH16,AM16,R16))/(MAX(DV16,DA16,CF16,BK16,AP16,U16)/'Cap Table'!$DS$61),EF16),EF16),0)</f>
        <v>0</v>
      </c>
      <c r="EJ16" s="147">
        <f t="shared" ca="1" si="45"/>
        <v>0</v>
      </c>
      <c r="EL16" s="146">
        <f t="shared" si="74"/>
        <v>0</v>
      </c>
      <c r="EM16" s="146">
        <f t="shared" si="74"/>
        <v>0</v>
      </c>
      <c r="EN16" s="174" t="s">
        <v>27</v>
      </c>
      <c r="EO16" s="174" t="s">
        <v>27</v>
      </c>
      <c r="EP16" s="174" t="s">
        <v>27</v>
      </c>
      <c r="EQ16" s="146">
        <f t="shared" ca="1" si="75"/>
        <v>0</v>
      </c>
      <c r="ER16" s="146">
        <f t="shared" ca="1" si="75"/>
        <v>0</v>
      </c>
      <c r="ES16" s="146">
        <f t="shared" ca="1" si="75"/>
        <v>0</v>
      </c>
      <c r="ET16" s="149">
        <f t="shared" ca="1" si="89"/>
        <v>0</v>
      </c>
      <c r="EU16" s="146">
        <f t="shared" ca="1" si="76"/>
        <v>0</v>
      </c>
      <c r="EV16" s="146">
        <f t="shared" si="76"/>
        <v>0</v>
      </c>
      <c r="EW16" s="146">
        <f t="shared" ca="1" si="77"/>
        <v>0</v>
      </c>
      <c r="EX16" s="146">
        <f t="shared" si="77"/>
        <v>0</v>
      </c>
      <c r="EY16" s="146">
        <f t="shared" ca="1" si="77"/>
        <v>0</v>
      </c>
      <c r="EZ16" s="147">
        <f t="shared" ca="1" si="46"/>
        <v>0</v>
      </c>
      <c r="FA16" s="146">
        <f t="shared" ca="1" si="78"/>
        <v>0</v>
      </c>
      <c r="FB16" s="146">
        <f t="shared" ca="1" si="78"/>
        <v>0</v>
      </c>
      <c r="FC16" s="147">
        <f t="shared" ca="1" si="47"/>
        <v>0</v>
      </c>
      <c r="FE16" s="149" t="str">
        <f t="shared" si="0"/>
        <v>Common</v>
      </c>
      <c r="FF16" s="146">
        <f t="shared" ca="1" si="48"/>
        <v>0</v>
      </c>
      <c r="FG16" s="146">
        <f t="shared" ca="1" si="49"/>
        <v>0</v>
      </c>
      <c r="FH16" s="146">
        <f t="shared" ca="1" si="50"/>
        <v>0</v>
      </c>
      <c r="FJ16" s="146" t="str">
        <f t="shared" si="51"/>
        <v>Common</v>
      </c>
      <c r="FK16" s="174" t="str">
        <f t="shared" ca="1" si="52"/>
        <v>na</v>
      </c>
      <c r="FL16" s="174" t="str">
        <f t="shared" ca="1" si="52"/>
        <v>na</v>
      </c>
      <c r="FM16" s="174" t="str">
        <f t="shared" ca="1" si="53"/>
        <v>na</v>
      </c>
    </row>
    <row r="17" spans="2:169">
      <c r="B17" s="145" t="s">
        <v>27</v>
      </c>
      <c r="D17" s="167" t="s">
        <v>27</v>
      </c>
      <c r="E17" s="167" t="str">
        <f t="shared" si="54"/>
        <v>Common</v>
      </c>
      <c r="G17" s="168">
        <f t="shared" ca="1" si="1"/>
        <v>43538</v>
      </c>
      <c r="H17" s="289" t="str">
        <f t="shared" si="2"/>
        <v>Equity</v>
      </c>
      <c r="I17" s="169">
        <v>0</v>
      </c>
      <c r="J17" s="170">
        <v>0</v>
      </c>
      <c r="K17" s="170">
        <f t="shared" si="55"/>
        <v>0</v>
      </c>
      <c r="L17" s="147">
        <f t="shared" si="3"/>
        <v>0</v>
      </c>
      <c r="M17" s="170">
        <f t="shared" si="56"/>
        <v>0</v>
      </c>
      <c r="N17" s="147">
        <f t="shared" si="4"/>
        <v>0</v>
      </c>
      <c r="O17" s="147"/>
      <c r="P17" s="168">
        <f t="shared" ca="1" si="85"/>
        <v>43904</v>
      </c>
      <c r="Q17" s="289" t="str">
        <f t="shared" si="5"/>
        <v>Equity</v>
      </c>
      <c r="R17" s="169">
        <v>0</v>
      </c>
      <c r="S17" s="169">
        <v>0</v>
      </c>
      <c r="T17" s="171">
        <v>0</v>
      </c>
      <c r="U17" s="145">
        <v>0</v>
      </c>
      <c r="V17" s="172">
        <v>0</v>
      </c>
      <c r="W17" s="170">
        <f ca="1">FV(V17/1,DATEDIF(P17,'Cap Table'!R$60,"y"),0,-S17)</f>
        <v>0</v>
      </c>
      <c r="X17" s="170">
        <f t="shared" ca="1" si="6"/>
        <v>0</v>
      </c>
      <c r="Y17" s="146">
        <f t="shared" ca="1" si="7"/>
        <v>0</v>
      </c>
      <c r="Z17" s="149">
        <f ca="1">IF(AND('Cap Table'!R$62=0,W17&gt;0),U17/'Cap Table'!R$61,IFERROR(IF(U17=0,'Cap Table'!R$62*(1-T17),MIN('Cap Table'!R$62*(1-T17),U17/'Cap Table'!R$61)),0))</f>
        <v>0</v>
      </c>
      <c r="AA17" s="170">
        <f t="shared" ca="1" si="79"/>
        <v>0</v>
      </c>
      <c r="AB17" s="170">
        <v>0</v>
      </c>
      <c r="AC17" s="146">
        <f t="shared" ca="1" si="8"/>
        <v>0</v>
      </c>
      <c r="AD17" s="146">
        <f t="shared" si="8"/>
        <v>0</v>
      </c>
      <c r="AE17" s="146">
        <f t="shared" ca="1" si="57"/>
        <v>0</v>
      </c>
      <c r="AF17" s="147">
        <f t="shared" ca="1" si="9"/>
        <v>0</v>
      </c>
      <c r="AG17" s="146">
        <f ca="1">AE17*'Cap Table'!R$62</f>
        <v>0</v>
      </c>
      <c r="AH17" s="146">
        <f ca="1">IFERROR(IF(OR(Q17='Cap Table'!$B$40,Q17='Cap Table'!$B$41,Q17='Cap Table'!$B$42),IF(SUM(S17)&lt;SUM(R17),(FV(V17/1,DATEDIF(P17,'Cap Table'!R$60,"y"),0,-R17))/(U17/'Cap Table'!$R$61),AE17),AE17),0)</f>
        <v>0</v>
      </c>
      <c r="AI17" s="147">
        <f t="shared" ca="1" si="10"/>
        <v>0</v>
      </c>
      <c r="AK17" s="168">
        <f t="shared" ca="1" si="58"/>
        <v>44269</v>
      </c>
      <c r="AL17" s="168" t="str">
        <f t="shared" si="59"/>
        <v>Equity</v>
      </c>
      <c r="AM17" s="169">
        <v>0</v>
      </c>
      <c r="AN17" s="169">
        <f>IF('Cap Table'!AM$79&lt;&gt;"na",IF(Q17='Cap Table'!$B$40,R17-S17,0),0)</f>
        <v>0</v>
      </c>
      <c r="AO17" s="171">
        <f t="shared" si="11"/>
        <v>0</v>
      </c>
      <c r="AP17" s="169">
        <f t="shared" si="12"/>
        <v>0</v>
      </c>
      <c r="AQ17" s="172">
        <f t="shared" si="13"/>
        <v>0</v>
      </c>
      <c r="AR17" s="170">
        <f ca="1">FV(AQ17/1,DATEDIF(AK17,'Cap Table'!AM$60,"y"),0,-AN17)</f>
        <v>0</v>
      </c>
      <c r="AS17" s="170">
        <f ca="1">IF('Cap Table'!AM$80="no",IFERROR(AR17/(1-AO17),0),IFERROR(AR17/(1-(MAX(AO17,('Cap Table'!AM$62-AP17/'Cap Table'!AM$61)/'Cap Table'!AM$62))),0))</f>
        <v>0</v>
      </c>
      <c r="AT17" s="146">
        <f t="shared" ca="1" si="14"/>
        <v>0</v>
      </c>
      <c r="AU17" s="149">
        <f ca="1">IF(AND('Cap Table'!AM$62=0,AR17&gt;0),AP17/'Cap Table'!AM$61,IFERROR(IF(AP17=0,'Cap Table'!AM$62*(1-AO17),MIN('Cap Table'!AM$62*(1-AO17),AP17/'Cap Table'!AM$61)),0))</f>
        <v>0</v>
      </c>
      <c r="AV17" s="170">
        <f t="shared" ca="1" si="80"/>
        <v>0</v>
      </c>
      <c r="AW17" s="170">
        <v>0</v>
      </c>
      <c r="AX17" s="146">
        <f t="shared" ca="1" si="15"/>
        <v>0</v>
      </c>
      <c r="AY17" s="146">
        <f t="shared" si="15"/>
        <v>0</v>
      </c>
      <c r="AZ17" s="146">
        <f t="shared" ca="1" si="60"/>
        <v>0</v>
      </c>
      <c r="BA17" s="147">
        <f t="shared" ca="1" si="16"/>
        <v>0</v>
      </c>
      <c r="BB17" s="146">
        <f ca="1">AZ17*'Cap Table'!AM$62</f>
        <v>0</v>
      </c>
      <c r="BC17" s="173">
        <f ca="1">IFERROR(IF(OR(AL17='Cap Table'!$B$40,AL17='Cap Table'!$B$41,AL17='Cap Table'!$B$42),IF(SUM(AN17,S17)&lt;SUM(AM17,R17),FV(MAX(AQ17,V17)/1,DATEDIF(AK17,'Cap Table'!$AM$60,"y"),0,-MAX(AM17,R17))/(MAX(AP17,U17)/'Cap Table'!$AM$61),AZ17),AZ17),0)</f>
        <v>0</v>
      </c>
      <c r="BD17" s="147">
        <f t="shared" ca="1" si="17"/>
        <v>0</v>
      </c>
      <c r="BF17" s="168">
        <f t="shared" ca="1" si="61"/>
        <v>44634</v>
      </c>
      <c r="BG17" s="168" t="str">
        <f t="shared" si="62"/>
        <v>Equity</v>
      </c>
      <c r="BH17" s="169">
        <v>0</v>
      </c>
      <c r="BI17" s="169">
        <f>IF('Cap Table'!BH$79&lt;&gt;"na",IF(AL17='Cap Table'!$B$40,AM17-AN17,0),0)</f>
        <v>0</v>
      </c>
      <c r="BJ17" s="171">
        <f t="shared" si="18"/>
        <v>0</v>
      </c>
      <c r="BK17" s="169">
        <f t="shared" si="19"/>
        <v>0</v>
      </c>
      <c r="BL17" s="172">
        <f t="shared" si="20"/>
        <v>0</v>
      </c>
      <c r="BM17" s="170">
        <f ca="1">FV(BL17/1,DATEDIF(BF17,'Cap Table'!BH$60,"y"),0,-BI17)</f>
        <v>0</v>
      </c>
      <c r="BN17" s="170">
        <f ca="1">IF('Cap Table'!BH$80="no",IFERROR(BM17/(1-BJ17),0),IFERROR(BM17/(1-(MAX(BJ17,('Cap Table'!BH$62-BK17/'Cap Table'!BH$61)/'Cap Table'!BH$62))),0))</f>
        <v>0</v>
      </c>
      <c r="BO17" s="146">
        <f t="shared" ca="1" si="21"/>
        <v>0</v>
      </c>
      <c r="BP17" s="149">
        <f ca="1">IF(AND('Cap Table'!BH$62=0,BM17&gt;0),BK17/'Cap Table'!BH$61,IFERROR(IF(BK17=0,'Cap Table'!BH$62*(1-BJ17),MIN('Cap Table'!BH$62*(1-BJ17),BK17/'Cap Table'!BH$61)),0))</f>
        <v>0</v>
      </c>
      <c r="BQ17" s="170">
        <f t="shared" ca="1" si="81"/>
        <v>0</v>
      </c>
      <c r="BR17" s="170">
        <v>0</v>
      </c>
      <c r="BS17" s="146">
        <f t="shared" ca="1" si="22"/>
        <v>0</v>
      </c>
      <c r="BT17" s="146">
        <f t="shared" si="22"/>
        <v>0</v>
      </c>
      <c r="BU17" s="146">
        <f t="shared" ca="1" si="63"/>
        <v>0</v>
      </c>
      <c r="BV17" s="147">
        <f t="shared" ca="1" si="23"/>
        <v>0</v>
      </c>
      <c r="BW17" s="146">
        <f ca="1">BU17*'Cap Table'!BH$62</f>
        <v>0</v>
      </c>
      <c r="BX17" s="173">
        <f ca="1">IFERROR(IF(OR(BG17='Cap Table'!$B$40,BG17='Cap Table'!$B$41,BG17='Cap Table'!$B$42),IF(SUM(BI17,AN17,S17)&lt;SUM(BH17,AM17,R17),FV(MAX(BL17,AQ17,V17)/1,DATEDIF(BF17,'Cap Table'!$BH$60,"y"),0,-MAX(BH17,AM17,R17))/(MAX(BK17,AP17,U17)/'Cap Table'!$BH$61),BU17),BU17),0)</f>
        <v>0</v>
      </c>
      <c r="BY17" s="147">
        <f t="shared" ca="1" si="24"/>
        <v>0</v>
      </c>
      <c r="CA17" s="168">
        <f t="shared" ca="1" si="64"/>
        <v>44999</v>
      </c>
      <c r="CB17" s="168" t="str">
        <f t="shared" si="65"/>
        <v>Equity</v>
      </c>
      <c r="CC17" s="169">
        <v>0</v>
      </c>
      <c r="CD17" s="169">
        <f>IF('Cap Table'!CC$79&lt;&gt;"na",IF(BG17='Cap Table'!$B$40,BH17-BI17,0),0)</f>
        <v>0</v>
      </c>
      <c r="CE17" s="171">
        <f t="shared" si="25"/>
        <v>0</v>
      </c>
      <c r="CF17" s="169">
        <f t="shared" si="26"/>
        <v>0</v>
      </c>
      <c r="CG17" s="172">
        <f t="shared" si="27"/>
        <v>0</v>
      </c>
      <c r="CH17" s="170">
        <f ca="1">FV(CG17/1,DATEDIF(CA17,'Cap Table'!CC$60,"y"),0,-CD17)</f>
        <v>0</v>
      </c>
      <c r="CI17" s="170">
        <f ca="1">IF('Cap Table'!CC$80="no",IFERROR(CH17/(1-CE17),0),IFERROR(CH17/(1-(MAX(CE17,('Cap Table'!CC$62-CF17/'Cap Table'!CC$61)/'Cap Table'!CC$62))),0))</f>
        <v>0</v>
      </c>
      <c r="CJ17" s="146">
        <f t="shared" ca="1" si="28"/>
        <v>0</v>
      </c>
      <c r="CK17" s="149">
        <f ca="1">IF(AND('Cap Table'!CC$62=0,CH17&gt;0),CF17/'Cap Table'!CC$61,IFERROR(IF(CF17=0,'Cap Table'!CC$62*(1-CE17),MIN('Cap Table'!CC$62*(1-CE17),CF17/'Cap Table'!CC$61)),0))</f>
        <v>0</v>
      </c>
      <c r="CL17" s="170">
        <f t="shared" ca="1" si="82"/>
        <v>0</v>
      </c>
      <c r="CM17" s="170">
        <v>0</v>
      </c>
      <c r="CN17" s="146">
        <f t="shared" ca="1" si="29"/>
        <v>0</v>
      </c>
      <c r="CO17" s="146">
        <f t="shared" si="29"/>
        <v>0</v>
      </c>
      <c r="CP17" s="146">
        <f t="shared" ca="1" si="66"/>
        <v>0</v>
      </c>
      <c r="CQ17" s="147">
        <f t="shared" ca="1" si="30"/>
        <v>0</v>
      </c>
      <c r="CR17" s="146">
        <f ca="1">CP17*'Cap Table'!CC$62</f>
        <v>0</v>
      </c>
      <c r="CS17" s="173">
        <f ca="1">IFERROR(IF(OR(CB17='Cap Table'!$B$40,CB17='Cap Table'!$B$41,CB17='Cap Table'!$B$42),IF(SUM(CD17,BI17,AN17,S17)&lt;SUM(CC17,BH17,AM17,R17),FV(MAX(CG17,BL17,AQ17,V17)/1,DATEDIF(CA17,'Cap Table'!$CC$60,"y"),0,-MAX(CC17,BH17,AM17,R17))/(MAX(CF17,BK17,AP17,U17)/'Cap Table'!$CC$61),CP17),CP17),0)</f>
        <v>0</v>
      </c>
      <c r="CT17" s="147">
        <f t="shared" ca="1" si="31"/>
        <v>0</v>
      </c>
      <c r="CV17" s="168">
        <f t="shared" ca="1" si="67"/>
        <v>45365</v>
      </c>
      <c r="CW17" s="168" t="str">
        <f t="shared" si="68"/>
        <v>Equity</v>
      </c>
      <c r="CX17" s="169">
        <v>0</v>
      </c>
      <c r="CY17" s="169">
        <f>IF('Cap Table'!CX$79&lt;&gt;"na",IF(CB17='Cap Table'!$B$40,CC17-CD17,0),0)</f>
        <v>0</v>
      </c>
      <c r="CZ17" s="171">
        <f t="shared" si="32"/>
        <v>0</v>
      </c>
      <c r="DA17" s="169">
        <f t="shared" si="33"/>
        <v>0</v>
      </c>
      <c r="DB17" s="172">
        <f t="shared" si="34"/>
        <v>0</v>
      </c>
      <c r="DC17" s="170">
        <f ca="1">FV(DB17/1,DATEDIF(CV17,'Cap Table'!CX$60,"y"),0,-CY17)</f>
        <v>0</v>
      </c>
      <c r="DD17" s="170">
        <f ca="1">IF('Cap Table'!CX$80="no",IFERROR(DC17/(1-CZ17),0),IFERROR(DC17/(1-(MAX(CZ17,('Cap Table'!CX$62-DA17/'Cap Table'!CX$61)/'Cap Table'!CX$62))),0))</f>
        <v>0</v>
      </c>
      <c r="DE17" s="146">
        <f t="shared" ca="1" si="35"/>
        <v>0</v>
      </c>
      <c r="DF17" s="149">
        <f ca="1">IF(AND('Cap Table'!CX$62=0,DC17&gt;0),DA17/'Cap Table'!CX$61,IFERROR(IF(DA17=0,'Cap Table'!CX$62*(1-CZ17),MIN('Cap Table'!CX$62*(1-CZ17),DA17/'Cap Table'!CX$61)),0))</f>
        <v>0</v>
      </c>
      <c r="DG17" s="170">
        <f t="shared" ca="1" si="83"/>
        <v>0</v>
      </c>
      <c r="DH17" s="170">
        <v>0</v>
      </c>
      <c r="DI17" s="146">
        <f t="shared" ca="1" si="36"/>
        <v>0</v>
      </c>
      <c r="DJ17" s="146">
        <f t="shared" si="36"/>
        <v>0</v>
      </c>
      <c r="DK17" s="146">
        <f t="shared" ca="1" si="69"/>
        <v>0</v>
      </c>
      <c r="DL17" s="147">
        <f t="shared" ca="1" si="37"/>
        <v>0</v>
      </c>
      <c r="DM17" s="146">
        <f ca="1">DK17*'Cap Table'!CX$62</f>
        <v>0</v>
      </c>
      <c r="DN17" s="173">
        <f ca="1">IFERROR(IF(OR(CW17='Cap Table'!$B$40,CW17='Cap Table'!$B$41,CW17='Cap Table'!$B$42),IF(SUM(CY17,CD17,BI17,AN17,S17,)&lt;SUM(CX17,CC17,BH17,AM17,R17),FV(MAX(DB17,CG17,BL17,AQ17,V17)/1,DATEDIF(CV17,'Cap Table'!$CX$60,"y"),0,-MAX(CX17,CC17,BH17,AM17,R17))/(MAX(DA17,CF17,BK17,AP17,U17,)/'Cap Table'!$CX$61),DK17),DK17),0)</f>
        <v>0</v>
      </c>
      <c r="DO17" s="147">
        <f t="shared" ca="1" si="38"/>
        <v>0</v>
      </c>
      <c r="DQ17" s="168">
        <f t="shared" ca="1" si="70"/>
        <v>45730</v>
      </c>
      <c r="DR17" s="168" t="str">
        <f t="shared" si="71"/>
        <v>Equity</v>
      </c>
      <c r="DS17" s="169">
        <v>0</v>
      </c>
      <c r="DT17" s="169">
        <f>IF('Cap Table'!DS$79&lt;&gt;"na",IF(CW17='Cap Table'!$B$40,CX17-CY17,0),0)</f>
        <v>0</v>
      </c>
      <c r="DU17" s="171">
        <f t="shared" si="86"/>
        <v>0</v>
      </c>
      <c r="DV17" s="169">
        <f t="shared" si="87"/>
        <v>0</v>
      </c>
      <c r="DW17" s="172">
        <f t="shared" si="88"/>
        <v>0</v>
      </c>
      <c r="DX17" s="170">
        <f ca="1">FV(DW17/1,DATEDIF(DQ17,'Cap Table'!DS$60,"y"),0,-DT17)</f>
        <v>0</v>
      </c>
      <c r="DY17" s="170">
        <f ca="1">IF('Cap Table'!DS$80="no",IFERROR(DX17/(1-DU17),0),IFERROR(DX17/(1-(MAX(DU17,('Cap Table'!DS$62-DV17/'Cap Table'!DS$61)/'Cap Table'!DS$62))),0))</f>
        <v>0</v>
      </c>
      <c r="DZ17" s="146">
        <f t="shared" ca="1" si="42"/>
        <v>0</v>
      </c>
      <c r="EA17" s="149">
        <f ca="1">IF(AND('Cap Table'!DS$62=0,DX17&gt;0),DV17/'Cap Table'!DS$61,IFERROR(IF(DV17=0,'Cap Table'!DS$62*(1-DU17),MIN('Cap Table'!DS$62*(1-DU17),DV17/'Cap Table'!DS$61)),0))</f>
        <v>0</v>
      </c>
      <c r="EB17" s="170">
        <f t="shared" ca="1" si="84"/>
        <v>0</v>
      </c>
      <c r="EC17" s="170">
        <v>0</v>
      </c>
      <c r="ED17" s="146">
        <f t="shared" ca="1" si="72"/>
        <v>0</v>
      </c>
      <c r="EE17" s="146">
        <f t="shared" si="43"/>
        <v>0</v>
      </c>
      <c r="EF17" s="146">
        <f t="shared" ca="1" si="73"/>
        <v>0</v>
      </c>
      <c r="EG17" s="147">
        <f t="shared" ca="1" si="44"/>
        <v>0</v>
      </c>
      <c r="EH17" s="146">
        <f ca="1">EF17*'Cap Table'!DS$62</f>
        <v>0</v>
      </c>
      <c r="EI17" s="173">
        <f ca="1">IFERROR(IF(OR(DR17='Cap Table'!$B$40,DR17='Cap Table'!$B$41,DR17='Cap Table'!$B$42),IF(SUM(DT17,CY17,CD17,BI17,AN17,S17)&lt;SUM(DS17,CX17,CC17,BH17,AM17,R17),FV(MAX(DW17,DB17,CG17,BL17,AQ17,V17)/1,DATEDIF(DQ17,'Cap Table'!DS$60,"y"),0,-MAX(DS17,CX17,CC17,BH17,AM17,R17))/(MAX(DV17,DA17,CF17,BK17,AP17,U17)/'Cap Table'!$DS$61),EF17),EF17),0)</f>
        <v>0</v>
      </c>
      <c r="EJ17" s="147">
        <f t="shared" ca="1" si="45"/>
        <v>0</v>
      </c>
      <c r="EL17" s="146">
        <f t="shared" si="74"/>
        <v>0</v>
      </c>
      <c r="EM17" s="146">
        <f t="shared" si="74"/>
        <v>0</v>
      </c>
      <c r="EN17" s="174" t="s">
        <v>27</v>
      </c>
      <c r="EO17" s="174" t="s">
        <v>27</v>
      </c>
      <c r="EP17" s="174" t="s">
        <v>27</v>
      </c>
      <c r="EQ17" s="146">
        <f t="shared" ca="1" si="75"/>
        <v>0</v>
      </c>
      <c r="ER17" s="146">
        <f t="shared" ca="1" si="75"/>
        <v>0</v>
      </c>
      <c r="ES17" s="146">
        <f t="shared" ca="1" si="75"/>
        <v>0</v>
      </c>
      <c r="ET17" s="149">
        <f t="shared" ca="1" si="89"/>
        <v>0</v>
      </c>
      <c r="EU17" s="146">
        <f t="shared" ca="1" si="76"/>
        <v>0</v>
      </c>
      <c r="EV17" s="146">
        <f t="shared" si="76"/>
        <v>0</v>
      </c>
      <c r="EW17" s="146">
        <f t="shared" ca="1" si="77"/>
        <v>0</v>
      </c>
      <c r="EX17" s="146">
        <f t="shared" si="77"/>
        <v>0</v>
      </c>
      <c r="EY17" s="146">
        <f t="shared" ca="1" si="77"/>
        <v>0</v>
      </c>
      <c r="EZ17" s="147">
        <f t="shared" ca="1" si="46"/>
        <v>0</v>
      </c>
      <c r="FA17" s="146">
        <f t="shared" ca="1" si="78"/>
        <v>0</v>
      </c>
      <c r="FB17" s="146">
        <f t="shared" ca="1" si="78"/>
        <v>0</v>
      </c>
      <c r="FC17" s="147">
        <f t="shared" ca="1" si="47"/>
        <v>0</v>
      </c>
      <c r="FE17" s="149" t="str">
        <f t="shared" si="0"/>
        <v>Common</v>
      </c>
      <c r="FF17" s="146">
        <f t="shared" ca="1" si="48"/>
        <v>0</v>
      </c>
      <c r="FG17" s="146">
        <f t="shared" ca="1" si="49"/>
        <v>0</v>
      </c>
      <c r="FH17" s="146">
        <f t="shared" ca="1" si="50"/>
        <v>0</v>
      </c>
      <c r="FJ17" s="146" t="str">
        <f t="shared" si="51"/>
        <v>Common</v>
      </c>
      <c r="FK17" s="174" t="str">
        <f t="shared" ca="1" si="52"/>
        <v>na</v>
      </c>
      <c r="FL17" s="174" t="str">
        <f t="shared" ca="1" si="52"/>
        <v>na</v>
      </c>
      <c r="FM17" s="174" t="str">
        <f t="shared" ca="1" si="53"/>
        <v>na</v>
      </c>
    </row>
    <row r="18" spans="2:169">
      <c r="B18" s="145" t="s">
        <v>27</v>
      </c>
      <c r="D18" s="167" t="s">
        <v>27</v>
      </c>
      <c r="E18" s="167" t="str">
        <f t="shared" si="54"/>
        <v>Common</v>
      </c>
      <c r="G18" s="168">
        <f t="shared" ca="1" si="1"/>
        <v>43538</v>
      </c>
      <c r="H18" s="289" t="str">
        <f t="shared" si="2"/>
        <v>Equity</v>
      </c>
      <c r="I18" s="169">
        <v>0</v>
      </c>
      <c r="J18" s="170">
        <v>0</v>
      </c>
      <c r="K18" s="170">
        <f t="shared" si="55"/>
        <v>0</v>
      </c>
      <c r="L18" s="147">
        <f t="shared" si="3"/>
        <v>0</v>
      </c>
      <c r="M18" s="170">
        <f t="shared" si="56"/>
        <v>0</v>
      </c>
      <c r="N18" s="147">
        <f t="shared" si="4"/>
        <v>0</v>
      </c>
      <c r="O18" s="147"/>
      <c r="P18" s="168">
        <f t="shared" ca="1" si="85"/>
        <v>43904</v>
      </c>
      <c r="Q18" s="289" t="str">
        <f t="shared" si="5"/>
        <v>Equity</v>
      </c>
      <c r="R18" s="169">
        <v>0</v>
      </c>
      <c r="S18" s="169">
        <v>0</v>
      </c>
      <c r="T18" s="171">
        <v>0</v>
      </c>
      <c r="U18" s="145">
        <v>0</v>
      </c>
      <c r="V18" s="172">
        <v>0</v>
      </c>
      <c r="W18" s="170">
        <f ca="1">FV(V18/1,DATEDIF(P18,'Cap Table'!R$60,"y"),0,-S18)</f>
        <v>0</v>
      </c>
      <c r="X18" s="170">
        <f t="shared" ca="1" si="6"/>
        <v>0</v>
      </c>
      <c r="Y18" s="146">
        <f t="shared" ca="1" si="7"/>
        <v>0</v>
      </c>
      <c r="Z18" s="149">
        <f ca="1">IF(AND('Cap Table'!R$62=0,W18&gt;0),U18/'Cap Table'!R$61,IFERROR(IF(U18=0,'Cap Table'!R$62*(1-T18),MIN('Cap Table'!R$62*(1-T18),U18/'Cap Table'!R$61)),0))</f>
        <v>0</v>
      </c>
      <c r="AA18" s="170">
        <f t="shared" ca="1" si="79"/>
        <v>0</v>
      </c>
      <c r="AB18" s="170">
        <v>0</v>
      </c>
      <c r="AC18" s="146">
        <f t="shared" ca="1" si="8"/>
        <v>0</v>
      </c>
      <c r="AD18" s="146">
        <f t="shared" si="8"/>
        <v>0</v>
      </c>
      <c r="AE18" s="146">
        <f t="shared" ca="1" si="57"/>
        <v>0</v>
      </c>
      <c r="AF18" s="147">
        <f t="shared" ca="1" si="9"/>
        <v>0</v>
      </c>
      <c r="AG18" s="146">
        <f ca="1">AE18*'Cap Table'!R$62</f>
        <v>0</v>
      </c>
      <c r="AH18" s="146">
        <f ca="1">IFERROR(IF(OR(Q18='Cap Table'!$B$40,Q18='Cap Table'!$B$41,Q18='Cap Table'!$B$42),IF(SUM(S18)&lt;SUM(R18),(FV(V18/1,DATEDIF(P18,'Cap Table'!R$60,"y"),0,-R18))/(U18/'Cap Table'!$R$61),AE18),AE18),0)</f>
        <v>0</v>
      </c>
      <c r="AI18" s="147">
        <f t="shared" ca="1" si="10"/>
        <v>0</v>
      </c>
      <c r="AK18" s="168">
        <f t="shared" ca="1" si="58"/>
        <v>44269</v>
      </c>
      <c r="AL18" s="168" t="str">
        <f t="shared" si="59"/>
        <v>Equity</v>
      </c>
      <c r="AM18" s="169">
        <v>0</v>
      </c>
      <c r="AN18" s="169">
        <f>IF('Cap Table'!AM$79&lt;&gt;"na",IF(Q18='Cap Table'!$B$40,R18-S18,0),0)</f>
        <v>0</v>
      </c>
      <c r="AO18" s="171">
        <f t="shared" si="11"/>
        <v>0</v>
      </c>
      <c r="AP18" s="169">
        <f t="shared" si="12"/>
        <v>0</v>
      </c>
      <c r="AQ18" s="172">
        <f t="shared" si="13"/>
        <v>0</v>
      </c>
      <c r="AR18" s="170">
        <f ca="1">FV(AQ18/1,DATEDIF(AK18,'Cap Table'!AM$60,"y"),0,-AN18)</f>
        <v>0</v>
      </c>
      <c r="AS18" s="170">
        <f ca="1">IF('Cap Table'!AM$80="no",IFERROR(AR18/(1-AO18),0),IFERROR(AR18/(1-(MAX(AO18,('Cap Table'!AM$62-AP18/'Cap Table'!AM$61)/'Cap Table'!AM$62))),0))</f>
        <v>0</v>
      </c>
      <c r="AT18" s="146">
        <f t="shared" ca="1" si="14"/>
        <v>0</v>
      </c>
      <c r="AU18" s="149">
        <f ca="1">IF(AND('Cap Table'!AM$62=0,AR18&gt;0),AP18/'Cap Table'!AM$61,IFERROR(IF(AP18=0,'Cap Table'!AM$62*(1-AO18),MIN('Cap Table'!AM$62*(1-AO18),AP18/'Cap Table'!AM$61)),0))</f>
        <v>0</v>
      </c>
      <c r="AV18" s="170">
        <f t="shared" ca="1" si="80"/>
        <v>0</v>
      </c>
      <c r="AW18" s="170">
        <v>0</v>
      </c>
      <c r="AX18" s="146">
        <f t="shared" ca="1" si="15"/>
        <v>0</v>
      </c>
      <c r="AY18" s="146">
        <f t="shared" si="15"/>
        <v>0</v>
      </c>
      <c r="AZ18" s="146">
        <f t="shared" ca="1" si="60"/>
        <v>0</v>
      </c>
      <c r="BA18" s="147">
        <f t="shared" ca="1" si="16"/>
        <v>0</v>
      </c>
      <c r="BB18" s="146">
        <f ca="1">AZ18*'Cap Table'!AM$62</f>
        <v>0</v>
      </c>
      <c r="BC18" s="173">
        <f ca="1">IFERROR(IF(OR(AL18='Cap Table'!$B$40,AL18='Cap Table'!$B$41,AL18='Cap Table'!$B$42),IF(SUM(AN18,S18)&lt;SUM(AM18,R18),FV(MAX(AQ18,V18)/1,DATEDIF(AK18,'Cap Table'!$AM$60,"y"),0,-MAX(AM18,R18))/(MAX(AP18,U18)/'Cap Table'!$AM$61),AZ18),AZ18),0)</f>
        <v>0</v>
      </c>
      <c r="BD18" s="147">
        <f t="shared" ca="1" si="17"/>
        <v>0</v>
      </c>
      <c r="BF18" s="168">
        <f t="shared" ca="1" si="61"/>
        <v>44634</v>
      </c>
      <c r="BG18" s="168" t="str">
        <f t="shared" si="62"/>
        <v>Equity</v>
      </c>
      <c r="BH18" s="169">
        <v>0</v>
      </c>
      <c r="BI18" s="169">
        <f>IF('Cap Table'!BH$79&lt;&gt;"na",IF(AL18='Cap Table'!$B$40,AM18-AN18,0),0)</f>
        <v>0</v>
      </c>
      <c r="BJ18" s="171">
        <f t="shared" si="18"/>
        <v>0</v>
      </c>
      <c r="BK18" s="169">
        <f t="shared" si="19"/>
        <v>0</v>
      </c>
      <c r="BL18" s="172">
        <f t="shared" si="20"/>
        <v>0</v>
      </c>
      <c r="BM18" s="170">
        <f ca="1">FV(BL18/1,DATEDIF(BF18,'Cap Table'!BH$60,"y"),0,-BI18)</f>
        <v>0</v>
      </c>
      <c r="BN18" s="170">
        <f ca="1">IF('Cap Table'!BH$80="no",IFERROR(BM18/(1-BJ18),0),IFERROR(BM18/(1-(MAX(BJ18,('Cap Table'!BH$62-BK18/'Cap Table'!BH$61)/'Cap Table'!BH$62))),0))</f>
        <v>0</v>
      </c>
      <c r="BO18" s="146">
        <f t="shared" ca="1" si="21"/>
        <v>0</v>
      </c>
      <c r="BP18" s="149">
        <f ca="1">IF(AND('Cap Table'!BH$62=0,BM18&gt;0),BK18/'Cap Table'!BH$61,IFERROR(IF(BK18=0,'Cap Table'!BH$62*(1-BJ18),MIN('Cap Table'!BH$62*(1-BJ18),BK18/'Cap Table'!BH$61)),0))</f>
        <v>0</v>
      </c>
      <c r="BQ18" s="170">
        <f t="shared" ca="1" si="81"/>
        <v>0</v>
      </c>
      <c r="BR18" s="170">
        <v>0</v>
      </c>
      <c r="BS18" s="146">
        <f t="shared" ca="1" si="22"/>
        <v>0</v>
      </c>
      <c r="BT18" s="146">
        <f t="shared" si="22"/>
        <v>0</v>
      </c>
      <c r="BU18" s="146">
        <f t="shared" ca="1" si="63"/>
        <v>0</v>
      </c>
      <c r="BV18" s="147">
        <f t="shared" ca="1" si="23"/>
        <v>0</v>
      </c>
      <c r="BW18" s="146">
        <f ca="1">BU18*'Cap Table'!BH$62</f>
        <v>0</v>
      </c>
      <c r="BX18" s="173">
        <f ca="1">IFERROR(IF(OR(BG18='Cap Table'!$B$40,BG18='Cap Table'!$B$41,BG18='Cap Table'!$B$42),IF(SUM(BI18,AN18,S18)&lt;SUM(BH18,AM18,R18),FV(MAX(BL18,AQ18,V18)/1,DATEDIF(BF18,'Cap Table'!$BH$60,"y"),0,-MAX(BH18,AM18,R18))/(MAX(BK18,AP18,U18)/'Cap Table'!$BH$61),BU18),BU18),0)</f>
        <v>0</v>
      </c>
      <c r="BY18" s="147">
        <f t="shared" ca="1" si="24"/>
        <v>0</v>
      </c>
      <c r="CA18" s="168">
        <f t="shared" ca="1" si="64"/>
        <v>44999</v>
      </c>
      <c r="CB18" s="168" t="str">
        <f t="shared" si="65"/>
        <v>Equity</v>
      </c>
      <c r="CC18" s="169">
        <v>0</v>
      </c>
      <c r="CD18" s="169">
        <f>IF('Cap Table'!CC$79&lt;&gt;"na",IF(BG18='Cap Table'!$B$40,BH18-BI18,0),0)</f>
        <v>0</v>
      </c>
      <c r="CE18" s="171">
        <f t="shared" si="25"/>
        <v>0</v>
      </c>
      <c r="CF18" s="169">
        <f t="shared" si="26"/>
        <v>0</v>
      </c>
      <c r="CG18" s="172">
        <f t="shared" si="27"/>
        <v>0</v>
      </c>
      <c r="CH18" s="170">
        <f ca="1">FV(CG18/1,DATEDIF(CA18,'Cap Table'!CC$60,"y"),0,-CD18)</f>
        <v>0</v>
      </c>
      <c r="CI18" s="170">
        <f ca="1">IF('Cap Table'!CC$80="no",IFERROR(CH18/(1-CE18),0),IFERROR(CH18/(1-(MAX(CE18,('Cap Table'!CC$62-CF18/'Cap Table'!CC$61)/'Cap Table'!CC$62))),0))</f>
        <v>0</v>
      </c>
      <c r="CJ18" s="146">
        <f t="shared" ca="1" si="28"/>
        <v>0</v>
      </c>
      <c r="CK18" s="149">
        <f ca="1">IF(AND('Cap Table'!CC$62=0,CH18&gt;0),CF18/'Cap Table'!CC$61,IFERROR(IF(CF18=0,'Cap Table'!CC$62*(1-CE18),MIN('Cap Table'!CC$62*(1-CE18),CF18/'Cap Table'!CC$61)),0))</f>
        <v>0</v>
      </c>
      <c r="CL18" s="170">
        <f t="shared" ca="1" si="82"/>
        <v>0</v>
      </c>
      <c r="CM18" s="170">
        <v>0</v>
      </c>
      <c r="CN18" s="146">
        <f t="shared" ca="1" si="29"/>
        <v>0</v>
      </c>
      <c r="CO18" s="146">
        <f t="shared" si="29"/>
        <v>0</v>
      </c>
      <c r="CP18" s="146">
        <f t="shared" ca="1" si="66"/>
        <v>0</v>
      </c>
      <c r="CQ18" s="147">
        <f t="shared" ca="1" si="30"/>
        <v>0</v>
      </c>
      <c r="CR18" s="146">
        <f ca="1">CP18*'Cap Table'!CC$62</f>
        <v>0</v>
      </c>
      <c r="CS18" s="173">
        <f ca="1">IFERROR(IF(OR(CB18='Cap Table'!$B$40,CB18='Cap Table'!$B$41,CB18='Cap Table'!$B$42),IF(SUM(CD18,BI18,AN18,S18)&lt;SUM(CC18,BH18,AM18,R18),FV(MAX(CG18,BL18,AQ18,V18)/1,DATEDIF(CA18,'Cap Table'!$CC$60,"y"),0,-MAX(CC18,BH18,AM18,R18))/(MAX(CF18,BK18,AP18,U18)/'Cap Table'!$CC$61),CP18),CP18),0)</f>
        <v>0</v>
      </c>
      <c r="CT18" s="147">
        <f t="shared" ca="1" si="31"/>
        <v>0</v>
      </c>
      <c r="CV18" s="168">
        <f t="shared" ca="1" si="67"/>
        <v>45365</v>
      </c>
      <c r="CW18" s="168" t="str">
        <f t="shared" si="68"/>
        <v>Equity</v>
      </c>
      <c r="CX18" s="169">
        <v>0</v>
      </c>
      <c r="CY18" s="169">
        <f>IF('Cap Table'!CX$79&lt;&gt;"na",IF(CB18='Cap Table'!$B$40,CC18-CD18,0),0)</f>
        <v>0</v>
      </c>
      <c r="CZ18" s="171">
        <f t="shared" si="32"/>
        <v>0</v>
      </c>
      <c r="DA18" s="169">
        <f t="shared" si="33"/>
        <v>0</v>
      </c>
      <c r="DB18" s="172">
        <f t="shared" si="34"/>
        <v>0</v>
      </c>
      <c r="DC18" s="170">
        <f ca="1">FV(DB18/1,DATEDIF(CV18,'Cap Table'!CX$60,"y"),0,-CY18)</f>
        <v>0</v>
      </c>
      <c r="DD18" s="170">
        <f ca="1">IF('Cap Table'!CX$80="no",IFERROR(DC18/(1-CZ18),0),IFERROR(DC18/(1-(MAX(CZ18,('Cap Table'!CX$62-DA18/'Cap Table'!CX$61)/'Cap Table'!CX$62))),0))</f>
        <v>0</v>
      </c>
      <c r="DE18" s="146">
        <f t="shared" ca="1" si="35"/>
        <v>0</v>
      </c>
      <c r="DF18" s="149">
        <f ca="1">IF(AND('Cap Table'!CX$62=0,DC18&gt;0),DA18/'Cap Table'!CX$61,IFERROR(IF(DA18=0,'Cap Table'!CX$62*(1-CZ18),MIN('Cap Table'!CX$62*(1-CZ18),DA18/'Cap Table'!CX$61)),0))</f>
        <v>0</v>
      </c>
      <c r="DG18" s="170">
        <f t="shared" ca="1" si="83"/>
        <v>0</v>
      </c>
      <c r="DH18" s="170">
        <v>0</v>
      </c>
      <c r="DI18" s="146">
        <f t="shared" ca="1" si="36"/>
        <v>0</v>
      </c>
      <c r="DJ18" s="146">
        <f t="shared" si="36"/>
        <v>0</v>
      </c>
      <c r="DK18" s="146">
        <f t="shared" ca="1" si="69"/>
        <v>0</v>
      </c>
      <c r="DL18" s="147">
        <f t="shared" ca="1" si="37"/>
        <v>0</v>
      </c>
      <c r="DM18" s="146">
        <f ca="1">DK18*'Cap Table'!CX$62</f>
        <v>0</v>
      </c>
      <c r="DN18" s="173">
        <f ca="1">IFERROR(IF(OR(CW18='Cap Table'!$B$40,CW18='Cap Table'!$B$41,CW18='Cap Table'!$B$42),IF(SUM(CY18,CD18,BI18,AN18,S18,)&lt;SUM(CX18,CC18,BH18,AM18,R18),FV(MAX(DB18,CG18,BL18,AQ18,V18)/1,DATEDIF(CV18,'Cap Table'!$CX$60,"y"),0,-MAX(CX18,CC18,BH18,AM18,R18))/(MAX(DA18,CF18,BK18,AP18,U18,)/'Cap Table'!$CX$61),DK18),DK18),0)</f>
        <v>0</v>
      </c>
      <c r="DO18" s="147">
        <f t="shared" ca="1" si="38"/>
        <v>0</v>
      </c>
      <c r="DQ18" s="168">
        <f t="shared" ca="1" si="70"/>
        <v>45730</v>
      </c>
      <c r="DR18" s="168" t="str">
        <f t="shared" si="71"/>
        <v>Equity</v>
      </c>
      <c r="DS18" s="169">
        <v>0</v>
      </c>
      <c r="DT18" s="169">
        <f>IF('Cap Table'!DS$79&lt;&gt;"na",IF(CW18='Cap Table'!$B$40,CX18-CY18,0),0)</f>
        <v>0</v>
      </c>
      <c r="DU18" s="171">
        <f t="shared" si="86"/>
        <v>0</v>
      </c>
      <c r="DV18" s="169">
        <f t="shared" si="87"/>
        <v>0</v>
      </c>
      <c r="DW18" s="172">
        <f t="shared" si="88"/>
        <v>0</v>
      </c>
      <c r="DX18" s="170">
        <f ca="1">FV(DW18/1,DATEDIF(DQ18,'Cap Table'!DS$60,"y"),0,-DT18)</f>
        <v>0</v>
      </c>
      <c r="DY18" s="170">
        <f ca="1">IF('Cap Table'!DS$80="no",IFERROR(DX18/(1-DU18),0),IFERROR(DX18/(1-(MAX(DU18,('Cap Table'!DS$62-DV18/'Cap Table'!DS$61)/'Cap Table'!DS$62))),0))</f>
        <v>0</v>
      </c>
      <c r="DZ18" s="146">
        <f t="shared" ca="1" si="42"/>
        <v>0</v>
      </c>
      <c r="EA18" s="149">
        <f ca="1">IF(AND('Cap Table'!DS$62=0,DX18&gt;0),DV18/'Cap Table'!DS$61,IFERROR(IF(DV18=0,'Cap Table'!DS$62*(1-DU18),MIN('Cap Table'!DS$62*(1-DU18),DV18/'Cap Table'!DS$61)),0))</f>
        <v>0</v>
      </c>
      <c r="EB18" s="170">
        <f t="shared" ca="1" si="84"/>
        <v>0</v>
      </c>
      <c r="EC18" s="170">
        <v>0</v>
      </c>
      <c r="ED18" s="146">
        <f t="shared" ca="1" si="72"/>
        <v>0</v>
      </c>
      <c r="EE18" s="146">
        <f t="shared" si="43"/>
        <v>0</v>
      </c>
      <c r="EF18" s="146">
        <f t="shared" ca="1" si="73"/>
        <v>0</v>
      </c>
      <c r="EG18" s="147">
        <f t="shared" ca="1" si="44"/>
        <v>0</v>
      </c>
      <c r="EH18" s="146">
        <f ca="1">EF18*'Cap Table'!DS$62</f>
        <v>0</v>
      </c>
      <c r="EI18" s="173">
        <f ca="1">IFERROR(IF(OR(DR18='Cap Table'!$B$40,DR18='Cap Table'!$B$41,DR18='Cap Table'!$B$42),IF(SUM(DT18,CY18,CD18,BI18,AN18,S18)&lt;SUM(DS18,CX18,CC18,BH18,AM18,R18),FV(MAX(DW18,DB18,CG18,BL18,AQ18,V18)/1,DATEDIF(DQ18,'Cap Table'!DS$60,"y"),0,-MAX(DS18,CX18,CC18,BH18,AM18,R18))/(MAX(DV18,DA18,CF18,BK18,AP18,U18)/'Cap Table'!$DS$61),EF18),EF18),0)</f>
        <v>0</v>
      </c>
      <c r="EJ18" s="147">
        <f t="shared" ca="1" si="45"/>
        <v>0</v>
      </c>
      <c r="EL18" s="146">
        <f t="shared" si="74"/>
        <v>0</v>
      </c>
      <c r="EM18" s="146">
        <f t="shared" si="74"/>
        <v>0</v>
      </c>
      <c r="EN18" s="174" t="s">
        <v>27</v>
      </c>
      <c r="EO18" s="174" t="s">
        <v>27</v>
      </c>
      <c r="EP18" s="174" t="s">
        <v>27</v>
      </c>
      <c r="EQ18" s="146">
        <f t="shared" ca="1" si="75"/>
        <v>0</v>
      </c>
      <c r="ER18" s="146">
        <f t="shared" ca="1" si="75"/>
        <v>0</v>
      </c>
      <c r="ES18" s="146">
        <f t="shared" ca="1" si="75"/>
        <v>0</v>
      </c>
      <c r="ET18" s="149">
        <f t="shared" ca="1" si="89"/>
        <v>0</v>
      </c>
      <c r="EU18" s="146">
        <f t="shared" ca="1" si="76"/>
        <v>0</v>
      </c>
      <c r="EV18" s="146">
        <f t="shared" si="76"/>
        <v>0</v>
      </c>
      <c r="EW18" s="146">
        <f t="shared" ca="1" si="77"/>
        <v>0</v>
      </c>
      <c r="EX18" s="146">
        <f t="shared" si="77"/>
        <v>0</v>
      </c>
      <c r="EY18" s="146">
        <f t="shared" ca="1" si="77"/>
        <v>0</v>
      </c>
      <c r="EZ18" s="147">
        <f t="shared" ca="1" si="46"/>
        <v>0</v>
      </c>
      <c r="FA18" s="146">
        <f t="shared" ca="1" si="78"/>
        <v>0</v>
      </c>
      <c r="FB18" s="146">
        <f t="shared" ca="1" si="78"/>
        <v>0</v>
      </c>
      <c r="FC18" s="147">
        <f t="shared" ca="1" si="47"/>
        <v>0</v>
      </c>
      <c r="FE18" s="149" t="str">
        <f t="shared" si="0"/>
        <v>Common</v>
      </c>
      <c r="FF18" s="146">
        <f t="shared" ca="1" si="48"/>
        <v>0</v>
      </c>
      <c r="FG18" s="146">
        <f t="shared" ca="1" si="49"/>
        <v>0</v>
      </c>
      <c r="FH18" s="146">
        <f t="shared" ca="1" si="50"/>
        <v>0</v>
      </c>
      <c r="FJ18" s="146" t="str">
        <f t="shared" si="51"/>
        <v>Common</v>
      </c>
      <c r="FK18" s="174" t="str">
        <f t="shared" ca="1" si="52"/>
        <v>na</v>
      </c>
      <c r="FL18" s="174" t="str">
        <f t="shared" ca="1" si="52"/>
        <v>na</v>
      </c>
      <c r="FM18" s="174" t="str">
        <f t="shared" ca="1" si="53"/>
        <v>na</v>
      </c>
    </row>
    <row r="19" spans="2:169">
      <c r="B19" s="145" t="s">
        <v>27</v>
      </c>
      <c r="D19" s="167" t="s">
        <v>27</v>
      </c>
      <c r="E19" s="167" t="str">
        <f t="shared" si="54"/>
        <v>Common</v>
      </c>
      <c r="G19" s="168">
        <f t="shared" ca="1" si="1"/>
        <v>43538</v>
      </c>
      <c r="H19" s="289" t="str">
        <f t="shared" si="2"/>
        <v>Equity</v>
      </c>
      <c r="I19" s="169">
        <v>0</v>
      </c>
      <c r="J19" s="170">
        <v>0</v>
      </c>
      <c r="K19" s="170">
        <f t="shared" si="55"/>
        <v>0</v>
      </c>
      <c r="L19" s="147">
        <f t="shared" si="3"/>
        <v>0</v>
      </c>
      <c r="M19" s="170">
        <f t="shared" si="56"/>
        <v>0</v>
      </c>
      <c r="N19" s="147">
        <f t="shared" si="4"/>
        <v>0</v>
      </c>
      <c r="O19" s="147"/>
      <c r="P19" s="168">
        <f t="shared" ca="1" si="85"/>
        <v>43904</v>
      </c>
      <c r="Q19" s="289" t="str">
        <f t="shared" si="5"/>
        <v>Equity</v>
      </c>
      <c r="R19" s="169">
        <v>0</v>
      </c>
      <c r="S19" s="169">
        <v>0</v>
      </c>
      <c r="T19" s="171">
        <v>0</v>
      </c>
      <c r="U19" s="145">
        <v>0</v>
      </c>
      <c r="V19" s="172">
        <v>0</v>
      </c>
      <c r="W19" s="170">
        <f ca="1">FV(V19/1,DATEDIF(P19,'Cap Table'!R$60,"y"),0,-S19)</f>
        <v>0</v>
      </c>
      <c r="X19" s="170">
        <f t="shared" ca="1" si="6"/>
        <v>0</v>
      </c>
      <c r="Y19" s="146">
        <f t="shared" ca="1" si="7"/>
        <v>0</v>
      </c>
      <c r="Z19" s="149">
        <f ca="1">IF(AND('Cap Table'!R$62=0,W19&gt;0),U19/'Cap Table'!R$61,IFERROR(IF(U19=0,'Cap Table'!R$62*(1-T19),MIN('Cap Table'!R$62*(1-T19),U19/'Cap Table'!R$61)),0))</f>
        <v>0</v>
      </c>
      <c r="AA19" s="170">
        <f t="shared" ca="1" si="79"/>
        <v>0</v>
      </c>
      <c r="AB19" s="170">
        <v>0</v>
      </c>
      <c r="AC19" s="146">
        <f t="shared" ca="1" si="8"/>
        <v>0</v>
      </c>
      <c r="AD19" s="146">
        <f t="shared" si="8"/>
        <v>0</v>
      </c>
      <c r="AE19" s="146">
        <f t="shared" ca="1" si="57"/>
        <v>0</v>
      </c>
      <c r="AF19" s="147">
        <f t="shared" ca="1" si="9"/>
        <v>0</v>
      </c>
      <c r="AG19" s="146">
        <f ca="1">AE19*'Cap Table'!R$62</f>
        <v>0</v>
      </c>
      <c r="AH19" s="146">
        <f ca="1">IFERROR(IF(OR(Q19='Cap Table'!$B$40,Q19='Cap Table'!$B$41,Q19='Cap Table'!$B$42),IF(SUM(S19)&lt;SUM(R19),(FV(V19/1,DATEDIF(P19,'Cap Table'!R$60,"y"),0,-R19))/(U19/'Cap Table'!$R$61),AE19),AE19),0)</f>
        <v>0</v>
      </c>
      <c r="AI19" s="147">
        <f t="shared" ca="1" si="10"/>
        <v>0</v>
      </c>
      <c r="AK19" s="168">
        <f t="shared" ca="1" si="58"/>
        <v>44269</v>
      </c>
      <c r="AL19" s="168" t="str">
        <f t="shared" si="59"/>
        <v>Equity</v>
      </c>
      <c r="AM19" s="169">
        <v>0</v>
      </c>
      <c r="AN19" s="169">
        <f>IF('Cap Table'!AM$79&lt;&gt;"na",IF(Q19='Cap Table'!$B$40,R19-S19,0),0)</f>
        <v>0</v>
      </c>
      <c r="AO19" s="171">
        <f t="shared" si="11"/>
        <v>0</v>
      </c>
      <c r="AP19" s="169">
        <f t="shared" si="12"/>
        <v>0</v>
      </c>
      <c r="AQ19" s="172">
        <f t="shared" si="13"/>
        <v>0</v>
      </c>
      <c r="AR19" s="170">
        <f ca="1">FV(AQ19/1,DATEDIF(AK19,'Cap Table'!AM$60,"y"),0,-AN19)</f>
        <v>0</v>
      </c>
      <c r="AS19" s="170">
        <f ca="1">IF('Cap Table'!AM$80="no",IFERROR(AR19/(1-AO19),0),IFERROR(AR19/(1-(MAX(AO19,('Cap Table'!AM$62-AP19/'Cap Table'!AM$61)/'Cap Table'!AM$62))),0))</f>
        <v>0</v>
      </c>
      <c r="AT19" s="146">
        <f t="shared" ca="1" si="14"/>
        <v>0</v>
      </c>
      <c r="AU19" s="149">
        <f ca="1">IF(AND('Cap Table'!AM$62=0,AR19&gt;0),AP19/'Cap Table'!AM$61,IFERROR(IF(AP19=0,'Cap Table'!AM$62*(1-AO19),MIN('Cap Table'!AM$62*(1-AO19),AP19/'Cap Table'!AM$61)),0))</f>
        <v>0</v>
      </c>
      <c r="AV19" s="170">
        <f t="shared" ca="1" si="80"/>
        <v>0</v>
      </c>
      <c r="AW19" s="170">
        <v>0</v>
      </c>
      <c r="AX19" s="146">
        <f t="shared" ca="1" si="15"/>
        <v>0</v>
      </c>
      <c r="AY19" s="146">
        <f t="shared" si="15"/>
        <v>0</v>
      </c>
      <c r="AZ19" s="146">
        <f t="shared" ca="1" si="60"/>
        <v>0</v>
      </c>
      <c r="BA19" s="147">
        <f t="shared" ca="1" si="16"/>
        <v>0</v>
      </c>
      <c r="BB19" s="146">
        <f ca="1">AZ19*'Cap Table'!AM$62</f>
        <v>0</v>
      </c>
      <c r="BC19" s="173">
        <f ca="1">IFERROR(IF(OR(AL19='Cap Table'!$B$40,AL19='Cap Table'!$B$41,AL19='Cap Table'!$B$42),IF(SUM(AN19,S19)&lt;SUM(AM19,R19),FV(MAX(AQ19,V19)/1,DATEDIF(AK19,'Cap Table'!$AM$60,"y"),0,-MAX(AM19,R19))/(MAX(AP19,U19)/'Cap Table'!$AM$61),AZ19),AZ19),0)</f>
        <v>0</v>
      </c>
      <c r="BD19" s="147">
        <f t="shared" ca="1" si="17"/>
        <v>0</v>
      </c>
      <c r="BF19" s="168">
        <f t="shared" ca="1" si="61"/>
        <v>44634</v>
      </c>
      <c r="BG19" s="168" t="str">
        <f t="shared" si="62"/>
        <v>Equity</v>
      </c>
      <c r="BH19" s="169">
        <v>0</v>
      </c>
      <c r="BI19" s="169">
        <f>IF('Cap Table'!BH$79&lt;&gt;"na",IF(AL19='Cap Table'!$B$40,AM19-AN19,0),0)</f>
        <v>0</v>
      </c>
      <c r="BJ19" s="171">
        <f t="shared" si="18"/>
        <v>0</v>
      </c>
      <c r="BK19" s="169">
        <f t="shared" si="19"/>
        <v>0</v>
      </c>
      <c r="BL19" s="172">
        <f t="shared" si="20"/>
        <v>0</v>
      </c>
      <c r="BM19" s="170">
        <f ca="1">FV(BL19/1,DATEDIF(BF19,'Cap Table'!BH$60,"y"),0,-BI19)</f>
        <v>0</v>
      </c>
      <c r="BN19" s="170">
        <f ca="1">IF('Cap Table'!BH$80="no",IFERROR(BM19/(1-BJ19),0),IFERROR(BM19/(1-(MAX(BJ19,('Cap Table'!BH$62-BK19/'Cap Table'!BH$61)/'Cap Table'!BH$62))),0))</f>
        <v>0</v>
      </c>
      <c r="BO19" s="146">
        <f t="shared" ca="1" si="21"/>
        <v>0</v>
      </c>
      <c r="BP19" s="149">
        <f ca="1">IF(AND('Cap Table'!BH$62=0,BM19&gt;0),BK19/'Cap Table'!BH$61,IFERROR(IF(BK19=0,'Cap Table'!BH$62*(1-BJ19),MIN('Cap Table'!BH$62*(1-BJ19),BK19/'Cap Table'!BH$61)),0))</f>
        <v>0</v>
      </c>
      <c r="BQ19" s="170">
        <f t="shared" ca="1" si="81"/>
        <v>0</v>
      </c>
      <c r="BR19" s="170">
        <v>0</v>
      </c>
      <c r="BS19" s="146">
        <f t="shared" ca="1" si="22"/>
        <v>0</v>
      </c>
      <c r="BT19" s="146">
        <f t="shared" si="22"/>
        <v>0</v>
      </c>
      <c r="BU19" s="146">
        <f t="shared" ca="1" si="63"/>
        <v>0</v>
      </c>
      <c r="BV19" s="147">
        <f t="shared" ca="1" si="23"/>
        <v>0</v>
      </c>
      <c r="BW19" s="146">
        <f ca="1">BU19*'Cap Table'!BH$62</f>
        <v>0</v>
      </c>
      <c r="BX19" s="173">
        <f ca="1">IFERROR(IF(OR(BG19='Cap Table'!$B$40,BG19='Cap Table'!$B$41,BG19='Cap Table'!$B$42),IF(SUM(BI19,AN19,S19)&lt;SUM(BH19,AM19,R19),FV(MAX(BL19,AQ19,V19)/1,DATEDIF(BF19,'Cap Table'!$BH$60,"y"),0,-MAX(BH19,AM19,R19))/(MAX(BK19,AP19,U19)/'Cap Table'!$BH$61),BU19),BU19),0)</f>
        <v>0</v>
      </c>
      <c r="BY19" s="147">
        <f t="shared" ca="1" si="24"/>
        <v>0</v>
      </c>
      <c r="CA19" s="168">
        <f t="shared" ca="1" si="64"/>
        <v>44999</v>
      </c>
      <c r="CB19" s="168" t="str">
        <f t="shared" si="65"/>
        <v>Equity</v>
      </c>
      <c r="CC19" s="169">
        <v>0</v>
      </c>
      <c r="CD19" s="169">
        <f>IF('Cap Table'!CC$79&lt;&gt;"na",IF(BG19='Cap Table'!$B$40,BH19-BI19,0),0)</f>
        <v>0</v>
      </c>
      <c r="CE19" s="171">
        <f t="shared" si="25"/>
        <v>0</v>
      </c>
      <c r="CF19" s="169">
        <f t="shared" si="26"/>
        <v>0</v>
      </c>
      <c r="CG19" s="172">
        <f t="shared" si="27"/>
        <v>0</v>
      </c>
      <c r="CH19" s="170">
        <f ca="1">FV(CG19/1,DATEDIF(CA19,'Cap Table'!CC$60,"y"),0,-CD19)</f>
        <v>0</v>
      </c>
      <c r="CI19" s="170">
        <f ca="1">IF('Cap Table'!CC$80="no",IFERROR(CH19/(1-CE19),0),IFERROR(CH19/(1-(MAX(CE19,('Cap Table'!CC$62-CF19/'Cap Table'!CC$61)/'Cap Table'!CC$62))),0))</f>
        <v>0</v>
      </c>
      <c r="CJ19" s="146">
        <f t="shared" ca="1" si="28"/>
        <v>0</v>
      </c>
      <c r="CK19" s="149">
        <f ca="1">IF(AND('Cap Table'!CC$62=0,CH19&gt;0),CF19/'Cap Table'!CC$61,IFERROR(IF(CF19=0,'Cap Table'!CC$62*(1-CE19),MIN('Cap Table'!CC$62*(1-CE19),CF19/'Cap Table'!CC$61)),0))</f>
        <v>0</v>
      </c>
      <c r="CL19" s="170">
        <f t="shared" ca="1" si="82"/>
        <v>0</v>
      </c>
      <c r="CM19" s="170">
        <v>0</v>
      </c>
      <c r="CN19" s="146">
        <f t="shared" ca="1" si="29"/>
        <v>0</v>
      </c>
      <c r="CO19" s="146">
        <f t="shared" si="29"/>
        <v>0</v>
      </c>
      <c r="CP19" s="146">
        <f t="shared" ca="1" si="66"/>
        <v>0</v>
      </c>
      <c r="CQ19" s="147">
        <f t="shared" ca="1" si="30"/>
        <v>0</v>
      </c>
      <c r="CR19" s="146">
        <f ca="1">CP19*'Cap Table'!CC$62</f>
        <v>0</v>
      </c>
      <c r="CS19" s="173">
        <f ca="1">IFERROR(IF(OR(CB19='Cap Table'!$B$40,CB19='Cap Table'!$B$41,CB19='Cap Table'!$B$42),IF(SUM(CD19,BI19,AN19,S19)&lt;SUM(CC19,BH19,AM19,R19),FV(MAX(CG19,BL19,AQ19,V19)/1,DATEDIF(CA19,'Cap Table'!$CC$60,"y"),0,-MAX(CC19,BH19,AM19,R19))/(MAX(CF19,BK19,AP19,U19)/'Cap Table'!$CC$61),CP19),CP19),0)</f>
        <v>0</v>
      </c>
      <c r="CT19" s="147">
        <f t="shared" ca="1" si="31"/>
        <v>0</v>
      </c>
      <c r="CV19" s="168">
        <f t="shared" ca="1" si="67"/>
        <v>45365</v>
      </c>
      <c r="CW19" s="168" t="str">
        <f t="shared" si="68"/>
        <v>Equity</v>
      </c>
      <c r="CX19" s="169">
        <v>0</v>
      </c>
      <c r="CY19" s="169">
        <f>IF('Cap Table'!CX$79&lt;&gt;"na",IF(CB19='Cap Table'!$B$40,CC19-CD19,0),0)</f>
        <v>0</v>
      </c>
      <c r="CZ19" s="171">
        <f t="shared" si="32"/>
        <v>0</v>
      </c>
      <c r="DA19" s="169">
        <f t="shared" si="33"/>
        <v>0</v>
      </c>
      <c r="DB19" s="172">
        <f t="shared" si="34"/>
        <v>0</v>
      </c>
      <c r="DC19" s="170">
        <f ca="1">FV(DB19/1,DATEDIF(CV19,'Cap Table'!CX$60,"y"),0,-CY19)</f>
        <v>0</v>
      </c>
      <c r="DD19" s="170">
        <f ca="1">IF('Cap Table'!CX$80="no",IFERROR(DC19/(1-CZ19),0),IFERROR(DC19/(1-(MAX(CZ19,('Cap Table'!CX$62-DA19/'Cap Table'!CX$61)/'Cap Table'!CX$62))),0))</f>
        <v>0</v>
      </c>
      <c r="DE19" s="146">
        <f t="shared" ca="1" si="35"/>
        <v>0</v>
      </c>
      <c r="DF19" s="149">
        <f ca="1">IF(AND('Cap Table'!CX$62=0,DC19&gt;0),DA19/'Cap Table'!CX$61,IFERROR(IF(DA19=0,'Cap Table'!CX$62*(1-CZ19),MIN('Cap Table'!CX$62*(1-CZ19),DA19/'Cap Table'!CX$61)),0))</f>
        <v>0</v>
      </c>
      <c r="DG19" s="170">
        <f t="shared" ca="1" si="83"/>
        <v>0</v>
      </c>
      <c r="DH19" s="170">
        <v>0</v>
      </c>
      <c r="DI19" s="146">
        <f t="shared" ca="1" si="36"/>
        <v>0</v>
      </c>
      <c r="DJ19" s="146">
        <f t="shared" si="36"/>
        <v>0</v>
      </c>
      <c r="DK19" s="146">
        <f t="shared" ca="1" si="69"/>
        <v>0</v>
      </c>
      <c r="DL19" s="147">
        <f t="shared" ca="1" si="37"/>
        <v>0</v>
      </c>
      <c r="DM19" s="146">
        <f ca="1">DK19*'Cap Table'!CX$62</f>
        <v>0</v>
      </c>
      <c r="DN19" s="173">
        <f ca="1">IFERROR(IF(OR(CW19='Cap Table'!$B$40,CW19='Cap Table'!$B$41,CW19='Cap Table'!$B$42),IF(SUM(CY19,CD19,BI19,AN19,S19,)&lt;SUM(CX19,CC19,BH19,AM19,R19),FV(MAX(DB19,CG19,BL19,AQ19,V19)/1,DATEDIF(CV19,'Cap Table'!$CX$60,"y"),0,-MAX(CX19,CC19,BH19,AM19,R19))/(MAX(DA19,CF19,BK19,AP19,U19,)/'Cap Table'!$CX$61),DK19),DK19),0)</f>
        <v>0</v>
      </c>
      <c r="DO19" s="147">
        <f t="shared" ca="1" si="38"/>
        <v>0</v>
      </c>
      <c r="DQ19" s="168">
        <f t="shared" ca="1" si="70"/>
        <v>45730</v>
      </c>
      <c r="DR19" s="168" t="str">
        <f t="shared" si="71"/>
        <v>Equity</v>
      </c>
      <c r="DS19" s="169">
        <v>0</v>
      </c>
      <c r="DT19" s="169">
        <f>IF('Cap Table'!DS$79&lt;&gt;"na",IF(CW19='Cap Table'!$B$40,CX19-CY19,0),0)</f>
        <v>0</v>
      </c>
      <c r="DU19" s="171">
        <f t="shared" si="86"/>
        <v>0</v>
      </c>
      <c r="DV19" s="169">
        <f t="shared" si="87"/>
        <v>0</v>
      </c>
      <c r="DW19" s="172">
        <f t="shared" si="88"/>
        <v>0</v>
      </c>
      <c r="DX19" s="170">
        <f ca="1">FV(DW19/1,DATEDIF(DQ19,'Cap Table'!DS$60,"y"),0,-DT19)</f>
        <v>0</v>
      </c>
      <c r="DY19" s="170">
        <f ca="1">IF('Cap Table'!DS$80="no",IFERROR(DX19/(1-DU19),0),IFERROR(DX19/(1-(MAX(DU19,('Cap Table'!DS$62-DV19/'Cap Table'!DS$61)/'Cap Table'!DS$62))),0))</f>
        <v>0</v>
      </c>
      <c r="DZ19" s="146">
        <f t="shared" ca="1" si="42"/>
        <v>0</v>
      </c>
      <c r="EA19" s="149">
        <f ca="1">IF(AND('Cap Table'!DS$62=0,DX19&gt;0),DV19/'Cap Table'!DS$61,IFERROR(IF(DV19=0,'Cap Table'!DS$62*(1-DU19),MIN('Cap Table'!DS$62*(1-DU19),DV19/'Cap Table'!DS$61)),0))</f>
        <v>0</v>
      </c>
      <c r="EB19" s="170">
        <f t="shared" ca="1" si="84"/>
        <v>0</v>
      </c>
      <c r="EC19" s="170">
        <v>0</v>
      </c>
      <c r="ED19" s="146">
        <f t="shared" ca="1" si="72"/>
        <v>0</v>
      </c>
      <c r="EE19" s="146">
        <f t="shared" si="43"/>
        <v>0</v>
      </c>
      <c r="EF19" s="146">
        <f t="shared" ca="1" si="73"/>
        <v>0</v>
      </c>
      <c r="EG19" s="147">
        <f t="shared" ca="1" si="44"/>
        <v>0</v>
      </c>
      <c r="EH19" s="146">
        <f ca="1">EF19*'Cap Table'!DS$62</f>
        <v>0</v>
      </c>
      <c r="EI19" s="173">
        <f ca="1">IFERROR(IF(OR(DR19='Cap Table'!$B$40,DR19='Cap Table'!$B$41,DR19='Cap Table'!$B$42),IF(SUM(DT19,CY19,CD19,BI19,AN19,S19)&lt;SUM(DS19,CX19,CC19,BH19,AM19,R19),FV(MAX(DW19,DB19,CG19,BL19,AQ19,V19)/1,DATEDIF(DQ19,'Cap Table'!DS$60,"y"),0,-MAX(DS19,CX19,CC19,BH19,AM19,R19))/(MAX(DV19,DA19,CF19,BK19,AP19,U19)/'Cap Table'!$DS$61),EF19),EF19),0)</f>
        <v>0</v>
      </c>
      <c r="EJ19" s="147">
        <f t="shared" ca="1" si="45"/>
        <v>0</v>
      </c>
      <c r="EL19" s="146">
        <f t="shared" si="74"/>
        <v>0</v>
      </c>
      <c r="EM19" s="146">
        <f t="shared" si="74"/>
        <v>0</v>
      </c>
      <c r="EN19" s="174" t="s">
        <v>27</v>
      </c>
      <c r="EO19" s="174" t="s">
        <v>27</v>
      </c>
      <c r="EP19" s="174" t="s">
        <v>27</v>
      </c>
      <c r="EQ19" s="146">
        <f t="shared" ca="1" si="75"/>
        <v>0</v>
      </c>
      <c r="ER19" s="146">
        <f t="shared" ca="1" si="75"/>
        <v>0</v>
      </c>
      <c r="ES19" s="146">
        <f t="shared" ca="1" si="75"/>
        <v>0</v>
      </c>
      <c r="ET19" s="149">
        <f t="shared" ca="1" si="89"/>
        <v>0</v>
      </c>
      <c r="EU19" s="146">
        <f t="shared" ca="1" si="76"/>
        <v>0</v>
      </c>
      <c r="EV19" s="146">
        <f t="shared" si="76"/>
        <v>0</v>
      </c>
      <c r="EW19" s="146">
        <f t="shared" ca="1" si="77"/>
        <v>0</v>
      </c>
      <c r="EX19" s="146">
        <f t="shared" si="77"/>
        <v>0</v>
      </c>
      <c r="EY19" s="146">
        <f t="shared" ca="1" si="77"/>
        <v>0</v>
      </c>
      <c r="EZ19" s="147">
        <f t="shared" ca="1" si="46"/>
        <v>0</v>
      </c>
      <c r="FA19" s="146">
        <f t="shared" ca="1" si="78"/>
        <v>0</v>
      </c>
      <c r="FB19" s="146">
        <f t="shared" ca="1" si="78"/>
        <v>0</v>
      </c>
      <c r="FC19" s="147">
        <f t="shared" ca="1" si="47"/>
        <v>0</v>
      </c>
      <c r="FE19" s="149" t="str">
        <f t="shared" si="0"/>
        <v>Common</v>
      </c>
      <c r="FF19" s="146">
        <f t="shared" ca="1" si="48"/>
        <v>0</v>
      </c>
      <c r="FG19" s="146">
        <f t="shared" ca="1" si="49"/>
        <v>0</v>
      </c>
      <c r="FH19" s="146">
        <f t="shared" ca="1" si="50"/>
        <v>0</v>
      </c>
      <c r="FJ19" s="146" t="str">
        <f t="shared" si="51"/>
        <v>Common</v>
      </c>
      <c r="FK19" s="174" t="str">
        <f t="shared" ca="1" si="52"/>
        <v>na</v>
      </c>
      <c r="FL19" s="174" t="str">
        <f t="shared" ca="1" si="52"/>
        <v>na</v>
      </c>
      <c r="FM19" s="174" t="str">
        <f t="shared" ca="1" si="53"/>
        <v>na</v>
      </c>
    </row>
    <row r="20" spans="2:169">
      <c r="B20" s="145" t="s">
        <v>27</v>
      </c>
      <c r="D20" s="167" t="s">
        <v>27</v>
      </c>
      <c r="E20" s="167" t="str">
        <f t="shared" si="54"/>
        <v>Common</v>
      </c>
      <c r="G20" s="168">
        <f t="shared" ca="1" si="1"/>
        <v>43538</v>
      </c>
      <c r="H20" s="289" t="str">
        <f t="shared" si="2"/>
        <v>Equity</v>
      </c>
      <c r="I20" s="169">
        <v>0</v>
      </c>
      <c r="J20" s="170">
        <v>0</v>
      </c>
      <c r="K20" s="170">
        <f t="shared" si="55"/>
        <v>0</v>
      </c>
      <c r="L20" s="147">
        <f t="shared" si="3"/>
        <v>0</v>
      </c>
      <c r="M20" s="170">
        <f t="shared" si="56"/>
        <v>0</v>
      </c>
      <c r="N20" s="147">
        <f t="shared" si="4"/>
        <v>0</v>
      </c>
      <c r="O20" s="147"/>
      <c r="P20" s="168">
        <f t="shared" ca="1" si="85"/>
        <v>43904</v>
      </c>
      <c r="Q20" s="289" t="str">
        <f t="shared" si="5"/>
        <v>Equity</v>
      </c>
      <c r="R20" s="169">
        <v>0</v>
      </c>
      <c r="S20" s="169">
        <v>0</v>
      </c>
      <c r="T20" s="171">
        <v>0</v>
      </c>
      <c r="U20" s="145">
        <v>0</v>
      </c>
      <c r="V20" s="172">
        <v>0</v>
      </c>
      <c r="W20" s="170">
        <f ca="1">FV(V20/1,DATEDIF(P20,'Cap Table'!R$60,"y"),0,-S20)</f>
        <v>0</v>
      </c>
      <c r="X20" s="170">
        <f t="shared" ca="1" si="6"/>
        <v>0</v>
      </c>
      <c r="Y20" s="146">
        <f t="shared" ca="1" si="7"/>
        <v>0</v>
      </c>
      <c r="Z20" s="149">
        <f ca="1">IF(AND('Cap Table'!R$62=0,W20&gt;0),U20/'Cap Table'!R$61,IFERROR(IF(U20=0,'Cap Table'!R$62*(1-T20),MIN('Cap Table'!R$62*(1-T20),U20/'Cap Table'!R$61)),0))</f>
        <v>0</v>
      </c>
      <c r="AA20" s="170">
        <f t="shared" ca="1" si="79"/>
        <v>0</v>
      </c>
      <c r="AB20" s="170">
        <v>0</v>
      </c>
      <c r="AC20" s="146">
        <f t="shared" ca="1" si="8"/>
        <v>0</v>
      </c>
      <c r="AD20" s="146">
        <f t="shared" si="8"/>
        <v>0</v>
      </c>
      <c r="AE20" s="146">
        <f t="shared" ca="1" si="57"/>
        <v>0</v>
      </c>
      <c r="AF20" s="147">
        <f t="shared" ca="1" si="9"/>
        <v>0</v>
      </c>
      <c r="AG20" s="146">
        <f ca="1">AE20*'Cap Table'!R$62</f>
        <v>0</v>
      </c>
      <c r="AH20" s="146">
        <f ca="1">IFERROR(IF(OR(Q20='Cap Table'!$B$40,Q20='Cap Table'!$B$41,Q20='Cap Table'!$B$42),IF(SUM(S20)&lt;SUM(R20),(FV(V20/1,DATEDIF(P20,'Cap Table'!R$60,"y"),0,-R20))/(U20/'Cap Table'!$R$61),AE20),AE20),0)</f>
        <v>0</v>
      </c>
      <c r="AI20" s="147">
        <f t="shared" ca="1" si="10"/>
        <v>0</v>
      </c>
      <c r="AK20" s="168">
        <f t="shared" ca="1" si="58"/>
        <v>44269</v>
      </c>
      <c r="AL20" s="168" t="str">
        <f t="shared" si="59"/>
        <v>Equity</v>
      </c>
      <c r="AM20" s="169">
        <v>0</v>
      </c>
      <c r="AN20" s="169">
        <f>IF('Cap Table'!AM$79&lt;&gt;"na",IF(Q20='Cap Table'!$B$40,R20-S20,0),0)</f>
        <v>0</v>
      </c>
      <c r="AO20" s="171">
        <f t="shared" si="11"/>
        <v>0</v>
      </c>
      <c r="AP20" s="169">
        <f t="shared" si="12"/>
        <v>0</v>
      </c>
      <c r="AQ20" s="172">
        <f t="shared" si="13"/>
        <v>0</v>
      </c>
      <c r="AR20" s="170">
        <f ca="1">FV(AQ20/1,DATEDIF(AK20,'Cap Table'!AM$60,"y"),0,-AN20)</f>
        <v>0</v>
      </c>
      <c r="AS20" s="170">
        <f ca="1">IF('Cap Table'!AM$80="no",IFERROR(AR20/(1-AO20),0),IFERROR(AR20/(1-(MAX(AO20,('Cap Table'!AM$62-AP20/'Cap Table'!AM$61)/'Cap Table'!AM$62))),0))</f>
        <v>0</v>
      </c>
      <c r="AT20" s="146">
        <f t="shared" ca="1" si="14"/>
        <v>0</v>
      </c>
      <c r="AU20" s="149">
        <f ca="1">IF(AND('Cap Table'!AM$62=0,AR20&gt;0),AP20/'Cap Table'!AM$61,IFERROR(IF(AP20=0,'Cap Table'!AM$62*(1-AO20),MIN('Cap Table'!AM$62*(1-AO20),AP20/'Cap Table'!AM$61)),0))</f>
        <v>0</v>
      </c>
      <c r="AV20" s="170">
        <f t="shared" ca="1" si="80"/>
        <v>0</v>
      </c>
      <c r="AW20" s="170">
        <v>0</v>
      </c>
      <c r="AX20" s="146">
        <f t="shared" ca="1" si="15"/>
        <v>0</v>
      </c>
      <c r="AY20" s="146">
        <f t="shared" si="15"/>
        <v>0</v>
      </c>
      <c r="AZ20" s="146">
        <f t="shared" ca="1" si="60"/>
        <v>0</v>
      </c>
      <c r="BA20" s="147">
        <f t="shared" ca="1" si="16"/>
        <v>0</v>
      </c>
      <c r="BB20" s="146">
        <f ca="1">AZ20*'Cap Table'!AM$62</f>
        <v>0</v>
      </c>
      <c r="BC20" s="173">
        <f ca="1">IFERROR(IF(OR(AL20='Cap Table'!$B$40,AL20='Cap Table'!$B$41,AL20='Cap Table'!$B$42),IF(SUM(AN20,S20)&lt;SUM(AM20,R20),FV(MAX(AQ20,V20)/1,DATEDIF(AK20,'Cap Table'!$AM$60,"y"),0,-MAX(AM20,R20))/(MAX(AP20,U20)/'Cap Table'!$AM$61),AZ20),AZ20),0)</f>
        <v>0</v>
      </c>
      <c r="BD20" s="147">
        <f t="shared" ca="1" si="17"/>
        <v>0</v>
      </c>
      <c r="BF20" s="168">
        <f t="shared" ca="1" si="61"/>
        <v>44634</v>
      </c>
      <c r="BG20" s="168" t="str">
        <f t="shared" si="62"/>
        <v>Equity</v>
      </c>
      <c r="BH20" s="169">
        <v>0</v>
      </c>
      <c r="BI20" s="169">
        <f>IF('Cap Table'!BH$79&lt;&gt;"na",IF(AL20='Cap Table'!$B$40,AM20-AN20,0),0)</f>
        <v>0</v>
      </c>
      <c r="BJ20" s="171">
        <f t="shared" si="18"/>
        <v>0</v>
      </c>
      <c r="BK20" s="169">
        <f t="shared" si="19"/>
        <v>0</v>
      </c>
      <c r="BL20" s="172">
        <f t="shared" si="20"/>
        <v>0</v>
      </c>
      <c r="BM20" s="170">
        <f ca="1">FV(BL20/1,DATEDIF(BF20,'Cap Table'!BH$60,"y"),0,-BI20)</f>
        <v>0</v>
      </c>
      <c r="BN20" s="170">
        <f ca="1">IF('Cap Table'!BH$80="no",IFERROR(BM20/(1-BJ20),0),IFERROR(BM20/(1-(MAX(BJ20,('Cap Table'!BH$62-BK20/'Cap Table'!BH$61)/'Cap Table'!BH$62))),0))</f>
        <v>0</v>
      </c>
      <c r="BO20" s="146">
        <f t="shared" ca="1" si="21"/>
        <v>0</v>
      </c>
      <c r="BP20" s="149">
        <f ca="1">IF(AND('Cap Table'!BH$62=0,BM20&gt;0),BK20/'Cap Table'!BH$61,IFERROR(IF(BK20=0,'Cap Table'!BH$62*(1-BJ20),MIN('Cap Table'!BH$62*(1-BJ20),BK20/'Cap Table'!BH$61)),0))</f>
        <v>0</v>
      </c>
      <c r="BQ20" s="170">
        <f t="shared" ca="1" si="81"/>
        <v>0</v>
      </c>
      <c r="BR20" s="170">
        <v>0</v>
      </c>
      <c r="BS20" s="146">
        <f t="shared" ca="1" si="22"/>
        <v>0</v>
      </c>
      <c r="BT20" s="146">
        <f t="shared" si="22"/>
        <v>0</v>
      </c>
      <c r="BU20" s="146">
        <f t="shared" ca="1" si="63"/>
        <v>0</v>
      </c>
      <c r="BV20" s="147">
        <f t="shared" ca="1" si="23"/>
        <v>0</v>
      </c>
      <c r="BW20" s="146">
        <f ca="1">BU20*'Cap Table'!BH$62</f>
        <v>0</v>
      </c>
      <c r="BX20" s="173">
        <f ca="1">IFERROR(IF(OR(BG20='Cap Table'!$B$40,BG20='Cap Table'!$B$41,BG20='Cap Table'!$B$42),IF(SUM(BI20,AN20,S20)&lt;SUM(BH20,AM20,R20),FV(MAX(BL20,AQ20,V20)/1,DATEDIF(BF20,'Cap Table'!$BH$60,"y"),0,-MAX(BH20,AM20,R20))/(MAX(BK20,AP20,U20)/'Cap Table'!$BH$61),BU20),BU20),0)</f>
        <v>0</v>
      </c>
      <c r="BY20" s="147">
        <f t="shared" ca="1" si="24"/>
        <v>0</v>
      </c>
      <c r="CA20" s="168">
        <f t="shared" ca="1" si="64"/>
        <v>44999</v>
      </c>
      <c r="CB20" s="168" t="str">
        <f t="shared" si="65"/>
        <v>Equity</v>
      </c>
      <c r="CC20" s="169">
        <v>0</v>
      </c>
      <c r="CD20" s="169">
        <f>IF('Cap Table'!CC$79&lt;&gt;"na",IF(BG20='Cap Table'!$B$40,BH20-BI20,0),0)</f>
        <v>0</v>
      </c>
      <c r="CE20" s="171">
        <f t="shared" si="25"/>
        <v>0</v>
      </c>
      <c r="CF20" s="169">
        <f t="shared" si="26"/>
        <v>0</v>
      </c>
      <c r="CG20" s="172">
        <f t="shared" si="27"/>
        <v>0</v>
      </c>
      <c r="CH20" s="170">
        <f ca="1">FV(CG20/1,DATEDIF(CA20,'Cap Table'!CC$60,"y"),0,-CD20)</f>
        <v>0</v>
      </c>
      <c r="CI20" s="170">
        <f ca="1">IF('Cap Table'!CC$80="no",IFERROR(CH20/(1-CE20),0),IFERROR(CH20/(1-(MAX(CE20,('Cap Table'!CC$62-CF20/'Cap Table'!CC$61)/'Cap Table'!CC$62))),0))</f>
        <v>0</v>
      </c>
      <c r="CJ20" s="146">
        <f t="shared" ca="1" si="28"/>
        <v>0</v>
      </c>
      <c r="CK20" s="149">
        <f ca="1">IF(AND('Cap Table'!CC$62=0,CH20&gt;0),CF20/'Cap Table'!CC$61,IFERROR(IF(CF20=0,'Cap Table'!CC$62*(1-CE20),MIN('Cap Table'!CC$62*(1-CE20),CF20/'Cap Table'!CC$61)),0))</f>
        <v>0</v>
      </c>
      <c r="CL20" s="170">
        <f t="shared" ca="1" si="82"/>
        <v>0</v>
      </c>
      <c r="CM20" s="170">
        <v>0</v>
      </c>
      <c r="CN20" s="146">
        <f t="shared" ca="1" si="29"/>
        <v>0</v>
      </c>
      <c r="CO20" s="146">
        <f t="shared" si="29"/>
        <v>0</v>
      </c>
      <c r="CP20" s="146">
        <f t="shared" ca="1" si="66"/>
        <v>0</v>
      </c>
      <c r="CQ20" s="147">
        <f t="shared" ca="1" si="30"/>
        <v>0</v>
      </c>
      <c r="CR20" s="146">
        <f ca="1">CP20*'Cap Table'!CC$62</f>
        <v>0</v>
      </c>
      <c r="CS20" s="173">
        <f ca="1">IFERROR(IF(OR(CB20='Cap Table'!$B$40,CB20='Cap Table'!$B$41,CB20='Cap Table'!$B$42),IF(SUM(CD20,BI20,AN20,S20)&lt;SUM(CC20,BH20,AM20,R20),FV(MAX(CG20,BL20,AQ20,V20)/1,DATEDIF(CA20,'Cap Table'!$CC$60,"y"),0,-MAX(CC20,BH20,AM20,R20))/(MAX(CF20,BK20,AP20,U20)/'Cap Table'!$CC$61),CP20),CP20),0)</f>
        <v>0</v>
      </c>
      <c r="CT20" s="147">
        <f t="shared" ca="1" si="31"/>
        <v>0</v>
      </c>
      <c r="CV20" s="168">
        <f t="shared" ca="1" si="67"/>
        <v>45365</v>
      </c>
      <c r="CW20" s="168" t="str">
        <f t="shared" si="68"/>
        <v>Equity</v>
      </c>
      <c r="CX20" s="169">
        <v>0</v>
      </c>
      <c r="CY20" s="169">
        <f>IF('Cap Table'!CX$79&lt;&gt;"na",IF(CB20='Cap Table'!$B$40,CC20-CD20,0),0)</f>
        <v>0</v>
      </c>
      <c r="CZ20" s="171">
        <f t="shared" si="32"/>
        <v>0</v>
      </c>
      <c r="DA20" s="169">
        <f t="shared" si="33"/>
        <v>0</v>
      </c>
      <c r="DB20" s="172">
        <f t="shared" si="34"/>
        <v>0</v>
      </c>
      <c r="DC20" s="170">
        <f ca="1">FV(DB20/1,DATEDIF(CV20,'Cap Table'!CX$60,"y"),0,-CY20)</f>
        <v>0</v>
      </c>
      <c r="DD20" s="170">
        <f ca="1">IF('Cap Table'!CX$80="no",IFERROR(DC20/(1-CZ20),0),IFERROR(DC20/(1-(MAX(CZ20,('Cap Table'!CX$62-DA20/'Cap Table'!CX$61)/'Cap Table'!CX$62))),0))</f>
        <v>0</v>
      </c>
      <c r="DE20" s="146">
        <f t="shared" ca="1" si="35"/>
        <v>0</v>
      </c>
      <c r="DF20" s="149">
        <f ca="1">IF(AND('Cap Table'!CX$62=0,DC20&gt;0),DA20/'Cap Table'!CX$61,IFERROR(IF(DA20=0,'Cap Table'!CX$62*(1-CZ20),MIN('Cap Table'!CX$62*(1-CZ20),DA20/'Cap Table'!CX$61)),0))</f>
        <v>0</v>
      </c>
      <c r="DG20" s="170">
        <f t="shared" ca="1" si="83"/>
        <v>0</v>
      </c>
      <c r="DH20" s="170">
        <v>0</v>
      </c>
      <c r="DI20" s="146">
        <f t="shared" ca="1" si="36"/>
        <v>0</v>
      </c>
      <c r="DJ20" s="146">
        <f t="shared" si="36"/>
        <v>0</v>
      </c>
      <c r="DK20" s="146">
        <f t="shared" ca="1" si="69"/>
        <v>0</v>
      </c>
      <c r="DL20" s="147">
        <f t="shared" ca="1" si="37"/>
        <v>0</v>
      </c>
      <c r="DM20" s="146">
        <f ca="1">DK20*'Cap Table'!CX$62</f>
        <v>0</v>
      </c>
      <c r="DN20" s="173">
        <f ca="1">IFERROR(IF(OR(CW20='Cap Table'!$B$40,CW20='Cap Table'!$B$41,CW20='Cap Table'!$B$42),IF(SUM(CY20,CD20,BI20,AN20,S20,)&lt;SUM(CX20,CC20,BH20,AM20,R20),FV(MAX(DB20,CG20,BL20,AQ20,V20)/1,DATEDIF(CV20,'Cap Table'!$CX$60,"y"),0,-MAX(CX20,CC20,BH20,AM20,R20))/(MAX(DA20,CF20,BK20,AP20,U20,)/'Cap Table'!$CX$61),DK20),DK20),0)</f>
        <v>0</v>
      </c>
      <c r="DO20" s="147">
        <f t="shared" ca="1" si="38"/>
        <v>0</v>
      </c>
      <c r="DQ20" s="168">
        <f t="shared" ca="1" si="70"/>
        <v>45730</v>
      </c>
      <c r="DR20" s="168" t="str">
        <f t="shared" si="71"/>
        <v>Equity</v>
      </c>
      <c r="DS20" s="169">
        <v>0</v>
      </c>
      <c r="DT20" s="169">
        <f>IF('Cap Table'!DS$79&lt;&gt;"na",IF(CW20='Cap Table'!$B$40,CX20-CY20,0),0)</f>
        <v>0</v>
      </c>
      <c r="DU20" s="171">
        <f t="shared" si="86"/>
        <v>0</v>
      </c>
      <c r="DV20" s="169">
        <f t="shared" si="87"/>
        <v>0</v>
      </c>
      <c r="DW20" s="172">
        <f t="shared" si="88"/>
        <v>0</v>
      </c>
      <c r="DX20" s="170">
        <f ca="1">FV(DW20/1,DATEDIF(DQ20,'Cap Table'!DS$60,"y"),0,-DT20)</f>
        <v>0</v>
      </c>
      <c r="DY20" s="170">
        <f ca="1">IF('Cap Table'!DS$80="no",IFERROR(DX20/(1-DU20),0),IFERROR(DX20/(1-(MAX(DU20,('Cap Table'!DS$62-DV20/'Cap Table'!DS$61)/'Cap Table'!DS$62))),0))</f>
        <v>0</v>
      </c>
      <c r="DZ20" s="146">
        <f t="shared" ca="1" si="42"/>
        <v>0</v>
      </c>
      <c r="EA20" s="149">
        <f ca="1">IF(AND('Cap Table'!DS$62=0,DX20&gt;0),DV20/'Cap Table'!DS$61,IFERROR(IF(DV20=0,'Cap Table'!DS$62*(1-DU20),MIN('Cap Table'!DS$62*(1-DU20),DV20/'Cap Table'!DS$61)),0))</f>
        <v>0</v>
      </c>
      <c r="EB20" s="170">
        <f t="shared" ca="1" si="84"/>
        <v>0</v>
      </c>
      <c r="EC20" s="170">
        <v>0</v>
      </c>
      <c r="ED20" s="146">
        <f t="shared" ca="1" si="72"/>
        <v>0</v>
      </c>
      <c r="EE20" s="146">
        <f t="shared" si="43"/>
        <v>0</v>
      </c>
      <c r="EF20" s="146">
        <f t="shared" ca="1" si="73"/>
        <v>0</v>
      </c>
      <c r="EG20" s="147">
        <f t="shared" ca="1" si="44"/>
        <v>0</v>
      </c>
      <c r="EH20" s="146">
        <f ca="1">EF20*'Cap Table'!DS$62</f>
        <v>0</v>
      </c>
      <c r="EI20" s="173">
        <f ca="1">IFERROR(IF(OR(DR20='Cap Table'!$B$40,DR20='Cap Table'!$B$41,DR20='Cap Table'!$B$42),IF(SUM(DT20,CY20,CD20,BI20,AN20,S20)&lt;SUM(DS20,CX20,CC20,BH20,AM20,R20),FV(MAX(DW20,DB20,CG20,BL20,AQ20,V20)/1,DATEDIF(DQ20,'Cap Table'!DS$60,"y"),0,-MAX(DS20,CX20,CC20,BH20,AM20,R20))/(MAX(DV20,DA20,CF20,BK20,AP20,U20)/'Cap Table'!$DS$61),EF20),EF20),0)</f>
        <v>0</v>
      </c>
      <c r="EJ20" s="147">
        <f t="shared" ca="1" si="45"/>
        <v>0</v>
      </c>
      <c r="EL20" s="146">
        <f t="shared" si="74"/>
        <v>0</v>
      </c>
      <c r="EM20" s="146">
        <f t="shared" si="74"/>
        <v>0</v>
      </c>
      <c r="EN20" s="174" t="s">
        <v>27</v>
      </c>
      <c r="EO20" s="174" t="s">
        <v>27</v>
      </c>
      <c r="EP20" s="174" t="s">
        <v>27</v>
      </c>
      <c r="EQ20" s="146">
        <f t="shared" ca="1" si="75"/>
        <v>0</v>
      </c>
      <c r="ER20" s="146">
        <f t="shared" ca="1" si="75"/>
        <v>0</v>
      </c>
      <c r="ES20" s="146">
        <f t="shared" ca="1" si="75"/>
        <v>0</v>
      </c>
      <c r="ET20" s="149">
        <f t="shared" ca="1" si="89"/>
        <v>0</v>
      </c>
      <c r="EU20" s="146">
        <f t="shared" ca="1" si="76"/>
        <v>0</v>
      </c>
      <c r="EV20" s="146">
        <f t="shared" si="76"/>
        <v>0</v>
      </c>
      <c r="EW20" s="146">
        <f t="shared" ca="1" si="77"/>
        <v>0</v>
      </c>
      <c r="EX20" s="146">
        <f t="shared" si="77"/>
        <v>0</v>
      </c>
      <c r="EY20" s="146">
        <f t="shared" ca="1" si="77"/>
        <v>0</v>
      </c>
      <c r="EZ20" s="147">
        <f t="shared" ca="1" si="46"/>
        <v>0</v>
      </c>
      <c r="FA20" s="146">
        <f t="shared" ca="1" si="78"/>
        <v>0</v>
      </c>
      <c r="FB20" s="146">
        <f t="shared" ca="1" si="78"/>
        <v>0</v>
      </c>
      <c r="FC20" s="147">
        <f t="shared" ca="1" si="47"/>
        <v>0</v>
      </c>
      <c r="FE20" s="149" t="str">
        <f t="shared" si="0"/>
        <v>Common</v>
      </c>
      <c r="FF20" s="146">
        <f t="shared" ca="1" si="48"/>
        <v>0</v>
      </c>
      <c r="FG20" s="146">
        <f t="shared" ca="1" si="49"/>
        <v>0</v>
      </c>
      <c r="FH20" s="146">
        <f t="shared" ca="1" si="50"/>
        <v>0</v>
      </c>
      <c r="FJ20" s="146" t="str">
        <f t="shared" si="51"/>
        <v>Common</v>
      </c>
      <c r="FK20" s="174" t="str">
        <f t="shared" ca="1" si="52"/>
        <v>na</v>
      </c>
      <c r="FL20" s="174" t="str">
        <f t="shared" ca="1" si="52"/>
        <v>na</v>
      </c>
      <c r="FM20" s="174" t="str">
        <f t="shared" ca="1" si="53"/>
        <v>na</v>
      </c>
    </row>
    <row r="21" spans="2:169">
      <c r="B21" s="145" t="s">
        <v>27</v>
      </c>
      <c r="D21" s="167" t="s">
        <v>27</v>
      </c>
      <c r="E21" s="167" t="str">
        <f t="shared" si="54"/>
        <v>Common</v>
      </c>
      <c r="G21" s="168">
        <f t="shared" ca="1" si="1"/>
        <v>43538</v>
      </c>
      <c r="H21" s="289" t="str">
        <f t="shared" si="2"/>
        <v>Equity</v>
      </c>
      <c r="I21" s="169">
        <v>0</v>
      </c>
      <c r="J21" s="170">
        <v>0</v>
      </c>
      <c r="K21" s="170">
        <f t="shared" si="55"/>
        <v>0</v>
      </c>
      <c r="L21" s="147">
        <f t="shared" si="3"/>
        <v>0</v>
      </c>
      <c r="M21" s="170">
        <f t="shared" si="56"/>
        <v>0</v>
      </c>
      <c r="N21" s="147">
        <f t="shared" si="4"/>
        <v>0</v>
      </c>
      <c r="O21" s="147"/>
      <c r="P21" s="168">
        <f t="shared" ca="1" si="85"/>
        <v>43904</v>
      </c>
      <c r="Q21" s="289" t="str">
        <f t="shared" si="5"/>
        <v>Equity</v>
      </c>
      <c r="R21" s="169">
        <v>0</v>
      </c>
      <c r="S21" s="169">
        <v>0</v>
      </c>
      <c r="T21" s="171">
        <v>0</v>
      </c>
      <c r="U21" s="145">
        <v>0</v>
      </c>
      <c r="V21" s="172">
        <v>0</v>
      </c>
      <c r="W21" s="170">
        <f ca="1">FV(V21/1,DATEDIF(P21,'Cap Table'!R$60,"y"),0,-S21)</f>
        <v>0</v>
      </c>
      <c r="X21" s="170">
        <f t="shared" ca="1" si="6"/>
        <v>0</v>
      </c>
      <c r="Y21" s="146">
        <f t="shared" ca="1" si="7"/>
        <v>0</v>
      </c>
      <c r="Z21" s="149">
        <f ca="1">IF(AND('Cap Table'!R$62=0,W21&gt;0),U21/'Cap Table'!R$61,IFERROR(IF(U21=0,'Cap Table'!R$62*(1-T21),MIN('Cap Table'!R$62*(1-T21),U21/'Cap Table'!R$61)),0))</f>
        <v>0</v>
      </c>
      <c r="AA21" s="170">
        <f t="shared" ca="1" si="79"/>
        <v>0</v>
      </c>
      <c r="AB21" s="170">
        <v>0</v>
      </c>
      <c r="AC21" s="146">
        <f t="shared" ca="1" si="8"/>
        <v>0</v>
      </c>
      <c r="AD21" s="146">
        <f t="shared" si="8"/>
        <v>0</v>
      </c>
      <c r="AE21" s="146">
        <f t="shared" ca="1" si="57"/>
        <v>0</v>
      </c>
      <c r="AF21" s="147">
        <f t="shared" ca="1" si="9"/>
        <v>0</v>
      </c>
      <c r="AG21" s="146">
        <f ca="1">AE21*'Cap Table'!R$62</f>
        <v>0</v>
      </c>
      <c r="AH21" s="146">
        <f ca="1">IFERROR(IF(OR(Q21='Cap Table'!$B$40,Q21='Cap Table'!$B$41,Q21='Cap Table'!$B$42),IF(SUM(S21)&lt;SUM(R21),(FV(V21/1,DATEDIF(P21,'Cap Table'!R$60,"y"),0,-R21))/(U21/'Cap Table'!$R$61),AE21),AE21),0)</f>
        <v>0</v>
      </c>
      <c r="AI21" s="147">
        <f t="shared" ca="1" si="10"/>
        <v>0</v>
      </c>
      <c r="AK21" s="168">
        <f t="shared" ca="1" si="58"/>
        <v>44269</v>
      </c>
      <c r="AL21" s="168" t="str">
        <f t="shared" si="59"/>
        <v>Equity</v>
      </c>
      <c r="AM21" s="169">
        <v>0</v>
      </c>
      <c r="AN21" s="169">
        <f>IF('Cap Table'!AM$79&lt;&gt;"na",IF(Q21='Cap Table'!$B$40,R21-S21,0),0)</f>
        <v>0</v>
      </c>
      <c r="AO21" s="171">
        <f t="shared" si="11"/>
        <v>0</v>
      </c>
      <c r="AP21" s="169">
        <f t="shared" si="12"/>
        <v>0</v>
      </c>
      <c r="AQ21" s="172">
        <f t="shared" si="13"/>
        <v>0</v>
      </c>
      <c r="AR21" s="170">
        <f ca="1">FV(AQ21/1,DATEDIF(AK21,'Cap Table'!AM$60,"y"),0,-AN21)</f>
        <v>0</v>
      </c>
      <c r="AS21" s="170">
        <f ca="1">IF('Cap Table'!AM$80="no",IFERROR(AR21/(1-AO21),0),IFERROR(AR21/(1-(MAX(AO21,('Cap Table'!AM$62-AP21/'Cap Table'!AM$61)/'Cap Table'!AM$62))),0))</f>
        <v>0</v>
      </c>
      <c r="AT21" s="146">
        <f t="shared" ca="1" si="14"/>
        <v>0</v>
      </c>
      <c r="AU21" s="149">
        <f ca="1">IF(AND('Cap Table'!AM$62=0,AR21&gt;0),AP21/'Cap Table'!AM$61,IFERROR(IF(AP21=0,'Cap Table'!AM$62*(1-AO21),MIN('Cap Table'!AM$62*(1-AO21),AP21/'Cap Table'!AM$61)),0))</f>
        <v>0</v>
      </c>
      <c r="AV21" s="170">
        <f t="shared" ca="1" si="80"/>
        <v>0</v>
      </c>
      <c r="AW21" s="170">
        <v>0</v>
      </c>
      <c r="AX21" s="146">
        <f t="shared" ca="1" si="15"/>
        <v>0</v>
      </c>
      <c r="AY21" s="146">
        <f t="shared" si="15"/>
        <v>0</v>
      </c>
      <c r="AZ21" s="146">
        <f t="shared" ca="1" si="60"/>
        <v>0</v>
      </c>
      <c r="BA21" s="147">
        <f t="shared" ca="1" si="16"/>
        <v>0</v>
      </c>
      <c r="BB21" s="146">
        <f ca="1">AZ21*'Cap Table'!AM$62</f>
        <v>0</v>
      </c>
      <c r="BC21" s="173">
        <f ca="1">IFERROR(IF(OR(AL21='Cap Table'!$B$40,AL21='Cap Table'!$B$41,AL21='Cap Table'!$B$42),IF(SUM(AN21,S21)&lt;SUM(AM21,R21),FV(MAX(AQ21,V21)/1,DATEDIF(AK21,'Cap Table'!$AM$60,"y"),0,-MAX(AM21,R21))/(MAX(AP21,U21)/'Cap Table'!$AM$61),AZ21),AZ21),0)</f>
        <v>0</v>
      </c>
      <c r="BD21" s="147">
        <f t="shared" ca="1" si="17"/>
        <v>0</v>
      </c>
      <c r="BF21" s="168">
        <f t="shared" ca="1" si="61"/>
        <v>44634</v>
      </c>
      <c r="BG21" s="168" t="str">
        <f t="shared" si="62"/>
        <v>Equity</v>
      </c>
      <c r="BH21" s="169">
        <v>0</v>
      </c>
      <c r="BI21" s="169">
        <f>IF('Cap Table'!BH$79&lt;&gt;"na",IF(AL21='Cap Table'!$B$40,AM21-AN21,0),0)</f>
        <v>0</v>
      </c>
      <c r="BJ21" s="171">
        <f t="shared" si="18"/>
        <v>0</v>
      </c>
      <c r="BK21" s="169">
        <f t="shared" si="19"/>
        <v>0</v>
      </c>
      <c r="BL21" s="172">
        <f t="shared" si="20"/>
        <v>0</v>
      </c>
      <c r="BM21" s="170">
        <f ca="1">FV(BL21/1,DATEDIF(BF21,'Cap Table'!BH$60,"y"),0,-BI21)</f>
        <v>0</v>
      </c>
      <c r="BN21" s="170">
        <f ca="1">IF('Cap Table'!BH$80="no",IFERROR(BM21/(1-BJ21),0),IFERROR(BM21/(1-(MAX(BJ21,('Cap Table'!BH$62-BK21/'Cap Table'!BH$61)/'Cap Table'!BH$62))),0))</f>
        <v>0</v>
      </c>
      <c r="BO21" s="146">
        <f t="shared" ca="1" si="21"/>
        <v>0</v>
      </c>
      <c r="BP21" s="149">
        <f ca="1">IF(AND('Cap Table'!BH$62=0,BM21&gt;0),BK21/'Cap Table'!BH$61,IFERROR(IF(BK21=0,'Cap Table'!BH$62*(1-BJ21),MIN('Cap Table'!BH$62*(1-BJ21),BK21/'Cap Table'!BH$61)),0))</f>
        <v>0</v>
      </c>
      <c r="BQ21" s="170">
        <f t="shared" ca="1" si="81"/>
        <v>0</v>
      </c>
      <c r="BR21" s="170">
        <v>0</v>
      </c>
      <c r="BS21" s="146">
        <f t="shared" ca="1" si="22"/>
        <v>0</v>
      </c>
      <c r="BT21" s="146">
        <f t="shared" si="22"/>
        <v>0</v>
      </c>
      <c r="BU21" s="146">
        <f t="shared" ca="1" si="63"/>
        <v>0</v>
      </c>
      <c r="BV21" s="147">
        <f t="shared" ca="1" si="23"/>
        <v>0</v>
      </c>
      <c r="BW21" s="146">
        <f ca="1">BU21*'Cap Table'!BH$62</f>
        <v>0</v>
      </c>
      <c r="BX21" s="173">
        <f ca="1">IFERROR(IF(OR(BG21='Cap Table'!$B$40,BG21='Cap Table'!$B$41,BG21='Cap Table'!$B$42),IF(SUM(BI21,AN21,S21)&lt;SUM(BH21,AM21,R21),FV(MAX(BL21,AQ21,V21)/1,DATEDIF(BF21,'Cap Table'!$BH$60,"y"),0,-MAX(BH21,AM21,R21))/(MAX(BK21,AP21,U21)/'Cap Table'!$BH$61),BU21),BU21),0)</f>
        <v>0</v>
      </c>
      <c r="BY21" s="147">
        <f t="shared" ca="1" si="24"/>
        <v>0</v>
      </c>
      <c r="CA21" s="168">
        <f t="shared" ca="1" si="64"/>
        <v>44999</v>
      </c>
      <c r="CB21" s="168" t="str">
        <f t="shared" si="65"/>
        <v>Equity</v>
      </c>
      <c r="CC21" s="169">
        <v>0</v>
      </c>
      <c r="CD21" s="169">
        <f>IF('Cap Table'!CC$79&lt;&gt;"na",IF(BG21='Cap Table'!$B$40,BH21-BI21,0),0)</f>
        <v>0</v>
      </c>
      <c r="CE21" s="171">
        <f t="shared" si="25"/>
        <v>0</v>
      </c>
      <c r="CF21" s="169">
        <f t="shared" si="26"/>
        <v>0</v>
      </c>
      <c r="CG21" s="172">
        <f t="shared" si="27"/>
        <v>0</v>
      </c>
      <c r="CH21" s="170">
        <f ca="1">FV(CG21/1,DATEDIF(CA21,'Cap Table'!CC$60,"y"),0,-CD21)</f>
        <v>0</v>
      </c>
      <c r="CI21" s="170">
        <f ca="1">IF('Cap Table'!CC$80="no",IFERROR(CH21/(1-CE21),0),IFERROR(CH21/(1-(MAX(CE21,('Cap Table'!CC$62-CF21/'Cap Table'!CC$61)/'Cap Table'!CC$62))),0))</f>
        <v>0</v>
      </c>
      <c r="CJ21" s="146">
        <f t="shared" ca="1" si="28"/>
        <v>0</v>
      </c>
      <c r="CK21" s="149">
        <f ca="1">IF(AND('Cap Table'!CC$62=0,CH21&gt;0),CF21/'Cap Table'!CC$61,IFERROR(IF(CF21=0,'Cap Table'!CC$62*(1-CE21),MIN('Cap Table'!CC$62*(1-CE21),CF21/'Cap Table'!CC$61)),0))</f>
        <v>0</v>
      </c>
      <c r="CL21" s="170">
        <f t="shared" ca="1" si="82"/>
        <v>0</v>
      </c>
      <c r="CM21" s="170">
        <v>0</v>
      </c>
      <c r="CN21" s="146">
        <f t="shared" ca="1" si="29"/>
        <v>0</v>
      </c>
      <c r="CO21" s="146">
        <f t="shared" si="29"/>
        <v>0</v>
      </c>
      <c r="CP21" s="146">
        <f t="shared" ca="1" si="66"/>
        <v>0</v>
      </c>
      <c r="CQ21" s="147">
        <f t="shared" ca="1" si="30"/>
        <v>0</v>
      </c>
      <c r="CR21" s="146">
        <f ca="1">CP21*'Cap Table'!CC$62</f>
        <v>0</v>
      </c>
      <c r="CS21" s="173">
        <f ca="1">IFERROR(IF(OR(CB21='Cap Table'!$B$40,CB21='Cap Table'!$B$41,CB21='Cap Table'!$B$42),IF(SUM(CD21,BI21,AN21,S21)&lt;SUM(CC21,BH21,AM21,R21),FV(MAX(CG21,BL21,AQ21,V21)/1,DATEDIF(CA21,'Cap Table'!$CC$60,"y"),0,-MAX(CC21,BH21,AM21,R21))/(MAX(CF21,BK21,AP21,U21)/'Cap Table'!$CC$61),CP21),CP21),0)</f>
        <v>0</v>
      </c>
      <c r="CT21" s="147">
        <f t="shared" ca="1" si="31"/>
        <v>0</v>
      </c>
      <c r="CV21" s="168">
        <f t="shared" ca="1" si="67"/>
        <v>45365</v>
      </c>
      <c r="CW21" s="168" t="str">
        <f t="shared" si="68"/>
        <v>Equity</v>
      </c>
      <c r="CX21" s="169">
        <v>0</v>
      </c>
      <c r="CY21" s="169">
        <f>IF('Cap Table'!CX$79&lt;&gt;"na",IF(CB21='Cap Table'!$B$40,CC21-CD21,0),0)</f>
        <v>0</v>
      </c>
      <c r="CZ21" s="171">
        <f t="shared" si="32"/>
        <v>0</v>
      </c>
      <c r="DA21" s="169">
        <f t="shared" si="33"/>
        <v>0</v>
      </c>
      <c r="DB21" s="172">
        <f t="shared" si="34"/>
        <v>0</v>
      </c>
      <c r="DC21" s="170">
        <f ca="1">FV(DB21/1,DATEDIF(CV21,'Cap Table'!CX$60,"y"),0,-CY21)</f>
        <v>0</v>
      </c>
      <c r="DD21" s="170">
        <f ca="1">IF('Cap Table'!CX$80="no",IFERROR(DC21/(1-CZ21),0),IFERROR(DC21/(1-(MAX(CZ21,('Cap Table'!CX$62-DA21/'Cap Table'!CX$61)/'Cap Table'!CX$62))),0))</f>
        <v>0</v>
      </c>
      <c r="DE21" s="146">
        <f t="shared" ca="1" si="35"/>
        <v>0</v>
      </c>
      <c r="DF21" s="149">
        <f ca="1">IF(AND('Cap Table'!CX$62=0,DC21&gt;0),DA21/'Cap Table'!CX$61,IFERROR(IF(DA21=0,'Cap Table'!CX$62*(1-CZ21),MIN('Cap Table'!CX$62*(1-CZ21),DA21/'Cap Table'!CX$61)),0))</f>
        <v>0</v>
      </c>
      <c r="DG21" s="170">
        <f t="shared" ca="1" si="83"/>
        <v>0</v>
      </c>
      <c r="DH21" s="170">
        <v>0</v>
      </c>
      <c r="DI21" s="146">
        <f t="shared" ca="1" si="36"/>
        <v>0</v>
      </c>
      <c r="DJ21" s="146">
        <f t="shared" si="36"/>
        <v>0</v>
      </c>
      <c r="DK21" s="146">
        <f t="shared" ca="1" si="69"/>
        <v>0</v>
      </c>
      <c r="DL21" s="147">
        <f t="shared" ca="1" si="37"/>
        <v>0</v>
      </c>
      <c r="DM21" s="146">
        <f ca="1">DK21*'Cap Table'!CX$62</f>
        <v>0</v>
      </c>
      <c r="DN21" s="173">
        <f ca="1">IFERROR(IF(OR(CW21='Cap Table'!$B$40,CW21='Cap Table'!$B$41,CW21='Cap Table'!$B$42),IF(SUM(CY21,CD21,BI21,AN21,S21,)&lt;SUM(CX21,CC21,BH21,AM21,R21),FV(MAX(DB21,CG21,BL21,AQ21,V21)/1,DATEDIF(CV21,'Cap Table'!$CX$60,"y"),0,-MAX(CX21,CC21,BH21,AM21,R21))/(MAX(DA21,CF21,BK21,AP21,U21,)/'Cap Table'!$CX$61),DK21),DK21),0)</f>
        <v>0</v>
      </c>
      <c r="DO21" s="147">
        <f t="shared" ca="1" si="38"/>
        <v>0</v>
      </c>
      <c r="DQ21" s="168">
        <f t="shared" ca="1" si="70"/>
        <v>45730</v>
      </c>
      <c r="DR21" s="168" t="str">
        <f t="shared" si="71"/>
        <v>Equity</v>
      </c>
      <c r="DS21" s="169">
        <v>0</v>
      </c>
      <c r="DT21" s="169">
        <f>IF('Cap Table'!DS$79&lt;&gt;"na",IF(CW21='Cap Table'!$B$40,CX21-CY21,0),0)</f>
        <v>0</v>
      </c>
      <c r="DU21" s="171">
        <f t="shared" si="86"/>
        <v>0</v>
      </c>
      <c r="DV21" s="169">
        <f t="shared" si="87"/>
        <v>0</v>
      </c>
      <c r="DW21" s="172">
        <f t="shared" si="88"/>
        <v>0</v>
      </c>
      <c r="DX21" s="170">
        <f ca="1">FV(DW21/1,DATEDIF(DQ21,'Cap Table'!DS$60,"y"),0,-DT21)</f>
        <v>0</v>
      </c>
      <c r="DY21" s="170">
        <f ca="1">IF('Cap Table'!DS$80="no",IFERROR(DX21/(1-DU21),0),IFERROR(DX21/(1-(MAX(DU21,('Cap Table'!DS$62-DV21/'Cap Table'!DS$61)/'Cap Table'!DS$62))),0))</f>
        <v>0</v>
      </c>
      <c r="DZ21" s="146">
        <f t="shared" ca="1" si="42"/>
        <v>0</v>
      </c>
      <c r="EA21" s="149">
        <f ca="1">IF(AND('Cap Table'!DS$62=0,DX21&gt;0),DV21/'Cap Table'!DS$61,IFERROR(IF(DV21=0,'Cap Table'!DS$62*(1-DU21),MIN('Cap Table'!DS$62*(1-DU21),DV21/'Cap Table'!DS$61)),0))</f>
        <v>0</v>
      </c>
      <c r="EB21" s="170">
        <f t="shared" ca="1" si="84"/>
        <v>0</v>
      </c>
      <c r="EC21" s="170">
        <v>0</v>
      </c>
      <c r="ED21" s="146">
        <f t="shared" ca="1" si="72"/>
        <v>0</v>
      </c>
      <c r="EE21" s="146">
        <f t="shared" si="43"/>
        <v>0</v>
      </c>
      <c r="EF21" s="146">
        <f t="shared" ca="1" si="73"/>
        <v>0</v>
      </c>
      <c r="EG21" s="147">
        <f t="shared" ca="1" si="44"/>
        <v>0</v>
      </c>
      <c r="EH21" s="146">
        <f ca="1">EF21*'Cap Table'!DS$62</f>
        <v>0</v>
      </c>
      <c r="EI21" s="173">
        <f ca="1">IFERROR(IF(OR(DR21='Cap Table'!$B$40,DR21='Cap Table'!$B$41,DR21='Cap Table'!$B$42),IF(SUM(DT21,CY21,CD21,BI21,AN21,S21)&lt;SUM(DS21,CX21,CC21,BH21,AM21,R21),FV(MAX(DW21,DB21,CG21,BL21,AQ21,V21)/1,DATEDIF(DQ21,'Cap Table'!DS$60,"y"),0,-MAX(DS21,CX21,CC21,BH21,AM21,R21))/(MAX(DV21,DA21,CF21,BK21,AP21,U21)/'Cap Table'!$DS$61),EF21),EF21),0)</f>
        <v>0</v>
      </c>
      <c r="EJ21" s="147">
        <f t="shared" ca="1" si="45"/>
        <v>0</v>
      </c>
      <c r="EL21" s="146">
        <f t="shared" si="74"/>
        <v>0</v>
      </c>
      <c r="EM21" s="146">
        <f t="shared" si="74"/>
        <v>0</v>
      </c>
      <c r="EN21" s="174" t="s">
        <v>27</v>
      </c>
      <c r="EO21" s="174" t="s">
        <v>27</v>
      </c>
      <c r="EP21" s="174" t="s">
        <v>27</v>
      </c>
      <c r="EQ21" s="146">
        <f t="shared" ca="1" si="75"/>
        <v>0</v>
      </c>
      <c r="ER21" s="146">
        <f t="shared" ca="1" si="75"/>
        <v>0</v>
      </c>
      <c r="ES21" s="146">
        <f t="shared" ca="1" si="75"/>
        <v>0</v>
      </c>
      <c r="ET21" s="149">
        <f t="shared" ca="1" si="89"/>
        <v>0</v>
      </c>
      <c r="EU21" s="146">
        <f t="shared" ca="1" si="76"/>
        <v>0</v>
      </c>
      <c r="EV21" s="146">
        <f t="shared" si="76"/>
        <v>0</v>
      </c>
      <c r="EW21" s="146">
        <f t="shared" ca="1" si="77"/>
        <v>0</v>
      </c>
      <c r="EX21" s="146">
        <f t="shared" si="77"/>
        <v>0</v>
      </c>
      <c r="EY21" s="146">
        <f t="shared" ca="1" si="77"/>
        <v>0</v>
      </c>
      <c r="EZ21" s="147">
        <f t="shared" ca="1" si="46"/>
        <v>0</v>
      </c>
      <c r="FA21" s="146">
        <f t="shared" ca="1" si="78"/>
        <v>0</v>
      </c>
      <c r="FB21" s="146">
        <f t="shared" ca="1" si="78"/>
        <v>0</v>
      </c>
      <c r="FC21" s="147">
        <f t="shared" ca="1" si="47"/>
        <v>0</v>
      </c>
      <c r="FE21" s="149" t="str">
        <f t="shared" si="0"/>
        <v>Common</v>
      </c>
      <c r="FF21" s="146">
        <f t="shared" ca="1" si="48"/>
        <v>0</v>
      </c>
      <c r="FG21" s="146">
        <f t="shared" ca="1" si="49"/>
        <v>0</v>
      </c>
      <c r="FH21" s="146">
        <f t="shared" ca="1" si="50"/>
        <v>0</v>
      </c>
      <c r="FJ21" s="146" t="str">
        <f t="shared" si="51"/>
        <v>Common</v>
      </c>
      <c r="FK21" s="174" t="str">
        <f t="shared" ca="1" si="52"/>
        <v>na</v>
      </c>
      <c r="FL21" s="174" t="str">
        <f t="shared" ca="1" si="52"/>
        <v>na</v>
      </c>
      <c r="FM21" s="174" t="str">
        <f t="shared" ca="1" si="53"/>
        <v>na</v>
      </c>
    </row>
    <row r="22" spans="2:169">
      <c r="B22" s="145" t="s">
        <v>27</v>
      </c>
      <c r="D22" s="167" t="s">
        <v>27</v>
      </c>
      <c r="E22" s="167" t="str">
        <f t="shared" si="54"/>
        <v>Common</v>
      </c>
      <c r="G22" s="168">
        <f t="shared" ca="1" si="1"/>
        <v>43538</v>
      </c>
      <c r="H22" s="289" t="str">
        <f t="shared" si="2"/>
        <v>Equity</v>
      </c>
      <c r="I22" s="169">
        <v>0</v>
      </c>
      <c r="J22" s="170">
        <v>0</v>
      </c>
      <c r="K22" s="170">
        <f t="shared" si="55"/>
        <v>0</v>
      </c>
      <c r="L22" s="147">
        <f t="shared" si="3"/>
        <v>0</v>
      </c>
      <c r="M22" s="170">
        <f t="shared" si="56"/>
        <v>0</v>
      </c>
      <c r="N22" s="147">
        <f t="shared" si="4"/>
        <v>0</v>
      </c>
      <c r="O22" s="147"/>
      <c r="P22" s="168">
        <f t="shared" ca="1" si="85"/>
        <v>43904</v>
      </c>
      <c r="Q22" s="289" t="str">
        <f t="shared" si="5"/>
        <v>Equity</v>
      </c>
      <c r="R22" s="169">
        <v>0</v>
      </c>
      <c r="S22" s="169">
        <v>0</v>
      </c>
      <c r="T22" s="171">
        <v>0</v>
      </c>
      <c r="U22" s="145">
        <v>0</v>
      </c>
      <c r="V22" s="172">
        <v>0</v>
      </c>
      <c r="W22" s="170">
        <f ca="1">FV(V22/1,DATEDIF(P22,'Cap Table'!R$60,"y"),0,-S22)</f>
        <v>0</v>
      </c>
      <c r="X22" s="170">
        <f t="shared" ca="1" si="6"/>
        <v>0</v>
      </c>
      <c r="Y22" s="146">
        <f t="shared" ca="1" si="7"/>
        <v>0</v>
      </c>
      <c r="Z22" s="149">
        <f ca="1">IF(AND('Cap Table'!R$62=0,W22&gt;0),U22/'Cap Table'!R$61,IFERROR(IF(U22=0,'Cap Table'!R$62*(1-T22),MIN('Cap Table'!R$62*(1-T22),U22/'Cap Table'!R$61)),0))</f>
        <v>0</v>
      </c>
      <c r="AA22" s="170">
        <f t="shared" ca="1" si="79"/>
        <v>0</v>
      </c>
      <c r="AB22" s="170">
        <v>0</v>
      </c>
      <c r="AC22" s="146">
        <f t="shared" ca="1" si="8"/>
        <v>0</v>
      </c>
      <c r="AD22" s="146">
        <f t="shared" si="8"/>
        <v>0</v>
      </c>
      <c r="AE22" s="146">
        <f t="shared" ca="1" si="57"/>
        <v>0</v>
      </c>
      <c r="AF22" s="147">
        <f t="shared" ca="1" si="9"/>
        <v>0</v>
      </c>
      <c r="AG22" s="146">
        <f ca="1">AE22*'Cap Table'!R$62</f>
        <v>0</v>
      </c>
      <c r="AH22" s="146">
        <f ca="1">IFERROR(IF(OR(Q22='Cap Table'!$B$40,Q22='Cap Table'!$B$41,Q22='Cap Table'!$B$42),IF(SUM(S22)&lt;SUM(R22),(FV(V22/1,DATEDIF(P22,'Cap Table'!R$60,"y"),0,-R22))/(U22/'Cap Table'!$R$61),AE22),AE22),0)</f>
        <v>0</v>
      </c>
      <c r="AI22" s="147">
        <f t="shared" ca="1" si="10"/>
        <v>0</v>
      </c>
      <c r="AK22" s="168">
        <f t="shared" ca="1" si="58"/>
        <v>44269</v>
      </c>
      <c r="AL22" s="168" t="str">
        <f t="shared" si="59"/>
        <v>Equity</v>
      </c>
      <c r="AM22" s="169">
        <v>0</v>
      </c>
      <c r="AN22" s="169">
        <f>IF('Cap Table'!AM$79&lt;&gt;"na",IF(Q22='Cap Table'!$B$40,R22-S22,0),0)</f>
        <v>0</v>
      </c>
      <c r="AO22" s="171">
        <f t="shared" si="11"/>
        <v>0</v>
      </c>
      <c r="AP22" s="169">
        <f t="shared" si="12"/>
        <v>0</v>
      </c>
      <c r="AQ22" s="172">
        <f t="shared" si="13"/>
        <v>0</v>
      </c>
      <c r="AR22" s="170">
        <f ca="1">FV(AQ22/1,DATEDIF(AK22,'Cap Table'!AM$60,"y"),0,-AN22)</f>
        <v>0</v>
      </c>
      <c r="AS22" s="170">
        <f ca="1">IF('Cap Table'!AM$80="no",IFERROR(AR22/(1-AO22),0),IFERROR(AR22/(1-(MAX(AO22,('Cap Table'!AM$62-AP22/'Cap Table'!AM$61)/'Cap Table'!AM$62))),0))</f>
        <v>0</v>
      </c>
      <c r="AT22" s="146">
        <f t="shared" ca="1" si="14"/>
        <v>0</v>
      </c>
      <c r="AU22" s="149">
        <f ca="1">IF(AND('Cap Table'!AM$62=0,AR22&gt;0),AP22/'Cap Table'!AM$61,IFERROR(IF(AP22=0,'Cap Table'!AM$62*(1-AO22),MIN('Cap Table'!AM$62*(1-AO22),AP22/'Cap Table'!AM$61)),0))</f>
        <v>0</v>
      </c>
      <c r="AV22" s="170">
        <f t="shared" ca="1" si="80"/>
        <v>0</v>
      </c>
      <c r="AW22" s="170">
        <v>0</v>
      </c>
      <c r="AX22" s="146">
        <f t="shared" ca="1" si="15"/>
        <v>0</v>
      </c>
      <c r="AY22" s="146">
        <f t="shared" si="15"/>
        <v>0</v>
      </c>
      <c r="AZ22" s="146">
        <f t="shared" ca="1" si="60"/>
        <v>0</v>
      </c>
      <c r="BA22" s="147">
        <f t="shared" ca="1" si="16"/>
        <v>0</v>
      </c>
      <c r="BB22" s="146">
        <f ca="1">AZ22*'Cap Table'!AM$62</f>
        <v>0</v>
      </c>
      <c r="BC22" s="173">
        <f ca="1">IFERROR(IF(OR(AL22='Cap Table'!$B$40,AL22='Cap Table'!$B$41,AL22='Cap Table'!$B$42),IF(SUM(AN22,S22)&lt;SUM(AM22,R22),FV(MAX(AQ22,V22)/1,DATEDIF(AK22,'Cap Table'!$AM$60,"y"),0,-MAX(AM22,R22))/(MAX(AP22,U22)/'Cap Table'!$AM$61),AZ22),AZ22),0)</f>
        <v>0</v>
      </c>
      <c r="BD22" s="147">
        <f t="shared" ca="1" si="17"/>
        <v>0</v>
      </c>
      <c r="BF22" s="168">
        <f t="shared" ca="1" si="61"/>
        <v>44634</v>
      </c>
      <c r="BG22" s="168" t="str">
        <f t="shared" si="62"/>
        <v>Equity</v>
      </c>
      <c r="BH22" s="169">
        <v>0</v>
      </c>
      <c r="BI22" s="169">
        <f>IF('Cap Table'!BH$79&lt;&gt;"na",IF(AL22='Cap Table'!$B$40,AM22-AN22,0),0)</f>
        <v>0</v>
      </c>
      <c r="BJ22" s="171">
        <f t="shared" si="18"/>
        <v>0</v>
      </c>
      <c r="BK22" s="169">
        <f t="shared" si="19"/>
        <v>0</v>
      </c>
      <c r="BL22" s="172">
        <f t="shared" si="20"/>
        <v>0</v>
      </c>
      <c r="BM22" s="170">
        <f ca="1">FV(BL22/1,DATEDIF(BF22,'Cap Table'!BH$60,"y"),0,-BI22)</f>
        <v>0</v>
      </c>
      <c r="BN22" s="170">
        <f ca="1">IF('Cap Table'!BH$80="no",IFERROR(BM22/(1-BJ22),0),IFERROR(BM22/(1-(MAX(BJ22,('Cap Table'!BH$62-BK22/'Cap Table'!BH$61)/'Cap Table'!BH$62))),0))</f>
        <v>0</v>
      </c>
      <c r="BO22" s="146">
        <f t="shared" ca="1" si="21"/>
        <v>0</v>
      </c>
      <c r="BP22" s="149">
        <f ca="1">IF(AND('Cap Table'!BH$62=0,BM22&gt;0),BK22/'Cap Table'!BH$61,IFERROR(IF(BK22=0,'Cap Table'!BH$62*(1-BJ22),MIN('Cap Table'!BH$62*(1-BJ22),BK22/'Cap Table'!BH$61)),0))</f>
        <v>0</v>
      </c>
      <c r="BQ22" s="170">
        <f t="shared" ca="1" si="81"/>
        <v>0</v>
      </c>
      <c r="BR22" s="170">
        <v>0</v>
      </c>
      <c r="BS22" s="146">
        <f t="shared" ca="1" si="22"/>
        <v>0</v>
      </c>
      <c r="BT22" s="146">
        <f t="shared" si="22"/>
        <v>0</v>
      </c>
      <c r="BU22" s="146">
        <f t="shared" ca="1" si="63"/>
        <v>0</v>
      </c>
      <c r="BV22" s="147">
        <f t="shared" ca="1" si="23"/>
        <v>0</v>
      </c>
      <c r="BW22" s="146">
        <f ca="1">BU22*'Cap Table'!BH$62</f>
        <v>0</v>
      </c>
      <c r="BX22" s="173">
        <f ca="1">IFERROR(IF(OR(BG22='Cap Table'!$B$40,BG22='Cap Table'!$B$41,BG22='Cap Table'!$B$42),IF(SUM(BI22,AN22,S22)&lt;SUM(BH22,AM22,R22),FV(MAX(BL22,AQ22,V22)/1,DATEDIF(BF22,'Cap Table'!$BH$60,"y"),0,-MAX(BH22,AM22,R22))/(MAX(BK22,AP22,U22)/'Cap Table'!$BH$61),BU22),BU22),0)</f>
        <v>0</v>
      </c>
      <c r="BY22" s="147">
        <f t="shared" ca="1" si="24"/>
        <v>0</v>
      </c>
      <c r="CA22" s="168">
        <f t="shared" ca="1" si="64"/>
        <v>44999</v>
      </c>
      <c r="CB22" s="168" t="str">
        <f t="shared" si="65"/>
        <v>Equity</v>
      </c>
      <c r="CC22" s="169">
        <v>0</v>
      </c>
      <c r="CD22" s="169">
        <f>IF('Cap Table'!CC$79&lt;&gt;"na",IF(BG22='Cap Table'!$B$40,BH22-BI22,0),0)</f>
        <v>0</v>
      </c>
      <c r="CE22" s="171">
        <f t="shared" si="25"/>
        <v>0</v>
      </c>
      <c r="CF22" s="169">
        <f t="shared" si="26"/>
        <v>0</v>
      </c>
      <c r="CG22" s="172">
        <f t="shared" si="27"/>
        <v>0</v>
      </c>
      <c r="CH22" s="170">
        <f ca="1">FV(CG22/1,DATEDIF(CA22,'Cap Table'!CC$60,"y"),0,-CD22)</f>
        <v>0</v>
      </c>
      <c r="CI22" s="170">
        <f ca="1">IF('Cap Table'!CC$80="no",IFERROR(CH22/(1-CE22),0),IFERROR(CH22/(1-(MAX(CE22,('Cap Table'!CC$62-CF22/'Cap Table'!CC$61)/'Cap Table'!CC$62))),0))</f>
        <v>0</v>
      </c>
      <c r="CJ22" s="146">
        <f t="shared" ca="1" si="28"/>
        <v>0</v>
      </c>
      <c r="CK22" s="149">
        <f ca="1">IF(AND('Cap Table'!CC$62=0,CH22&gt;0),CF22/'Cap Table'!CC$61,IFERROR(IF(CF22=0,'Cap Table'!CC$62*(1-CE22),MIN('Cap Table'!CC$62*(1-CE22),CF22/'Cap Table'!CC$61)),0))</f>
        <v>0</v>
      </c>
      <c r="CL22" s="170">
        <f t="shared" ca="1" si="82"/>
        <v>0</v>
      </c>
      <c r="CM22" s="170">
        <v>0</v>
      </c>
      <c r="CN22" s="146">
        <f t="shared" ca="1" si="29"/>
        <v>0</v>
      </c>
      <c r="CO22" s="146">
        <f t="shared" si="29"/>
        <v>0</v>
      </c>
      <c r="CP22" s="146">
        <f t="shared" ca="1" si="66"/>
        <v>0</v>
      </c>
      <c r="CQ22" s="147">
        <f t="shared" ca="1" si="30"/>
        <v>0</v>
      </c>
      <c r="CR22" s="146">
        <f ca="1">CP22*'Cap Table'!CC$62</f>
        <v>0</v>
      </c>
      <c r="CS22" s="173">
        <f ca="1">IFERROR(IF(OR(CB22='Cap Table'!$B$40,CB22='Cap Table'!$B$41,CB22='Cap Table'!$B$42),IF(SUM(CD22,BI22,AN22,S22)&lt;SUM(CC22,BH22,AM22,R22),FV(MAX(CG22,BL22,AQ22,V22)/1,DATEDIF(CA22,'Cap Table'!$CC$60,"y"),0,-MAX(CC22,BH22,AM22,R22))/(MAX(CF22,BK22,AP22,U22)/'Cap Table'!$CC$61),CP22),CP22),0)</f>
        <v>0</v>
      </c>
      <c r="CT22" s="147">
        <f t="shared" ca="1" si="31"/>
        <v>0</v>
      </c>
      <c r="CV22" s="168">
        <f t="shared" ca="1" si="67"/>
        <v>45365</v>
      </c>
      <c r="CW22" s="168" t="str">
        <f t="shared" si="68"/>
        <v>Equity</v>
      </c>
      <c r="CX22" s="169">
        <v>0</v>
      </c>
      <c r="CY22" s="169">
        <f>IF('Cap Table'!CX$79&lt;&gt;"na",IF(CB22='Cap Table'!$B$40,CC22-CD22,0),0)</f>
        <v>0</v>
      </c>
      <c r="CZ22" s="171">
        <f t="shared" si="32"/>
        <v>0</v>
      </c>
      <c r="DA22" s="169">
        <f t="shared" si="33"/>
        <v>0</v>
      </c>
      <c r="DB22" s="172">
        <f t="shared" si="34"/>
        <v>0</v>
      </c>
      <c r="DC22" s="170">
        <f ca="1">FV(DB22/1,DATEDIF(CV22,'Cap Table'!CX$60,"y"),0,-CY22)</f>
        <v>0</v>
      </c>
      <c r="DD22" s="170">
        <f ca="1">IF('Cap Table'!CX$80="no",IFERROR(DC22/(1-CZ22),0),IFERROR(DC22/(1-(MAX(CZ22,('Cap Table'!CX$62-DA22/'Cap Table'!CX$61)/'Cap Table'!CX$62))),0))</f>
        <v>0</v>
      </c>
      <c r="DE22" s="146">
        <f t="shared" ca="1" si="35"/>
        <v>0</v>
      </c>
      <c r="DF22" s="149">
        <f ca="1">IF(AND('Cap Table'!CX$62=0,DC22&gt;0),DA22/'Cap Table'!CX$61,IFERROR(IF(DA22=0,'Cap Table'!CX$62*(1-CZ22),MIN('Cap Table'!CX$62*(1-CZ22),DA22/'Cap Table'!CX$61)),0))</f>
        <v>0</v>
      </c>
      <c r="DG22" s="170">
        <f t="shared" ca="1" si="83"/>
        <v>0</v>
      </c>
      <c r="DH22" s="170">
        <v>0</v>
      </c>
      <c r="DI22" s="146">
        <f t="shared" ca="1" si="36"/>
        <v>0</v>
      </c>
      <c r="DJ22" s="146">
        <f t="shared" si="36"/>
        <v>0</v>
      </c>
      <c r="DK22" s="146">
        <f t="shared" ca="1" si="69"/>
        <v>0</v>
      </c>
      <c r="DL22" s="147">
        <f t="shared" ca="1" si="37"/>
        <v>0</v>
      </c>
      <c r="DM22" s="146">
        <f ca="1">DK22*'Cap Table'!CX$62</f>
        <v>0</v>
      </c>
      <c r="DN22" s="173">
        <f ca="1">IFERROR(IF(OR(CW22='Cap Table'!$B$40,CW22='Cap Table'!$B$41,CW22='Cap Table'!$B$42),IF(SUM(CY22,CD22,BI22,AN22,S22,)&lt;SUM(CX22,CC22,BH22,AM22,R22),FV(MAX(DB22,CG22,BL22,AQ22,V22)/1,DATEDIF(CV22,'Cap Table'!$CX$60,"y"),0,-MAX(CX22,CC22,BH22,AM22,R22))/(MAX(DA22,CF22,BK22,AP22,U22,)/'Cap Table'!$CX$61),DK22),DK22),0)</f>
        <v>0</v>
      </c>
      <c r="DO22" s="147">
        <f t="shared" ca="1" si="38"/>
        <v>0</v>
      </c>
      <c r="DQ22" s="168">
        <f t="shared" ca="1" si="70"/>
        <v>45730</v>
      </c>
      <c r="DR22" s="168" t="str">
        <f t="shared" si="71"/>
        <v>Equity</v>
      </c>
      <c r="DS22" s="169">
        <v>0</v>
      </c>
      <c r="DT22" s="169">
        <f>IF('Cap Table'!DS$79&lt;&gt;"na",IF(CW22='Cap Table'!$B$40,CX22-CY22,0),0)</f>
        <v>0</v>
      </c>
      <c r="DU22" s="171">
        <f t="shared" si="86"/>
        <v>0</v>
      </c>
      <c r="DV22" s="169">
        <f t="shared" si="87"/>
        <v>0</v>
      </c>
      <c r="DW22" s="172">
        <f t="shared" si="88"/>
        <v>0</v>
      </c>
      <c r="DX22" s="170">
        <f ca="1">FV(DW22/1,DATEDIF(DQ22,'Cap Table'!DS$60,"y"),0,-DT22)</f>
        <v>0</v>
      </c>
      <c r="DY22" s="170">
        <f ca="1">IF('Cap Table'!DS$80="no",IFERROR(DX22/(1-DU22),0),IFERROR(DX22/(1-(MAX(DU22,('Cap Table'!DS$62-DV22/'Cap Table'!DS$61)/'Cap Table'!DS$62))),0))</f>
        <v>0</v>
      </c>
      <c r="DZ22" s="146">
        <f t="shared" ca="1" si="42"/>
        <v>0</v>
      </c>
      <c r="EA22" s="149">
        <f ca="1">IF(AND('Cap Table'!DS$62=0,DX22&gt;0),DV22/'Cap Table'!DS$61,IFERROR(IF(DV22=0,'Cap Table'!DS$62*(1-DU22),MIN('Cap Table'!DS$62*(1-DU22),DV22/'Cap Table'!DS$61)),0))</f>
        <v>0</v>
      </c>
      <c r="EB22" s="170">
        <f t="shared" ca="1" si="84"/>
        <v>0</v>
      </c>
      <c r="EC22" s="170">
        <v>0</v>
      </c>
      <c r="ED22" s="146">
        <f t="shared" ca="1" si="72"/>
        <v>0</v>
      </c>
      <c r="EE22" s="146">
        <f t="shared" si="43"/>
        <v>0</v>
      </c>
      <c r="EF22" s="146">
        <f t="shared" ca="1" si="73"/>
        <v>0</v>
      </c>
      <c r="EG22" s="147">
        <f t="shared" ca="1" si="44"/>
        <v>0</v>
      </c>
      <c r="EH22" s="146">
        <f ca="1">EF22*'Cap Table'!DS$62</f>
        <v>0</v>
      </c>
      <c r="EI22" s="173">
        <f ca="1">IFERROR(IF(OR(DR22='Cap Table'!$B$40,DR22='Cap Table'!$B$41,DR22='Cap Table'!$B$42),IF(SUM(DT22,CY22,CD22,BI22,AN22,S22)&lt;SUM(DS22,CX22,CC22,BH22,AM22,R22),FV(MAX(DW22,DB22,CG22,BL22,AQ22,V22)/1,DATEDIF(DQ22,'Cap Table'!DS$60,"y"),0,-MAX(DS22,CX22,CC22,BH22,AM22,R22))/(MAX(DV22,DA22,CF22,BK22,AP22,U22)/'Cap Table'!$DS$61),EF22),EF22),0)</f>
        <v>0</v>
      </c>
      <c r="EJ22" s="147">
        <f t="shared" ca="1" si="45"/>
        <v>0</v>
      </c>
      <c r="EL22" s="146">
        <f t="shared" si="74"/>
        <v>0</v>
      </c>
      <c r="EM22" s="146">
        <f t="shared" si="74"/>
        <v>0</v>
      </c>
      <c r="EN22" s="174" t="s">
        <v>27</v>
      </c>
      <c r="EO22" s="174" t="s">
        <v>27</v>
      </c>
      <c r="EP22" s="174" t="s">
        <v>27</v>
      </c>
      <c r="EQ22" s="146">
        <f t="shared" ca="1" si="75"/>
        <v>0</v>
      </c>
      <c r="ER22" s="146">
        <f t="shared" ca="1" si="75"/>
        <v>0</v>
      </c>
      <c r="ES22" s="146">
        <f t="shared" ca="1" si="75"/>
        <v>0</v>
      </c>
      <c r="ET22" s="149">
        <f t="shared" ca="1" si="89"/>
        <v>0</v>
      </c>
      <c r="EU22" s="146">
        <f t="shared" ca="1" si="76"/>
        <v>0</v>
      </c>
      <c r="EV22" s="146">
        <f t="shared" si="76"/>
        <v>0</v>
      </c>
      <c r="EW22" s="146">
        <f t="shared" ca="1" si="77"/>
        <v>0</v>
      </c>
      <c r="EX22" s="146">
        <f t="shared" si="77"/>
        <v>0</v>
      </c>
      <c r="EY22" s="146">
        <f t="shared" ca="1" si="77"/>
        <v>0</v>
      </c>
      <c r="EZ22" s="147">
        <f t="shared" ca="1" si="46"/>
        <v>0</v>
      </c>
      <c r="FA22" s="146">
        <f t="shared" ca="1" si="78"/>
        <v>0</v>
      </c>
      <c r="FB22" s="146">
        <f t="shared" ca="1" si="78"/>
        <v>0</v>
      </c>
      <c r="FC22" s="147">
        <f t="shared" ca="1" si="47"/>
        <v>0</v>
      </c>
      <c r="FE22" s="149" t="str">
        <f t="shared" si="0"/>
        <v>Common</v>
      </c>
      <c r="FF22" s="146">
        <f t="shared" ca="1" si="48"/>
        <v>0</v>
      </c>
      <c r="FG22" s="146">
        <f t="shared" ca="1" si="49"/>
        <v>0</v>
      </c>
      <c r="FH22" s="146">
        <f t="shared" ca="1" si="50"/>
        <v>0</v>
      </c>
      <c r="FJ22" s="146" t="str">
        <f t="shared" si="51"/>
        <v>Common</v>
      </c>
      <c r="FK22" s="174" t="str">
        <f t="shared" ca="1" si="52"/>
        <v>na</v>
      </c>
      <c r="FL22" s="174" t="str">
        <f t="shared" ca="1" si="52"/>
        <v>na</v>
      </c>
      <c r="FM22" s="174" t="str">
        <f t="shared" ca="1" si="53"/>
        <v>na</v>
      </c>
    </row>
    <row r="23" spans="2:169">
      <c r="B23" s="145" t="s">
        <v>27</v>
      </c>
      <c r="D23" s="167" t="s">
        <v>27</v>
      </c>
      <c r="E23" s="167" t="str">
        <f t="shared" si="54"/>
        <v>Common</v>
      </c>
      <c r="G23" s="168">
        <f t="shared" ca="1" si="1"/>
        <v>43538</v>
      </c>
      <c r="H23" s="289" t="str">
        <f t="shared" si="2"/>
        <v>Equity</v>
      </c>
      <c r="I23" s="169">
        <v>0</v>
      </c>
      <c r="J23" s="170">
        <v>0</v>
      </c>
      <c r="K23" s="170">
        <f t="shared" si="55"/>
        <v>0</v>
      </c>
      <c r="L23" s="147">
        <f t="shared" si="3"/>
        <v>0</v>
      </c>
      <c r="M23" s="170">
        <f t="shared" si="56"/>
        <v>0</v>
      </c>
      <c r="N23" s="147">
        <f t="shared" si="4"/>
        <v>0</v>
      </c>
      <c r="O23" s="147"/>
      <c r="P23" s="168">
        <f t="shared" ca="1" si="85"/>
        <v>43904</v>
      </c>
      <c r="Q23" s="289" t="str">
        <f t="shared" si="5"/>
        <v>Equity</v>
      </c>
      <c r="R23" s="169">
        <v>0</v>
      </c>
      <c r="S23" s="169">
        <v>0</v>
      </c>
      <c r="T23" s="171">
        <v>0</v>
      </c>
      <c r="U23" s="145">
        <v>0</v>
      </c>
      <c r="V23" s="172">
        <v>0</v>
      </c>
      <c r="W23" s="170">
        <f ca="1">FV(V23/1,DATEDIF(P23,'Cap Table'!R$60,"y"),0,-S23)</f>
        <v>0</v>
      </c>
      <c r="X23" s="170">
        <f t="shared" ca="1" si="6"/>
        <v>0</v>
      </c>
      <c r="Y23" s="146">
        <f t="shared" ca="1" si="7"/>
        <v>0</v>
      </c>
      <c r="Z23" s="149">
        <f ca="1">IF(AND('Cap Table'!R$62=0,W23&gt;0),U23/'Cap Table'!R$61,IFERROR(IF(U23=0,'Cap Table'!R$62*(1-T23),MIN('Cap Table'!R$62*(1-T23),U23/'Cap Table'!R$61)),0))</f>
        <v>0</v>
      </c>
      <c r="AA23" s="170">
        <f t="shared" ca="1" si="79"/>
        <v>0</v>
      </c>
      <c r="AB23" s="170">
        <v>0</v>
      </c>
      <c r="AC23" s="146">
        <f t="shared" ca="1" si="8"/>
        <v>0</v>
      </c>
      <c r="AD23" s="146">
        <f t="shared" si="8"/>
        <v>0</v>
      </c>
      <c r="AE23" s="146">
        <f t="shared" ca="1" si="57"/>
        <v>0</v>
      </c>
      <c r="AF23" s="147">
        <f t="shared" ca="1" si="9"/>
        <v>0</v>
      </c>
      <c r="AG23" s="146">
        <f ca="1">AE23*'Cap Table'!R$62</f>
        <v>0</v>
      </c>
      <c r="AH23" s="146">
        <f ca="1">IFERROR(IF(OR(Q23='Cap Table'!$B$40,Q23='Cap Table'!$B$41,Q23='Cap Table'!$B$42),IF(SUM(S23)&lt;SUM(R23),(FV(V23/1,DATEDIF(P23,'Cap Table'!R$60,"y"),0,-R23))/(U23/'Cap Table'!$R$61),AE23),AE23),0)</f>
        <v>0</v>
      </c>
      <c r="AI23" s="147">
        <f t="shared" ca="1" si="10"/>
        <v>0</v>
      </c>
      <c r="AK23" s="168">
        <f t="shared" ca="1" si="58"/>
        <v>44269</v>
      </c>
      <c r="AL23" s="168" t="str">
        <f t="shared" si="59"/>
        <v>Equity</v>
      </c>
      <c r="AM23" s="169">
        <v>0</v>
      </c>
      <c r="AN23" s="169">
        <f>IF('Cap Table'!AM$79&lt;&gt;"na",IF(Q23='Cap Table'!$B$40,R23-S23,0),0)</f>
        <v>0</v>
      </c>
      <c r="AO23" s="171">
        <f t="shared" si="11"/>
        <v>0</v>
      </c>
      <c r="AP23" s="169">
        <f t="shared" si="12"/>
        <v>0</v>
      </c>
      <c r="AQ23" s="172">
        <f t="shared" si="13"/>
        <v>0</v>
      </c>
      <c r="AR23" s="170">
        <f ca="1">FV(AQ23/1,DATEDIF(AK23,'Cap Table'!AM$60,"y"),0,-AN23)</f>
        <v>0</v>
      </c>
      <c r="AS23" s="170">
        <f ca="1">IF('Cap Table'!AM$80="no",IFERROR(AR23/(1-AO23),0),IFERROR(AR23/(1-(MAX(AO23,('Cap Table'!AM$62-AP23/'Cap Table'!AM$61)/'Cap Table'!AM$62))),0))</f>
        <v>0</v>
      </c>
      <c r="AT23" s="146">
        <f t="shared" ca="1" si="14"/>
        <v>0</v>
      </c>
      <c r="AU23" s="149">
        <f ca="1">IF(AND('Cap Table'!AM$62=0,AR23&gt;0),AP23/'Cap Table'!AM$61,IFERROR(IF(AP23=0,'Cap Table'!AM$62*(1-AO23),MIN('Cap Table'!AM$62*(1-AO23),AP23/'Cap Table'!AM$61)),0))</f>
        <v>0</v>
      </c>
      <c r="AV23" s="170">
        <f t="shared" ca="1" si="80"/>
        <v>0</v>
      </c>
      <c r="AW23" s="170">
        <v>0</v>
      </c>
      <c r="AX23" s="146">
        <f t="shared" ca="1" si="15"/>
        <v>0</v>
      </c>
      <c r="AY23" s="146">
        <f t="shared" si="15"/>
        <v>0</v>
      </c>
      <c r="AZ23" s="146">
        <f t="shared" ca="1" si="60"/>
        <v>0</v>
      </c>
      <c r="BA23" s="147">
        <f t="shared" ca="1" si="16"/>
        <v>0</v>
      </c>
      <c r="BB23" s="146">
        <f ca="1">AZ23*'Cap Table'!AM$62</f>
        <v>0</v>
      </c>
      <c r="BC23" s="173">
        <f ca="1">IFERROR(IF(OR(AL23='Cap Table'!$B$40,AL23='Cap Table'!$B$41,AL23='Cap Table'!$B$42),IF(SUM(AN23,S23)&lt;SUM(AM23,R23),FV(MAX(AQ23,V23)/1,DATEDIF(AK23,'Cap Table'!$AM$60,"y"),0,-MAX(AM23,R23))/(MAX(AP23,U23)/'Cap Table'!$AM$61),AZ23),AZ23),0)</f>
        <v>0</v>
      </c>
      <c r="BD23" s="147">
        <f t="shared" ca="1" si="17"/>
        <v>0</v>
      </c>
      <c r="BF23" s="168">
        <f t="shared" ca="1" si="61"/>
        <v>44634</v>
      </c>
      <c r="BG23" s="168" t="str">
        <f t="shared" si="62"/>
        <v>Equity</v>
      </c>
      <c r="BH23" s="169">
        <v>0</v>
      </c>
      <c r="BI23" s="169">
        <f>IF('Cap Table'!BH$79&lt;&gt;"na",IF(AL23='Cap Table'!$B$40,AM23-AN23,0),0)</f>
        <v>0</v>
      </c>
      <c r="BJ23" s="171">
        <f t="shared" si="18"/>
        <v>0</v>
      </c>
      <c r="BK23" s="169">
        <f t="shared" si="19"/>
        <v>0</v>
      </c>
      <c r="BL23" s="172">
        <f t="shared" si="20"/>
        <v>0</v>
      </c>
      <c r="BM23" s="170">
        <f ca="1">FV(BL23/1,DATEDIF(BF23,'Cap Table'!BH$60,"y"),0,-BI23)</f>
        <v>0</v>
      </c>
      <c r="BN23" s="170">
        <f ca="1">IF('Cap Table'!BH$80="no",IFERROR(BM23/(1-BJ23),0),IFERROR(BM23/(1-(MAX(BJ23,('Cap Table'!BH$62-BK23/'Cap Table'!BH$61)/'Cap Table'!BH$62))),0))</f>
        <v>0</v>
      </c>
      <c r="BO23" s="146">
        <f t="shared" ca="1" si="21"/>
        <v>0</v>
      </c>
      <c r="BP23" s="149">
        <f ca="1">IF(AND('Cap Table'!BH$62=0,BM23&gt;0),BK23/'Cap Table'!BH$61,IFERROR(IF(BK23=0,'Cap Table'!BH$62*(1-BJ23),MIN('Cap Table'!BH$62*(1-BJ23),BK23/'Cap Table'!BH$61)),0))</f>
        <v>0</v>
      </c>
      <c r="BQ23" s="170">
        <f t="shared" ca="1" si="81"/>
        <v>0</v>
      </c>
      <c r="BR23" s="170">
        <v>0</v>
      </c>
      <c r="BS23" s="146">
        <f t="shared" ca="1" si="22"/>
        <v>0</v>
      </c>
      <c r="BT23" s="146">
        <f t="shared" si="22"/>
        <v>0</v>
      </c>
      <c r="BU23" s="146">
        <f t="shared" ca="1" si="63"/>
        <v>0</v>
      </c>
      <c r="BV23" s="147">
        <f t="shared" ca="1" si="23"/>
        <v>0</v>
      </c>
      <c r="BW23" s="146">
        <f ca="1">BU23*'Cap Table'!BH$62</f>
        <v>0</v>
      </c>
      <c r="BX23" s="173">
        <f ca="1">IFERROR(IF(OR(BG23='Cap Table'!$B$40,BG23='Cap Table'!$B$41,BG23='Cap Table'!$B$42),IF(SUM(BI23,AN23,S23)&lt;SUM(BH23,AM23,R23),FV(MAX(BL23,AQ23,V23)/1,DATEDIF(BF23,'Cap Table'!$BH$60,"y"),0,-MAX(BH23,AM23,R23))/(MAX(BK23,AP23,U23)/'Cap Table'!$BH$61),BU23),BU23),0)</f>
        <v>0</v>
      </c>
      <c r="BY23" s="147">
        <f t="shared" ca="1" si="24"/>
        <v>0</v>
      </c>
      <c r="CA23" s="168">
        <f t="shared" ca="1" si="64"/>
        <v>44999</v>
      </c>
      <c r="CB23" s="168" t="str">
        <f t="shared" si="65"/>
        <v>Equity</v>
      </c>
      <c r="CC23" s="169">
        <v>0</v>
      </c>
      <c r="CD23" s="169">
        <f>IF('Cap Table'!CC$79&lt;&gt;"na",IF(BG23='Cap Table'!$B$40,BH23-BI23,0),0)</f>
        <v>0</v>
      </c>
      <c r="CE23" s="171">
        <f t="shared" si="25"/>
        <v>0</v>
      </c>
      <c r="CF23" s="169">
        <f t="shared" si="26"/>
        <v>0</v>
      </c>
      <c r="CG23" s="172">
        <f t="shared" si="27"/>
        <v>0</v>
      </c>
      <c r="CH23" s="170">
        <f ca="1">FV(CG23/1,DATEDIF(CA23,'Cap Table'!CC$60,"y"),0,-CD23)</f>
        <v>0</v>
      </c>
      <c r="CI23" s="170">
        <f ca="1">IF('Cap Table'!CC$80="no",IFERROR(CH23/(1-CE23),0),IFERROR(CH23/(1-(MAX(CE23,('Cap Table'!CC$62-CF23/'Cap Table'!CC$61)/'Cap Table'!CC$62))),0))</f>
        <v>0</v>
      </c>
      <c r="CJ23" s="146">
        <f t="shared" ca="1" si="28"/>
        <v>0</v>
      </c>
      <c r="CK23" s="149">
        <f ca="1">IF(AND('Cap Table'!CC$62=0,CH23&gt;0),CF23/'Cap Table'!CC$61,IFERROR(IF(CF23=0,'Cap Table'!CC$62*(1-CE23),MIN('Cap Table'!CC$62*(1-CE23),CF23/'Cap Table'!CC$61)),0))</f>
        <v>0</v>
      </c>
      <c r="CL23" s="170">
        <f t="shared" ca="1" si="82"/>
        <v>0</v>
      </c>
      <c r="CM23" s="170">
        <v>0</v>
      </c>
      <c r="CN23" s="146">
        <f t="shared" ca="1" si="29"/>
        <v>0</v>
      </c>
      <c r="CO23" s="146">
        <f t="shared" si="29"/>
        <v>0</v>
      </c>
      <c r="CP23" s="146">
        <f t="shared" ca="1" si="66"/>
        <v>0</v>
      </c>
      <c r="CQ23" s="147">
        <f t="shared" ca="1" si="30"/>
        <v>0</v>
      </c>
      <c r="CR23" s="146">
        <f ca="1">CP23*'Cap Table'!CC$62</f>
        <v>0</v>
      </c>
      <c r="CS23" s="173">
        <f ca="1">IFERROR(IF(OR(CB23='Cap Table'!$B$40,CB23='Cap Table'!$B$41,CB23='Cap Table'!$B$42),IF(SUM(CD23,BI23,AN23,S23)&lt;SUM(CC23,BH23,AM23,R23),FV(MAX(CG23,BL23,AQ23,V23)/1,DATEDIF(CA23,'Cap Table'!$CC$60,"y"),0,-MAX(CC23,BH23,AM23,R23))/(MAX(CF23,BK23,AP23,U23)/'Cap Table'!$CC$61),CP23),CP23),0)</f>
        <v>0</v>
      </c>
      <c r="CT23" s="147">
        <f t="shared" ca="1" si="31"/>
        <v>0</v>
      </c>
      <c r="CV23" s="168">
        <f t="shared" ca="1" si="67"/>
        <v>45365</v>
      </c>
      <c r="CW23" s="168" t="str">
        <f t="shared" si="68"/>
        <v>Equity</v>
      </c>
      <c r="CX23" s="169">
        <v>0</v>
      </c>
      <c r="CY23" s="169">
        <f>IF('Cap Table'!CX$79&lt;&gt;"na",IF(CB23='Cap Table'!$B$40,CC23-CD23,0),0)</f>
        <v>0</v>
      </c>
      <c r="CZ23" s="171">
        <f t="shared" si="32"/>
        <v>0</v>
      </c>
      <c r="DA23" s="169">
        <f t="shared" si="33"/>
        <v>0</v>
      </c>
      <c r="DB23" s="172">
        <f t="shared" si="34"/>
        <v>0</v>
      </c>
      <c r="DC23" s="170">
        <f ca="1">FV(DB23/1,DATEDIF(CV23,'Cap Table'!CX$60,"y"),0,-CY23)</f>
        <v>0</v>
      </c>
      <c r="DD23" s="170">
        <f ca="1">IF('Cap Table'!CX$80="no",IFERROR(DC23/(1-CZ23),0),IFERROR(DC23/(1-(MAX(CZ23,('Cap Table'!CX$62-DA23/'Cap Table'!CX$61)/'Cap Table'!CX$62))),0))</f>
        <v>0</v>
      </c>
      <c r="DE23" s="146">
        <f t="shared" ca="1" si="35"/>
        <v>0</v>
      </c>
      <c r="DF23" s="149">
        <f ca="1">IF(AND('Cap Table'!CX$62=0,DC23&gt;0),DA23/'Cap Table'!CX$61,IFERROR(IF(DA23=0,'Cap Table'!CX$62*(1-CZ23),MIN('Cap Table'!CX$62*(1-CZ23),DA23/'Cap Table'!CX$61)),0))</f>
        <v>0</v>
      </c>
      <c r="DG23" s="170">
        <f t="shared" ca="1" si="83"/>
        <v>0</v>
      </c>
      <c r="DH23" s="170">
        <v>0</v>
      </c>
      <c r="DI23" s="146">
        <f t="shared" ca="1" si="36"/>
        <v>0</v>
      </c>
      <c r="DJ23" s="146">
        <f t="shared" si="36"/>
        <v>0</v>
      </c>
      <c r="DK23" s="146">
        <f t="shared" ca="1" si="69"/>
        <v>0</v>
      </c>
      <c r="DL23" s="147">
        <f t="shared" ca="1" si="37"/>
        <v>0</v>
      </c>
      <c r="DM23" s="146">
        <f ca="1">DK23*'Cap Table'!CX$62</f>
        <v>0</v>
      </c>
      <c r="DN23" s="173">
        <f ca="1">IFERROR(IF(OR(CW23='Cap Table'!$B$40,CW23='Cap Table'!$B$41,CW23='Cap Table'!$B$42),IF(SUM(CY23,CD23,BI23,AN23,S23,)&lt;SUM(CX23,CC23,BH23,AM23,R23),FV(MAX(DB23,CG23,BL23,AQ23,V23)/1,DATEDIF(CV23,'Cap Table'!$CX$60,"y"),0,-MAX(CX23,CC23,BH23,AM23,R23))/(MAX(DA23,CF23,BK23,AP23,U23,)/'Cap Table'!$CX$61),DK23),DK23),0)</f>
        <v>0</v>
      </c>
      <c r="DO23" s="147">
        <f t="shared" ca="1" si="38"/>
        <v>0</v>
      </c>
      <c r="DQ23" s="168">
        <f t="shared" ca="1" si="70"/>
        <v>45730</v>
      </c>
      <c r="DR23" s="168" t="str">
        <f t="shared" si="71"/>
        <v>Equity</v>
      </c>
      <c r="DS23" s="169">
        <v>0</v>
      </c>
      <c r="DT23" s="169">
        <f>IF('Cap Table'!DS$79&lt;&gt;"na",IF(CW23='Cap Table'!$B$40,CX23-CY23,0),0)</f>
        <v>0</v>
      </c>
      <c r="DU23" s="171">
        <f t="shared" si="86"/>
        <v>0</v>
      </c>
      <c r="DV23" s="169">
        <f t="shared" si="87"/>
        <v>0</v>
      </c>
      <c r="DW23" s="172">
        <f t="shared" si="88"/>
        <v>0</v>
      </c>
      <c r="DX23" s="170">
        <f ca="1">FV(DW23/1,DATEDIF(DQ23,'Cap Table'!DS$60,"y"),0,-DT23)</f>
        <v>0</v>
      </c>
      <c r="DY23" s="170">
        <f ca="1">IF('Cap Table'!DS$80="no",IFERROR(DX23/(1-DU23),0),IFERROR(DX23/(1-(MAX(DU23,('Cap Table'!DS$62-DV23/'Cap Table'!DS$61)/'Cap Table'!DS$62))),0))</f>
        <v>0</v>
      </c>
      <c r="DZ23" s="146">
        <f t="shared" ca="1" si="42"/>
        <v>0</v>
      </c>
      <c r="EA23" s="149">
        <f ca="1">IF(AND('Cap Table'!DS$62=0,DX23&gt;0),DV23/'Cap Table'!DS$61,IFERROR(IF(DV23=0,'Cap Table'!DS$62*(1-DU23),MIN('Cap Table'!DS$62*(1-DU23),DV23/'Cap Table'!DS$61)),0))</f>
        <v>0</v>
      </c>
      <c r="EB23" s="170">
        <f t="shared" ca="1" si="84"/>
        <v>0</v>
      </c>
      <c r="EC23" s="170">
        <v>0</v>
      </c>
      <c r="ED23" s="146">
        <f t="shared" ca="1" si="72"/>
        <v>0</v>
      </c>
      <c r="EE23" s="146">
        <f t="shared" si="43"/>
        <v>0</v>
      </c>
      <c r="EF23" s="146">
        <f t="shared" ca="1" si="73"/>
        <v>0</v>
      </c>
      <c r="EG23" s="147">
        <f t="shared" ca="1" si="44"/>
        <v>0</v>
      </c>
      <c r="EH23" s="146">
        <f ca="1">EF23*'Cap Table'!DS$62</f>
        <v>0</v>
      </c>
      <c r="EI23" s="173">
        <f ca="1">IFERROR(IF(OR(DR23='Cap Table'!$B$40,DR23='Cap Table'!$B$41,DR23='Cap Table'!$B$42),IF(SUM(DT23,CY23,CD23,BI23,AN23,S23)&lt;SUM(DS23,CX23,CC23,BH23,AM23,R23),FV(MAX(DW23,DB23,CG23,BL23,AQ23,V23)/1,DATEDIF(DQ23,'Cap Table'!DS$60,"y"),0,-MAX(DS23,CX23,CC23,BH23,AM23,R23))/(MAX(DV23,DA23,CF23,BK23,AP23,U23)/'Cap Table'!$DS$61),EF23),EF23),0)</f>
        <v>0</v>
      </c>
      <c r="EJ23" s="147">
        <f t="shared" ca="1" si="45"/>
        <v>0</v>
      </c>
      <c r="EL23" s="146">
        <f t="shared" si="74"/>
        <v>0</v>
      </c>
      <c r="EM23" s="146">
        <f t="shared" si="74"/>
        <v>0</v>
      </c>
      <c r="EN23" s="174" t="s">
        <v>27</v>
      </c>
      <c r="EO23" s="174" t="s">
        <v>27</v>
      </c>
      <c r="EP23" s="174" t="s">
        <v>27</v>
      </c>
      <c r="EQ23" s="146">
        <f t="shared" ca="1" si="75"/>
        <v>0</v>
      </c>
      <c r="ER23" s="146">
        <f t="shared" ca="1" si="75"/>
        <v>0</v>
      </c>
      <c r="ES23" s="146">
        <f t="shared" ca="1" si="75"/>
        <v>0</v>
      </c>
      <c r="ET23" s="149">
        <f t="shared" ca="1" si="89"/>
        <v>0</v>
      </c>
      <c r="EU23" s="146">
        <f t="shared" ca="1" si="76"/>
        <v>0</v>
      </c>
      <c r="EV23" s="146">
        <f t="shared" si="76"/>
        <v>0</v>
      </c>
      <c r="EW23" s="146">
        <f t="shared" ca="1" si="77"/>
        <v>0</v>
      </c>
      <c r="EX23" s="146">
        <f t="shared" si="77"/>
        <v>0</v>
      </c>
      <c r="EY23" s="146">
        <f t="shared" ca="1" si="77"/>
        <v>0</v>
      </c>
      <c r="EZ23" s="147">
        <f t="shared" ca="1" si="46"/>
        <v>0</v>
      </c>
      <c r="FA23" s="146">
        <f t="shared" ca="1" si="78"/>
        <v>0</v>
      </c>
      <c r="FB23" s="146">
        <f t="shared" ca="1" si="78"/>
        <v>0</v>
      </c>
      <c r="FC23" s="147">
        <f t="shared" ca="1" si="47"/>
        <v>0</v>
      </c>
      <c r="FE23" s="149" t="str">
        <f t="shared" si="0"/>
        <v>Common</v>
      </c>
      <c r="FF23" s="146">
        <f t="shared" ca="1" si="48"/>
        <v>0</v>
      </c>
      <c r="FG23" s="146">
        <f t="shared" ca="1" si="49"/>
        <v>0</v>
      </c>
      <c r="FH23" s="146">
        <f t="shared" ca="1" si="50"/>
        <v>0</v>
      </c>
      <c r="FJ23" s="146" t="str">
        <f t="shared" si="51"/>
        <v>Common</v>
      </c>
      <c r="FK23" s="174" t="str">
        <f t="shared" ca="1" si="52"/>
        <v>na</v>
      </c>
      <c r="FL23" s="174" t="str">
        <f t="shared" ca="1" si="52"/>
        <v>na</v>
      </c>
      <c r="FM23" s="174" t="str">
        <f t="shared" ca="1" si="53"/>
        <v>na</v>
      </c>
    </row>
    <row r="24" spans="2:169">
      <c r="B24" s="145" t="s">
        <v>27</v>
      </c>
      <c r="D24" s="167" t="s">
        <v>27</v>
      </c>
      <c r="E24" s="167" t="str">
        <f t="shared" si="54"/>
        <v>Common</v>
      </c>
      <c r="G24" s="168">
        <f t="shared" ca="1" si="1"/>
        <v>43538</v>
      </c>
      <c r="H24" s="289" t="str">
        <f t="shared" si="2"/>
        <v>Equity</v>
      </c>
      <c r="I24" s="169">
        <v>0</v>
      </c>
      <c r="J24" s="170">
        <v>0</v>
      </c>
      <c r="K24" s="170">
        <f t="shared" si="55"/>
        <v>0</v>
      </c>
      <c r="L24" s="147">
        <f t="shared" si="3"/>
        <v>0</v>
      </c>
      <c r="M24" s="170">
        <f t="shared" si="56"/>
        <v>0</v>
      </c>
      <c r="N24" s="147">
        <f t="shared" si="4"/>
        <v>0</v>
      </c>
      <c r="O24" s="147"/>
      <c r="P24" s="168">
        <f t="shared" ca="1" si="85"/>
        <v>43904</v>
      </c>
      <c r="Q24" s="289" t="str">
        <f t="shared" si="5"/>
        <v>Equity</v>
      </c>
      <c r="R24" s="169">
        <v>0</v>
      </c>
      <c r="S24" s="169">
        <v>0</v>
      </c>
      <c r="T24" s="171">
        <v>0</v>
      </c>
      <c r="U24" s="145">
        <v>0</v>
      </c>
      <c r="V24" s="172">
        <v>0</v>
      </c>
      <c r="W24" s="170">
        <f ca="1">FV(V24/1,DATEDIF(P24,'Cap Table'!R$60,"y"),0,-S24)</f>
        <v>0</v>
      </c>
      <c r="X24" s="170">
        <f t="shared" ca="1" si="6"/>
        <v>0</v>
      </c>
      <c r="Y24" s="146">
        <f t="shared" ca="1" si="7"/>
        <v>0</v>
      </c>
      <c r="Z24" s="149">
        <f ca="1">IF(AND('Cap Table'!R$62=0,W24&gt;0),U24/'Cap Table'!R$61,IFERROR(IF(U24=0,'Cap Table'!R$62*(1-T24),MIN('Cap Table'!R$62*(1-T24),U24/'Cap Table'!R$61)),0))</f>
        <v>0</v>
      </c>
      <c r="AA24" s="170">
        <f t="shared" ca="1" si="79"/>
        <v>0</v>
      </c>
      <c r="AB24" s="170">
        <v>0</v>
      </c>
      <c r="AC24" s="146">
        <f t="shared" ca="1" si="8"/>
        <v>0</v>
      </c>
      <c r="AD24" s="146">
        <f t="shared" si="8"/>
        <v>0</v>
      </c>
      <c r="AE24" s="146">
        <f t="shared" ca="1" si="57"/>
        <v>0</v>
      </c>
      <c r="AF24" s="147">
        <f t="shared" ca="1" si="9"/>
        <v>0</v>
      </c>
      <c r="AG24" s="146">
        <f ca="1">AE24*'Cap Table'!R$62</f>
        <v>0</v>
      </c>
      <c r="AH24" s="146">
        <f ca="1">IFERROR(IF(OR(Q24='Cap Table'!$B$40,Q24='Cap Table'!$B$41,Q24='Cap Table'!$B$42),IF(SUM(S24)&lt;SUM(R24),(FV(V24/1,DATEDIF(P24,'Cap Table'!R$60,"y"),0,-R24))/(U24/'Cap Table'!$R$61),AE24),AE24),0)</f>
        <v>0</v>
      </c>
      <c r="AI24" s="147">
        <f t="shared" ca="1" si="10"/>
        <v>0</v>
      </c>
      <c r="AK24" s="168">
        <f t="shared" ca="1" si="58"/>
        <v>44269</v>
      </c>
      <c r="AL24" s="168" t="str">
        <f t="shared" si="59"/>
        <v>Equity</v>
      </c>
      <c r="AM24" s="169">
        <v>0</v>
      </c>
      <c r="AN24" s="169">
        <f>IF('Cap Table'!AM$79&lt;&gt;"na",IF(Q24='Cap Table'!$B$40,R24-S24,0),0)</f>
        <v>0</v>
      </c>
      <c r="AO24" s="171">
        <f t="shared" si="11"/>
        <v>0</v>
      </c>
      <c r="AP24" s="169">
        <f t="shared" si="12"/>
        <v>0</v>
      </c>
      <c r="AQ24" s="172">
        <f t="shared" si="13"/>
        <v>0</v>
      </c>
      <c r="AR24" s="170">
        <f ca="1">FV(AQ24/1,DATEDIF(AK24,'Cap Table'!AM$60,"y"),0,-AN24)</f>
        <v>0</v>
      </c>
      <c r="AS24" s="170">
        <f ca="1">IF('Cap Table'!AM$80="no",IFERROR(AR24/(1-AO24),0),IFERROR(AR24/(1-(MAX(AO24,('Cap Table'!AM$62-AP24/'Cap Table'!AM$61)/'Cap Table'!AM$62))),0))</f>
        <v>0</v>
      </c>
      <c r="AT24" s="146">
        <f t="shared" ca="1" si="14"/>
        <v>0</v>
      </c>
      <c r="AU24" s="149">
        <f ca="1">IF(AND('Cap Table'!AM$62=0,AR24&gt;0),AP24/'Cap Table'!AM$61,IFERROR(IF(AP24=0,'Cap Table'!AM$62*(1-AO24),MIN('Cap Table'!AM$62*(1-AO24),AP24/'Cap Table'!AM$61)),0))</f>
        <v>0</v>
      </c>
      <c r="AV24" s="170">
        <f t="shared" ca="1" si="80"/>
        <v>0</v>
      </c>
      <c r="AW24" s="170">
        <v>0</v>
      </c>
      <c r="AX24" s="146">
        <f t="shared" ca="1" si="15"/>
        <v>0</v>
      </c>
      <c r="AY24" s="146">
        <f t="shared" si="15"/>
        <v>0</v>
      </c>
      <c r="AZ24" s="146">
        <f t="shared" ca="1" si="60"/>
        <v>0</v>
      </c>
      <c r="BA24" s="147">
        <f t="shared" ca="1" si="16"/>
        <v>0</v>
      </c>
      <c r="BB24" s="146">
        <f ca="1">AZ24*'Cap Table'!AM$62</f>
        <v>0</v>
      </c>
      <c r="BC24" s="173">
        <f ca="1">IFERROR(IF(OR(AL24='Cap Table'!$B$40,AL24='Cap Table'!$B$41,AL24='Cap Table'!$B$42),IF(SUM(AN24,S24)&lt;SUM(AM24,R24),FV(MAX(AQ24,V24)/1,DATEDIF(AK24,'Cap Table'!$AM$60,"y"),0,-MAX(AM24,R24))/(MAX(AP24,U24)/'Cap Table'!$AM$61),AZ24),AZ24),0)</f>
        <v>0</v>
      </c>
      <c r="BD24" s="147">
        <f t="shared" ca="1" si="17"/>
        <v>0</v>
      </c>
      <c r="BF24" s="168">
        <f t="shared" ca="1" si="61"/>
        <v>44634</v>
      </c>
      <c r="BG24" s="168" t="str">
        <f t="shared" si="62"/>
        <v>Equity</v>
      </c>
      <c r="BH24" s="169">
        <v>0</v>
      </c>
      <c r="BI24" s="169">
        <f>IF('Cap Table'!BH$79&lt;&gt;"na",IF(AL24='Cap Table'!$B$40,AM24-AN24,0),0)</f>
        <v>0</v>
      </c>
      <c r="BJ24" s="171">
        <f t="shared" si="18"/>
        <v>0</v>
      </c>
      <c r="BK24" s="169">
        <f t="shared" si="19"/>
        <v>0</v>
      </c>
      <c r="BL24" s="172">
        <f t="shared" si="20"/>
        <v>0</v>
      </c>
      <c r="BM24" s="170">
        <f ca="1">FV(BL24/1,DATEDIF(BF24,'Cap Table'!BH$60,"y"),0,-BI24)</f>
        <v>0</v>
      </c>
      <c r="BN24" s="170">
        <f ca="1">IF('Cap Table'!BH$80="no",IFERROR(BM24/(1-BJ24),0),IFERROR(BM24/(1-(MAX(BJ24,('Cap Table'!BH$62-BK24/'Cap Table'!BH$61)/'Cap Table'!BH$62))),0))</f>
        <v>0</v>
      </c>
      <c r="BO24" s="146">
        <f t="shared" ca="1" si="21"/>
        <v>0</v>
      </c>
      <c r="BP24" s="149">
        <f ca="1">IF(AND('Cap Table'!BH$62=0,BM24&gt;0),BK24/'Cap Table'!BH$61,IFERROR(IF(BK24=0,'Cap Table'!BH$62*(1-BJ24),MIN('Cap Table'!BH$62*(1-BJ24),BK24/'Cap Table'!BH$61)),0))</f>
        <v>0</v>
      </c>
      <c r="BQ24" s="170">
        <f t="shared" ca="1" si="81"/>
        <v>0</v>
      </c>
      <c r="BR24" s="170">
        <v>0</v>
      </c>
      <c r="BS24" s="146">
        <f t="shared" ca="1" si="22"/>
        <v>0</v>
      </c>
      <c r="BT24" s="146">
        <f t="shared" si="22"/>
        <v>0</v>
      </c>
      <c r="BU24" s="146">
        <f t="shared" ca="1" si="63"/>
        <v>0</v>
      </c>
      <c r="BV24" s="147">
        <f t="shared" ca="1" si="23"/>
        <v>0</v>
      </c>
      <c r="BW24" s="146">
        <f ca="1">BU24*'Cap Table'!BH$62</f>
        <v>0</v>
      </c>
      <c r="BX24" s="173">
        <f ca="1">IFERROR(IF(OR(BG24='Cap Table'!$B$40,BG24='Cap Table'!$B$41,BG24='Cap Table'!$B$42),IF(SUM(BI24,AN24,S24)&lt;SUM(BH24,AM24,R24),FV(MAX(BL24,AQ24,V24)/1,DATEDIF(BF24,'Cap Table'!$BH$60,"y"),0,-MAX(BH24,AM24,R24))/(MAX(BK24,AP24,U24)/'Cap Table'!$BH$61),BU24),BU24),0)</f>
        <v>0</v>
      </c>
      <c r="BY24" s="147">
        <f t="shared" ca="1" si="24"/>
        <v>0</v>
      </c>
      <c r="CA24" s="168">
        <f t="shared" ca="1" si="64"/>
        <v>44999</v>
      </c>
      <c r="CB24" s="168" t="str">
        <f t="shared" si="65"/>
        <v>Equity</v>
      </c>
      <c r="CC24" s="169">
        <v>0</v>
      </c>
      <c r="CD24" s="169">
        <f>IF('Cap Table'!CC$79&lt;&gt;"na",IF(BG24='Cap Table'!$B$40,BH24-BI24,0),0)</f>
        <v>0</v>
      </c>
      <c r="CE24" s="171">
        <f t="shared" si="25"/>
        <v>0</v>
      </c>
      <c r="CF24" s="169">
        <f t="shared" si="26"/>
        <v>0</v>
      </c>
      <c r="CG24" s="172">
        <f t="shared" si="27"/>
        <v>0</v>
      </c>
      <c r="CH24" s="170">
        <f ca="1">FV(CG24/1,DATEDIF(CA24,'Cap Table'!CC$60,"y"),0,-CD24)</f>
        <v>0</v>
      </c>
      <c r="CI24" s="170">
        <f ca="1">IF('Cap Table'!CC$80="no",IFERROR(CH24/(1-CE24),0),IFERROR(CH24/(1-(MAX(CE24,('Cap Table'!CC$62-CF24/'Cap Table'!CC$61)/'Cap Table'!CC$62))),0))</f>
        <v>0</v>
      </c>
      <c r="CJ24" s="146">
        <f t="shared" ca="1" si="28"/>
        <v>0</v>
      </c>
      <c r="CK24" s="149">
        <f ca="1">IF(AND('Cap Table'!CC$62=0,CH24&gt;0),CF24/'Cap Table'!CC$61,IFERROR(IF(CF24=0,'Cap Table'!CC$62*(1-CE24),MIN('Cap Table'!CC$62*(1-CE24),CF24/'Cap Table'!CC$61)),0))</f>
        <v>0</v>
      </c>
      <c r="CL24" s="170">
        <f t="shared" ca="1" si="82"/>
        <v>0</v>
      </c>
      <c r="CM24" s="170">
        <v>0</v>
      </c>
      <c r="CN24" s="146">
        <f t="shared" ca="1" si="29"/>
        <v>0</v>
      </c>
      <c r="CO24" s="146">
        <f t="shared" si="29"/>
        <v>0</v>
      </c>
      <c r="CP24" s="146">
        <f t="shared" ca="1" si="66"/>
        <v>0</v>
      </c>
      <c r="CQ24" s="147">
        <f t="shared" ca="1" si="30"/>
        <v>0</v>
      </c>
      <c r="CR24" s="146">
        <f ca="1">CP24*'Cap Table'!CC$62</f>
        <v>0</v>
      </c>
      <c r="CS24" s="173">
        <f ca="1">IFERROR(IF(OR(CB24='Cap Table'!$B$40,CB24='Cap Table'!$B$41,CB24='Cap Table'!$B$42),IF(SUM(CD24,BI24,AN24,S24)&lt;SUM(CC24,BH24,AM24,R24),FV(MAX(CG24,BL24,AQ24,V24)/1,DATEDIF(CA24,'Cap Table'!$CC$60,"y"),0,-MAX(CC24,BH24,AM24,R24))/(MAX(CF24,BK24,AP24,U24)/'Cap Table'!$CC$61),CP24),CP24),0)</f>
        <v>0</v>
      </c>
      <c r="CT24" s="147">
        <f t="shared" ca="1" si="31"/>
        <v>0</v>
      </c>
      <c r="CV24" s="168">
        <f t="shared" ca="1" si="67"/>
        <v>45365</v>
      </c>
      <c r="CW24" s="168" t="str">
        <f t="shared" si="68"/>
        <v>Equity</v>
      </c>
      <c r="CX24" s="169">
        <v>0</v>
      </c>
      <c r="CY24" s="169">
        <f>IF('Cap Table'!CX$79&lt;&gt;"na",IF(CB24='Cap Table'!$B$40,CC24-CD24,0),0)</f>
        <v>0</v>
      </c>
      <c r="CZ24" s="171">
        <f t="shared" si="32"/>
        <v>0</v>
      </c>
      <c r="DA24" s="169">
        <f t="shared" si="33"/>
        <v>0</v>
      </c>
      <c r="DB24" s="172">
        <f t="shared" si="34"/>
        <v>0</v>
      </c>
      <c r="DC24" s="170">
        <f ca="1">FV(DB24/1,DATEDIF(CV24,'Cap Table'!CX$60,"y"),0,-CY24)</f>
        <v>0</v>
      </c>
      <c r="DD24" s="170">
        <f ca="1">IF('Cap Table'!CX$80="no",IFERROR(DC24/(1-CZ24),0),IFERROR(DC24/(1-(MAX(CZ24,('Cap Table'!CX$62-DA24/'Cap Table'!CX$61)/'Cap Table'!CX$62))),0))</f>
        <v>0</v>
      </c>
      <c r="DE24" s="146">
        <f t="shared" ca="1" si="35"/>
        <v>0</v>
      </c>
      <c r="DF24" s="149">
        <f ca="1">IF(AND('Cap Table'!CX$62=0,DC24&gt;0),DA24/'Cap Table'!CX$61,IFERROR(IF(DA24=0,'Cap Table'!CX$62*(1-CZ24),MIN('Cap Table'!CX$62*(1-CZ24),DA24/'Cap Table'!CX$61)),0))</f>
        <v>0</v>
      </c>
      <c r="DG24" s="170">
        <f t="shared" ca="1" si="83"/>
        <v>0</v>
      </c>
      <c r="DH24" s="170">
        <v>0</v>
      </c>
      <c r="DI24" s="146">
        <f t="shared" ca="1" si="36"/>
        <v>0</v>
      </c>
      <c r="DJ24" s="146">
        <f t="shared" si="36"/>
        <v>0</v>
      </c>
      <c r="DK24" s="146">
        <f t="shared" ca="1" si="69"/>
        <v>0</v>
      </c>
      <c r="DL24" s="147">
        <f t="shared" ca="1" si="37"/>
        <v>0</v>
      </c>
      <c r="DM24" s="146">
        <f ca="1">DK24*'Cap Table'!CX$62</f>
        <v>0</v>
      </c>
      <c r="DN24" s="173">
        <f ca="1">IFERROR(IF(OR(CW24='Cap Table'!$B$40,CW24='Cap Table'!$B$41,CW24='Cap Table'!$B$42),IF(SUM(CY24,CD24,BI24,AN24,S24,)&lt;SUM(CX24,CC24,BH24,AM24,R24),FV(MAX(DB24,CG24,BL24,AQ24,V24)/1,DATEDIF(CV24,'Cap Table'!$CX$60,"y"),0,-MAX(CX24,CC24,BH24,AM24,R24))/(MAX(DA24,CF24,BK24,AP24,U24,)/'Cap Table'!$CX$61),DK24),DK24),0)</f>
        <v>0</v>
      </c>
      <c r="DO24" s="147">
        <f t="shared" ca="1" si="38"/>
        <v>0</v>
      </c>
      <c r="DQ24" s="168">
        <f t="shared" ca="1" si="70"/>
        <v>45730</v>
      </c>
      <c r="DR24" s="168" t="str">
        <f t="shared" si="71"/>
        <v>Equity</v>
      </c>
      <c r="DS24" s="169">
        <v>0</v>
      </c>
      <c r="DT24" s="169">
        <f>IF('Cap Table'!DS$79&lt;&gt;"na",IF(CW24='Cap Table'!$B$40,CX24-CY24,0),0)</f>
        <v>0</v>
      </c>
      <c r="DU24" s="171">
        <f t="shared" si="86"/>
        <v>0</v>
      </c>
      <c r="DV24" s="169">
        <f t="shared" si="87"/>
        <v>0</v>
      </c>
      <c r="DW24" s="172">
        <f t="shared" si="88"/>
        <v>0</v>
      </c>
      <c r="DX24" s="170">
        <f ca="1">FV(DW24/1,DATEDIF(DQ24,'Cap Table'!DS$60,"y"),0,-DT24)</f>
        <v>0</v>
      </c>
      <c r="DY24" s="170">
        <f ca="1">IF('Cap Table'!DS$80="no",IFERROR(DX24/(1-DU24),0),IFERROR(DX24/(1-(MAX(DU24,('Cap Table'!DS$62-DV24/'Cap Table'!DS$61)/'Cap Table'!DS$62))),0))</f>
        <v>0</v>
      </c>
      <c r="DZ24" s="146">
        <f t="shared" ca="1" si="42"/>
        <v>0</v>
      </c>
      <c r="EA24" s="149">
        <f ca="1">IF(AND('Cap Table'!DS$62=0,DX24&gt;0),DV24/'Cap Table'!DS$61,IFERROR(IF(DV24=0,'Cap Table'!DS$62*(1-DU24),MIN('Cap Table'!DS$62*(1-DU24),DV24/'Cap Table'!DS$61)),0))</f>
        <v>0</v>
      </c>
      <c r="EB24" s="170">
        <f t="shared" ca="1" si="84"/>
        <v>0</v>
      </c>
      <c r="EC24" s="170">
        <v>0</v>
      </c>
      <c r="ED24" s="146">
        <f t="shared" ca="1" si="72"/>
        <v>0</v>
      </c>
      <c r="EE24" s="146">
        <f t="shared" si="43"/>
        <v>0</v>
      </c>
      <c r="EF24" s="146">
        <f t="shared" ca="1" si="73"/>
        <v>0</v>
      </c>
      <c r="EG24" s="147">
        <f t="shared" ca="1" si="44"/>
        <v>0</v>
      </c>
      <c r="EH24" s="146">
        <f ca="1">EF24*'Cap Table'!DS$62</f>
        <v>0</v>
      </c>
      <c r="EI24" s="173">
        <f ca="1">IFERROR(IF(OR(DR24='Cap Table'!$B$40,DR24='Cap Table'!$B$41,DR24='Cap Table'!$B$42),IF(SUM(DT24,CY24,CD24,BI24,AN24,S24)&lt;SUM(DS24,CX24,CC24,BH24,AM24,R24),FV(MAX(DW24,DB24,CG24,BL24,AQ24,V24)/1,DATEDIF(DQ24,'Cap Table'!DS$60,"y"),0,-MAX(DS24,CX24,CC24,BH24,AM24,R24))/(MAX(DV24,DA24,CF24,BK24,AP24,U24)/'Cap Table'!$DS$61),EF24),EF24),0)</f>
        <v>0</v>
      </c>
      <c r="EJ24" s="147">
        <f t="shared" ca="1" si="45"/>
        <v>0</v>
      </c>
      <c r="EL24" s="146">
        <f t="shared" si="74"/>
        <v>0</v>
      </c>
      <c r="EM24" s="146">
        <f t="shared" si="74"/>
        <v>0</v>
      </c>
      <c r="EN24" s="174" t="s">
        <v>27</v>
      </c>
      <c r="EO24" s="174" t="s">
        <v>27</v>
      </c>
      <c r="EP24" s="174" t="s">
        <v>27</v>
      </c>
      <c r="EQ24" s="146">
        <f t="shared" ca="1" si="75"/>
        <v>0</v>
      </c>
      <c r="ER24" s="146">
        <f t="shared" ca="1" si="75"/>
        <v>0</v>
      </c>
      <c r="ES24" s="146">
        <f t="shared" ca="1" si="75"/>
        <v>0</v>
      </c>
      <c r="ET24" s="149">
        <f t="shared" ca="1" si="89"/>
        <v>0</v>
      </c>
      <c r="EU24" s="146">
        <f t="shared" ca="1" si="76"/>
        <v>0</v>
      </c>
      <c r="EV24" s="146">
        <f t="shared" si="76"/>
        <v>0</v>
      </c>
      <c r="EW24" s="146">
        <f t="shared" ca="1" si="77"/>
        <v>0</v>
      </c>
      <c r="EX24" s="146">
        <f t="shared" si="77"/>
        <v>0</v>
      </c>
      <c r="EY24" s="146">
        <f t="shared" ca="1" si="77"/>
        <v>0</v>
      </c>
      <c r="EZ24" s="147">
        <f t="shared" ca="1" si="46"/>
        <v>0</v>
      </c>
      <c r="FA24" s="146">
        <f t="shared" ca="1" si="78"/>
        <v>0</v>
      </c>
      <c r="FB24" s="146">
        <f t="shared" ca="1" si="78"/>
        <v>0</v>
      </c>
      <c r="FC24" s="147">
        <f t="shared" ca="1" si="47"/>
        <v>0</v>
      </c>
      <c r="FE24" s="149" t="str">
        <f t="shared" si="0"/>
        <v>Common</v>
      </c>
      <c r="FF24" s="146">
        <f t="shared" ca="1" si="48"/>
        <v>0</v>
      </c>
      <c r="FG24" s="146">
        <f t="shared" ca="1" si="49"/>
        <v>0</v>
      </c>
      <c r="FH24" s="146">
        <f t="shared" ca="1" si="50"/>
        <v>0</v>
      </c>
      <c r="FJ24" s="146" t="str">
        <f t="shared" si="51"/>
        <v>Common</v>
      </c>
      <c r="FK24" s="174" t="str">
        <f t="shared" ca="1" si="52"/>
        <v>na</v>
      </c>
      <c r="FL24" s="174" t="str">
        <f t="shared" ca="1" si="52"/>
        <v>na</v>
      </c>
      <c r="FM24" s="174" t="str">
        <f t="shared" ca="1" si="53"/>
        <v>na</v>
      </c>
    </row>
    <row r="25" spans="2:169">
      <c r="B25" s="145" t="s">
        <v>27</v>
      </c>
      <c r="D25" s="167" t="s">
        <v>27</v>
      </c>
      <c r="E25" s="167" t="str">
        <f t="shared" si="54"/>
        <v>Common</v>
      </c>
      <c r="G25" s="168">
        <f t="shared" ca="1" si="1"/>
        <v>43538</v>
      </c>
      <c r="H25" s="289" t="str">
        <f t="shared" si="2"/>
        <v>Equity</v>
      </c>
      <c r="I25" s="169">
        <v>0</v>
      </c>
      <c r="J25" s="170">
        <v>0</v>
      </c>
      <c r="K25" s="170">
        <f t="shared" si="55"/>
        <v>0</v>
      </c>
      <c r="L25" s="147">
        <f t="shared" si="3"/>
        <v>0</v>
      </c>
      <c r="M25" s="170">
        <f t="shared" si="56"/>
        <v>0</v>
      </c>
      <c r="N25" s="147">
        <f t="shared" si="4"/>
        <v>0</v>
      </c>
      <c r="O25" s="147"/>
      <c r="P25" s="168">
        <f t="shared" ca="1" si="85"/>
        <v>43904</v>
      </c>
      <c r="Q25" s="289" t="str">
        <f t="shared" si="5"/>
        <v>Equity</v>
      </c>
      <c r="R25" s="169">
        <v>0</v>
      </c>
      <c r="S25" s="169">
        <v>0</v>
      </c>
      <c r="T25" s="171">
        <v>0</v>
      </c>
      <c r="U25" s="145">
        <v>0</v>
      </c>
      <c r="V25" s="172">
        <v>0</v>
      </c>
      <c r="W25" s="170">
        <f ca="1">FV(V25/1,DATEDIF(P25,'Cap Table'!R$60,"y"),0,-S25)</f>
        <v>0</v>
      </c>
      <c r="X25" s="170">
        <f t="shared" ca="1" si="6"/>
        <v>0</v>
      </c>
      <c r="Y25" s="146">
        <f t="shared" ca="1" si="7"/>
        <v>0</v>
      </c>
      <c r="Z25" s="149">
        <f ca="1">IF(AND('Cap Table'!R$62=0,W25&gt;0),U25/'Cap Table'!R$61,IFERROR(IF(U25=0,'Cap Table'!R$62*(1-T25),MIN('Cap Table'!R$62*(1-T25),U25/'Cap Table'!R$61)),0))</f>
        <v>0</v>
      </c>
      <c r="AA25" s="170">
        <f t="shared" ca="1" si="79"/>
        <v>0</v>
      </c>
      <c r="AB25" s="170">
        <v>0</v>
      </c>
      <c r="AC25" s="146">
        <f t="shared" ca="1" si="8"/>
        <v>0</v>
      </c>
      <c r="AD25" s="146">
        <f t="shared" si="8"/>
        <v>0</v>
      </c>
      <c r="AE25" s="146">
        <f t="shared" ca="1" si="57"/>
        <v>0</v>
      </c>
      <c r="AF25" s="147">
        <f t="shared" ca="1" si="9"/>
        <v>0</v>
      </c>
      <c r="AG25" s="146">
        <f ca="1">AE25*'Cap Table'!R$62</f>
        <v>0</v>
      </c>
      <c r="AH25" s="146">
        <f ca="1">IFERROR(IF(OR(Q25='Cap Table'!$B$40,Q25='Cap Table'!$B$41,Q25='Cap Table'!$B$42),IF(SUM(S25)&lt;SUM(R25),(FV(V25/1,DATEDIF(P25,'Cap Table'!R$60,"y"),0,-R25))/(U25/'Cap Table'!$R$61),AE25),AE25),0)</f>
        <v>0</v>
      </c>
      <c r="AI25" s="147">
        <f t="shared" ca="1" si="10"/>
        <v>0</v>
      </c>
      <c r="AK25" s="168">
        <f t="shared" ca="1" si="58"/>
        <v>44269</v>
      </c>
      <c r="AL25" s="168" t="str">
        <f t="shared" si="59"/>
        <v>Equity</v>
      </c>
      <c r="AM25" s="169">
        <v>0</v>
      </c>
      <c r="AN25" s="169">
        <f>IF('Cap Table'!AM$79&lt;&gt;"na",IF(Q25='Cap Table'!$B$40,R25-S25,0),0)</f>
        <v>0</v>
      </c>
      <c r="AO25" s="171">
        <f t="shared" si="11"/>
        <v>0</v>
      </c>
      <c r="AP25" s="169">
        <f t="shared" si="12"/>
        <v>0</v>
      </c>
      <c r="AQ25" s="172">
        <f t="shared" si="13"/>
        <v>0</v>
      </c>
      <c r="AR25" s="170">
        <f ca="1">FV(AQ25/1,DATEDIF(AK25,'Cap Table'!AM$60,"y"),0,-AN25)</f>
        <v>0</v>
      </c>
      <c r="AS25" s="170">
        <f ca="1">IF('Cap Table'!AM$80="no",IFERROR(AR25/(1-AO25),0),IFERROR(AR25/(1-(MAX(AO25,('Cap Table'!AM$62-AP25/'Cap Table'!AM$61)/'Cap Table'!AM$62))),0))</f>
        <v>0</v>
      </c>
      <c r="AT25" s="146">
        <f t="shared" ca="1" si="14"/>
        <v>0</v>
      </c>
      <c r="AU25" s="149">
        <f ca="1">IF(AND('Cap Table'!AM$62=0,AR25&gt;0),AP25/'Cap Table'!AM$61,IFERROR(IF(AP25=0,'Cap Table'!AM$62*(1-AO25),MIN('Cap Table'!AM$62*(1-AO25),AP25/'Cap Table'!AM$61)),0))</f>
        <v>0</v>
      </c>
      <c r="AV25" s="170">
        <f t="shared" ca="1" si="80"/>
        <v>0</v>
      </c>
      <c r="AW25" s="170">
        <v>0</v>
      </c>
      <c r="AX25" s="146">
        <f t="shared" ca="1" si="15"/>
        <v>0</v>
      </c>
      <c r="AY25" s="146">
        <f t="shared" si="15"/>
        <v>0</v>
      </c>
      <c r="AZ25" s="146">
        <f t="shared" ca="1" si="60"/>
        <v>0</v>
      </c>
      <c r="BA25" s="147">
        <f t="shared" ca="1" si="16"/>
        <v>0</v>
      </c>
      <c r="BB25" s="146">
        <f ca="1">AZ25*'Cap Table'!AM$62</f>
        <v>0</v>
      </c>
      <c r="BC25" s="173">
        <f ca="1">IFERROR(IF(OR(AL25='Cap Table'!$B$40,AL25='Cap Table'!$B$41,AL25='Cap Table'!$B$42),IF(SUM(AN25,S25)&lt;SUM(AM25,R25),FV(MAX(AQ25,V25)/1,DATEDIF(AK25,'Cap Table'!$AM$60,"y"),0,-MAX(AM25,R25))/(MAX(AP25,U25)/'Cap Table'!$AM$61),AZ25),AZ25),0)</f>
        <v>0</v>
      </c>
      <c r="BD25" s="147">
        <f t="shared" ca="1" si="17"/>
        <v>0</v>
      </c>
      <c r="BF25" s="168">
        <f t="shared" ca="1" si="61"/>
        <v>44634</v>
      </c>
      <c r="BG25" s="168" t="str">
        <f t="shared" si="62"/>
        <v>Equity</v>
      </c>
      <c r="BH25" s="169">
        <v>0</v>
      </c>
      <c r="BI25" s="169">
        <f>IF('Cap Table'!BH$79&lt;&gt;"na",IF(AL25='Cap Table'!$B$40,AM25-AN25,0),0)</f>
        <v>0</v>
      </c>
      <c r="BJ25" s="171">
        <f t="shared" si="18"/>
        <v>0</v>
      </c>
      <c r="BK25" s="169">
        <f t="shared" si="19"/>
        <v>0</v>
      </c>
      <c r="BL25" s="172">
        <f t="shared" si="20"/>
        <v>0</v>
      </c>
      <c r="BM25" s="170">
        <f ca="1">FV(BL25/1,DATEDIF(BF25,'Cap Table'!BH$60,"y"),0,-BI25)</f>
        <v>0</v>
      </c>
      <c r="BN25" s="170">
        <f ca="1">IF('Cap Table'!BH$80="no",IFERROR(BM25/(1-BJ25),0),IFERROR(BM25/(1-(MAX(BJ25,('Cap Table'!BH$62-BK25/'Cap Table'!BH$61)/'Cap Table'!BH$62))),0))</f>
        <v>0</v>
      </c>
      <c r="BO25" s="146">
        <f t="shared" ca="1" si="21"/>
        <v>0</v>
      </c>
      <c r="BP25" s="149">
        <f ca="1">IF(AND('Cap Table'!BH$62=0,BM25&gt;0),BK25/'Cap Table'!BH$61,IFERROR(IF(BK25=0,'Cap Table'!BH$62*(1-BJ25),MIN('Cap Table'!BH$62*(1-BJ25),BK25/'Cap Table'!BH$61)),0))</f>
        <v>0</v>
      </c>
      <c r="BQ25" s="170">
        <f t="shared" ca="1" si="81"/>
        <v>0</v>
      </c>
      <c r="BR25" s="170">
        <v>0</v>
      </c>
      <c r="BS25" s="146">
        <f t="shared" ca="1" si="22"/>
        <v>0</v>
      </c>
      <c r="BT25" s="146">
        <f t="shared" si="22"/>
        <v>0</v>
      </c>
      <c r="BU25" s="146">
        <f t="shared" ca="1" si="63"/>
        <v>0</v>
      </c>
      <c r="BV25" s="147">
        <f t="shared" ca="1" si="23"/>
        <v>0</v>
      </c>
      <c r="BW25" s="146">
        <f ca="1">BU25*'Cap Table'!BH$62</f>
        <v>0</v>
      </c>
      <c r="BX25" s="173">
        <f ca="1">IFERROR(IF(OR(BG25='Cap Table'!$B$40,BG25='Cap Table'!$B$41,BG25='Cap Table'!$B$42),IF(SUM(BI25,AN25,S25)&lt;SUM(BH25,AM25,R25),FV(MAX(BL25,AQ25,V25)/1,DATEDIF(BF25,'Cap Table'!$BH$60,"y"),0,-MAX(BH25,AM25,R25))/(MAX(BK25,AP25,U25)/'Cap Table'!$BH$61),BU25),BU25),0)</f>
        <v>0</v>
      </c>
      <c r="BY25" s="147">
        <f t="shared" ca="1" si="24"/>
        <v>0</v>
      </c>
      <c r="CA25" s="168">
        <f t="shared" ca="1" si="64"/>
        <v>44999</v>
      </c>
      <c r="CB25" s="168" t="str">
        <f t="shared" si="65"/>
        <v>Equity</v>
      </c>
      <c r="CC25" s="169">
        <v>0</v>
      </c>
      <c r="CD25" s="169">
        <f>IF('Cap Table'!CC$79&lt;&gt;"na",IF(BG25='Cap Table'!$B$40,BH25-BI25,0),0)</f>
        <v>0</v>
      </c>
      <c r="CE25" s="171">
        <f t="shared" si="25"/>
        <v>0</v>
      </c>
      <c r="CF25" s="169">
        <f t="shared" si="26"/>
        <v>0</v>
      </c>
      <c r="CG25" s="172">
        <f t="shared" si="27"/>
        <v>0</v>
      </c>
      <c r="CH25" s="170">
        <f ca="1">FV(CG25/1,DATEDIF(CA25,'Cap Table'!CC$60,"y"),0,-CD25)</f>
        <v>0</v>
      </c>
      <c r="CI25" s="170">
        <f ca="1">IF('Cap Table'!CC$80="no",IFERROR(CH25/(1-CE25),0),IFERROR(CH25/(1-(MAX(CE25,('Cap Table'!CC$62-CF25/'Cap Table'!CC$61)/'Cap Table'!CC$62))),0))</f>
        <v>0</v>
      </c>
      <c r="CJ25" s="146">
        <f t="shared" ca="1" si="28"/>
        <v>0</v>
      </c>
      <c r="CK25" s="149">
        <f ca="1">IF(AND('Cap Table'!CC$62=0,CH25&gt;0),CF25/'Cap Table'!CC$61,IFERROR(IF(CF25=0,'Cap Table'!CC$62*(1-CE25),MIN('Cap Table'!CC$62*(1-CE25),CF25/'Cap Table'!CC$61)),0))</f>
        <v>0</v>
      </c>
      <c r="CL25" s="170">
        <f t="shared" ca="1" si="82"/>
        <v>0</v>
      </c>
      <c r="CM25" s="170">
        <v>0</v>
      </c>
      <c r="CN25" s="146">
        <f t="shared" ca="1" si="29"/>
        <v>0</v>
      </c>
      <c r="CO25" s="146">
        <f t="shared" si="29"/>
        <v>0</v>
      </c>
      <c r="CP25" s="146">
        <f t="shared" ca="1" si="66"/>
        <v>0</v>
      </c>
      <c r="CQ25" s="147">
        <f t="shared" ca="1" si="30"/>
        <v>0</v>
      </c>
      <c r="CR25" s="146">
        <f ca="1">CP25*'Cap Table'!CC$62</f>
        <v>0</v>
      </c>
      <c r="CS25" s="173">
        <f ca="1">IFERROR(IF(OR(CB25='Cap Table'!$B$40,CB25='Cap Table'!$B$41,CB25='Cap Table'!$B$42),IF(SUM(CD25,BI25,AN25,S25)&lt;SUM(CC25,BH25,AM25,R25),FV(MAX(CG25,BL25,AQ25,V25)/1,DATEDIF(CA25,'Cap Table'!$CC$60,"y"),0,-MAX(CC25,BH25,AM25,R25))/(MAX(CF25,BK25,AP25,U25)/'Cap Table'!$CC$61),CP25),CP25),0)</f>
        <v>0</v>
      </c>
      <c r="CT25" s="147">
        <f t="shared" ca="1" si="31"/>
        <v>0</v>
      </c>
      <c r="CV25" s="168">
        <f t="shared" ca="1" si="67"/>
        <v>45365</v>
      </c>
      <c r="CW25" s="168" t="str">
        <f t="shared" si="68"/>
        <v>Equity</v>
      </c>
      <c r="CX25" s="169">
        <v>0</v>
      </c>
      <c r="CY25" s="169">
        <f>IF('Cap Table'!CX$79&lt;&gt;"na",IF(CB25='Cap Table'!$B$40,CC25-CD25,0),0)</f>
        <v>0</v>
      </c>
      <c r="CZ25" s="171">
        <f t="shared" si="32"/>
        <v>0</v>
      </c>
      <c r="DA25" s="169">
        <f t="shared" si="33"/>
        <v>0</v>
      </c>
      <c r="DB25" s="172">
        <f t="shared" si="34"/>
        <v>0</v>
      </c>
      <c r="DC25" s="170">
        <f ca="1">FV(DB25/1,DATEDIF(CV25,'Cap Table'!CX$60,"y"),0,-CY25)</f>
        <v>0</v>
      </c>
      <c r="DD25" s="170">
        <f ca="1">IF('Cap Table'!CX$80="no",IFERROR(DC25/(1-CZ25),0),IFERROR(DC25/(1-(MAX(CZ25,('Cap Table'!CX$62-DA25/'Cap Table'!CX$61)/'Cap Table'!CX$62))),0))</f>
        <v>0</v>
      </c>
      <c r="DE25" s="146">
        <f t="shared" ca="1" si="35"/>
        <v>0</v>
      </c>
      <c r="DF25" s="149">
        <f ca="1">IF(AND('Cap Table'!CX$62=0,DC25&gt;0),DA25/'Cap Table'!CX$61,IFERROR(IF(DA25=0,'Cap Table'!CX$62*(1-CZ25),MIN('Cap Table'!CX$62*(1-CZ25),DA25/'Cap Table'!CX$61)),0))</f>
        <v>0</v>
      </c>
      <c r="DG25" s="170">
        <f t="shared" ca="1" si="83"/>
        <v>0</v>
      </c>
      <c r="DH25" s="170">
        <v>0</v>
      </c>
      <c r="DI25" s="146">
        <f t="shared" ca="1" si="36"/>
        <v>0</v>
      </c>
      <c r="DJ25" s="146">
        <f t="shared" si="36"/>
        <v>0</v>
      </c>
      <c r="DK25" s="146">
        <f t="shared" ca="1" si="69"/>
        <v>0</v>
      </c>
      <c r="DL25" s="147">
        <f t="shared" ca="1" si="37"/>
        <v>0</v>
      </c>
      <c r="DM25" s="146">
        <f ca="1">DK25*'Cap Table'!CX$62</f>
        <v>0</v>
      </c>
      <c r="DN25" s="173">
        <f ca="1">IFERROR(IF(OR(CW25='Cap Table'!$B$40,CW25='Cap Table'!$B$41,CW25='Cap Table'!$B$42),IF(SUM(CY25,CD25,BI25,AN25,S25,)&lt;SUM(CX25,CC25,BH25,AM25,R25),FV(MAX(DB25,CG25,BL25,AQ25,V25)/1,DATEDIF(CV25,'Cap Table'!$CX$60,"y"),0,-MAX(CX25,CC25,BH25,AM25,R25))/(MAX(DA25,CF25,BK25,AP25,U25,)/'Cap Table'!$CX$61),DK25),DK25),0)</f>
        <v>0</v>
      </c>
      <c r="DO25" s="147">
        <f t="shared" ca="1" si="38"/>
        <v>0</v>
      </c>
      <c r="DQ25" s="168">
        <f t="shared" ca="1" si="70"/>
        <v>45730</v>
      </c>
      <c r="DR25" s="168" t="str">
        <f t="shared" si="71"/>
        <v>Equity</v>
      </c>
      <c r="DS25" s="169">
        <v>0</v>
      </c>
      <c r="DT25" s="169">
        <f>IF('Cap Table'!DS$79&lt;&gt;"na",IF(CW25='Cap Table'!$B$40,CX25-CY25,0),0)</f>
        <v>0</v>
      </c>
      <c r="DU25" s="171">
        <f t="shared" si="86"/>
        <v>0</v>
      </c>
      <c r="DV25" s="169">
        <f t="shared" si="87"/>
        <v>0</v>
      </c>
      <c r="DW25" s="172">
        <f t="shared" si="88"/>
        <v>0</v>
      </c>
      <c r="DX25" s="170">
        <f ca="1">FV(DW25/1,DATEDIF(DQ25,'Cap Table'!DS$60,"y"),0,-DT25)</f>
        <v>0</v>
      </c>
      <c r="DY25" s="170">
        <f ca="1">IF('Cap Table'!DS$80="no",IFERROR(DX25/(1-DU25),0),IFERROR(DX25/(1-(MAX(DU25,('Cap Table'!DS$62-DV25/'Cap Table'!DS$61)/'Cap Table'!DS$62))),0))</f>
        <v>0</v>
      </c>
      <c r="DZ25" s="146">
        <f t="shared" ca="1" si="42"/>
        <v>0</v>
      </c>
      <c r="EA25" s="149">
        <f ca="1">IF(AND('Cap Table'!DS$62=0,DX25&gt;0),DV25/'Cap Table'!DS$61,IFERROR(IF(DV25=0,'Cap Table'!DS$62*(1-DU25),MIN('Cap Table'!DS$62*(1-DU25),DV25/'Cap Table'!DS$61)),0))</f>
        <v>0</v>
      </c>
      <c r="EB25" s="170">
        <f t="shared" ca="1" si="84"/>
        <v>0</v>
      </c>
      <c r="EC25" s="170">
        <v>0</v>
      </c>
      <c r="ED25" s="146">
        <f t="shared" ca="1" si="72"/>
        <v>0</v>
      </c>
      <c r="EE25" s="146">
        <f t="shared" si="43"/>
        <v>0</v>
      </c>
      <c r="EF25" s="146">
        <f t="shared" ca="1" si="73"/>
        <v>0</v>
      </c>
      <c r="EG25" s="147">
        <f t="shared" ca="1" si="44"/>
        <v>0</v>
      </c>
      <c r="EH25" s="146">
        <f ca="1">EF25*'Cap Table'!DS$62</f>
        <v>0</v>
      </c>
      <c r="EI25" s="173">
        <f ca="1">IFERROR(IF(OR(DR25='Cap Table'!$B$40,DR25='Cap Table'!$B$41,DR25='Cap Table'!$B$42),IF(SUM(DT25,CY25,CD25,BI25,AN25,S25)&lt;SUM(DS25,CX25,CC25,BH25,AM25,R25),FV(MAX(DW25,DB25,CG25,BL25,AQ25,V25)/1,DATEDIF(DQ25,'Cap Table'!DS$60,"y"),0,-MAX(DS25,CX25,CC25,BH25,AM25,R25))/(MAX(DV25,DA25,CF25,BK25,AP25,U25)/'Cap Table'!$DS$61),EF25),EF25),0)</f>
        <v>0</v>
      </c>
      <c r="EJ25" s="147">
        <f t="shared" ca="1" si="45"/>
        <v>0</v>
      </c>
      <c r="EL25" s="146">
        <f t="shared" si="74"/>
        <v>0</v>
      </c>
      <c r="EM25" s="146">
        <f t="shared" si="74"/>
        <v>0</v>
      </c>
      <c r="EN25" s="174" t="s">
        <v>27</v>
      </c>
      <c r="EO25" s="174" t="s">
        <v>27</v>
      </c>
      <c r="EP25" s="174" t="s">
        <v>27</v>
      </c>
      <c r="EQ25" s="146">
        <f t="shared" ca="1" si="75"/>
        <v>0</v>
      </c>
      <c r="ER25" s="146">
        <f t="shared" ca="1" si="75"/>
        <v>0</v>
      </c>
      <c r="ES25" s="146">
        <f t="shared" ca="1" si="75"/>
        <v>0</v>
      </c>
      <c r="ET25" s="149">
        <f t="shared" ca="1" si="89"/>
        <v>0</v>
      </c>
      <c r="EU25" s="146">
        <f t="shared" ca="1" si="76"/>
        <v>0</v>
      </c>
      <c r="EV25" s="146">
        <f t="shared" si="76"/>
        <v>0</v>
      </c>
      <c r="EW25" s="146">
        <f t="shared" ca="1" si="77"/>
        <v>0</v>
      </c>
      <c r="EX25" s="146">
        <f t="shared" si="77"/>
        <v>0</v>
      </c>
      <c r="EY25" s="146">
        <f t="shared" ca="1" si="77"/>
        <v>0</v>
      </c>
      <c r="EZ25" s="147">
        <f t="shared" ca="1" si="46"/>
        <v>0</v>
      </c>
      <c r="FA25" s="146">
        <f t="shared" ca="1" si="78"/>
        <v>0</v>
      </c>
      <c r="FB25" s="146">
        <f t="shared" ca="1" si="78"/>
        <v>0</v>
      </c>
      <c r="FC25" s="147">
        <f t="shared" ca="1" si="47"/>
        <v>0</v>
      </c>
      <c r="FE25" s="149" t="str">
        <f t="shared" si="0"/>
        <v>Common</v>
      </c>
      <c r="FF25" s="146">
        <f t="shared" ca="1" si="48"/>
        <v>0</v>
      </c>
      <c r="FG25" s="146">
        <f t="shared" ca="1" si="49"/>
        <v>0</v>
      </c>
      <c r="FH25" s="146">
        <f t="shared" ca="1" si="50"/>
        <v>0</v>
      </c>
      <c r="FJ25" s="146" t="str">
        <f t="shared" si="51"/>
        <v>Common</v>
      </c>
      <c r="FK25" s="174" t="str">
        <f t="shared" ca="1" si="52"/>
        <v>na</v>
      </c>
      <c r="FL25" s="174" t="str">
        <f t="shared" ca="1" si="52"/>
        <v>na</v>
      </c>
      <c r="FM25" s="174" t="str">
        <f t="shared" ca="1" si="53"/>
        <v>na</v>
      </c>
    </row>
    <row r="26" spans="2:169">
      <c r="B26" s="145" t="s">
        <v>27</v>
      </c>
      <c r="D26" s="167" t="s">
        <v>27</v>
      </c>
      <c r="E26" s="167" t="str">
        <f t="shared" si="54"/>
        <v>Common</v>
      </c>
      <c r="G26" s="168">
        <f t="shared" ca="1" si="1"/>
        <v>43538</v>
      </c>
      <c r="H26" s="289" t="str">
        <f t="shared" si="2"/>
        <v>Equity</v>
      </c>
      <c r="I26" s="169">
        <v>0</v>
      </c>
      <c r="J26" s="170">
        <v>0</v>
      </c>
      <c r="K26" s="170">
        <f t="shared" si="55"/>
        <v>0</v>
      </c>
      <c r="L26" s="147">
        <f t="shared" si="3"/>
        <v>0</v>
      </c>
      <c r="M26" s="170">
        <f t="shared" si="56"/>
        <v>0</v>
      </c>
      <c r="N26" s="147">
        <f t="shared" si="4"/>
        <v>0</v>
      </c>
      <c r="O26" s="147"/>
      <c r="P26" s="168">
        <f t="shared" ca="1" si="85"/>
        <v>43904</v>
      </c>
      <c r="Q26" s="289" t="str">
        <f t="shared" si="5"/>
        <v>Equity</v>
      </c>
      <c r="R26" s="169">
        <v>0</v>
      </c>
      <c r="S26" s="169">
        <v>0</v>
      </c>
      <c r="T26" s="171">
        <v>0</v>
      </c>
      <c r="U26" s="145">
        <v>0</v>
      </c>
      <c r="V26" s="172">
        <v>0</v>
      </c>
      <c r="W26" s="170">
        <f ca="1">FV(V26/1,DATEDIF(P26,'Cap Table'!R$60,"y"),0,-S26)</f>
        <v>0</v>
      </c>
      <c r="X26" s="170">
        <f t="shared" ca="1" si="6"/>
        <v>0</v>
      </c>
      <c r="Y26" s="146">
        <f t="shared" ca="1" si="7"/>
        <v>0</v>
      </c>
      <c r="Z26" s="149">
        <f ca="1">IF(AND('Cap Table'!R$62=0,W26&gt;0),U26/'Cap Table'!R$61,IFERROR(IF(U26=0,'Cap Table'!R$62*(1-T26),MIN('Cap Table'!R$62*(1-T26),U26/'Cap Table'!R$61)),0))</f>
        <v>0</v>
      </c>
      <c r="AA26" s="170">
        <f t="shared" ca="1" si="79"/>
        <v>0</v>
      </c>
      <c r="AB26" s="170">
        <v>0</v>
      </c>
      <c r="AC26" s="146">
        <f t="shared" ca="1" si="8"/>
        <v>0</v>
      </c>
      <c r="AD26" s="146">
        <f t="shared" si="8"/>
        <v>0</v>
      </c>
      <c r="AE26" s="146">
        <f t="shared" ca="1" si="57"/>
        <v>0</v>
      </c>
      <c r="AF26" s="147">
        <f t="shared" ca="1" si="9"/>
        <v>0</v>
      </c>
      <c r="AG26" s="146">
        <f ca="1">AE26*'Cap Table'!R$62</f>
        <v>0</v>
      </c>
      <c r="AH26" s="146">
        <f ca="1">IFERROR(IF(OR(Q26='Cap Table'!$B$40,Q26='Cap Table'!$B$41,Q26='Cap Table'!$B$42),IF(SUM(S26)&lt;SUM(R26),(FV(V26/1,DATEDIF(P26,'Cap Table'!R$60,"y"),0,-R26))/(U26/'Cap Table'!$R$61),AE26),AE26),0)</f>
        <v>0</v>
      </c>
      <c r="AI26" s="147">
        <f t="shared" ca="1" si="10"/>
        <v>0</v>
      </c>
      <c r="AK26" s="168">
        <f t="shared" ca="1" si="58"/>
        <v>44269</v>
      </c>
      <c r="AL26" s="168" t="str">
        <f t="shared" si="59"/>
        <v>Equity</v>
      </c>
      <c r="AM26" s="169">
        <v>0</v>
      </c>
      <c r="AN26" s="169">
        <f>IF('Cap Table'!AM$79&lt;&gt;"na",IF(Q26='Cap Table'!$B$40,R26-S26,0),0)</f>
        <v>0</v>
      </c>
      <c r="AO26" s="171">
        <f t="shared" si="11"/>
        <v>0</v>
      </c>
      <c r="AP26" s="169">
        <f t="shared" si="12"/>
        <v>0</v>
      </c>
      <c r="AQ26" s="172">
        <f t="shared" si="13"/>
        <v>0</v>
      </c>
      <c r="AR26" s="170">
        <f ca="1">FV(AQ26/1,DATEDIF(AK26,'Cap Table'!AM$60,"y"),0,-AN26)</f>
        <v>0</v>
      </c>
      <c r="AS26" s="170">
        <f ca="1">IF('Cap Table'!AM$80="no",IFERROR(AR26/(1-AO26),0),IFERROR(AR26/(1-(MAX(AO26,('Cap Table'!AM$62-AP26/'Cap Table'!AM$61)/'Cap Table'!AM$62))),0))</f>
        <v>0</v>
      </c>
      <c r="AT26" s="146">
        <f t="shared" ca="1" si="14"/>
        <v>0</v>
      </c>
      <c r="AU26" s="149">
        <f ca="1">IF(AND('Cap Table'!AM$62=0,AR26&gt;0),AP26/'Cap Table'!AM$61,IFERROR(IF(AP26=0,'Cap Table'!AM$62*(1-AO26),MIN('Cap Table'!AM$62*(1-AO26),AP26/'Cap Table'!AM$61)),0))</f>
        <v>0</v>
      </c>
      <c r="AV26" s="170">
        <f t="shared" ca="1" si="80"/>
        <v>0</v>
      </c>
      <c r="AW26" s="170">
        <v>0</v>
      </c>
      <c r="AX26" s="146">
        <f t="shared" ca="1" si="15"/>
        <v>0</v>
      </c>
      <c r="AY26" s="146">
        <f t="shared" si="15"/>
        <v>0</v>
      </c>
      <c r="AZ26" s="146">
        <f t="shared" ca="1" si="60"/>
        <v>0</v>
      </c>
      <c r="BA26" s="147">
        <f t="shared" ca="1" si="16"/>
        <v>0</v>
      </c>
      <c r="BB26" s="146">
        <f ca="1">AZ26*'Cap Table'!AM$62</f>
        <v>0</v>
      </c>
      <c r="BC26" s="173">
        <f ca="1">IFERROR(IF(OR(AL26='Cap Table'!$B$40,AL26='Cap Table'!$B$41,AL26='Cap Table'!$B$42),IF(SUM(AN26,S26)&lt;SUM(AM26,R26),FV(MAX(AQ26,V26)/1,DATEDIF(AK26,'Cap Table'!$AM$60,"y"),0,-MAX(AM26,R26))/(MAX(AP26,U26)/'Cap Table'!$AM$61),AZ26),AZ26),0)</f>
        <v>0</v>
      </c>
      <c r="BD26" s="147">
        <f t="shared" ca="1" si="17"/>
        <v>0</v>
      </c>
      <c r="BF26" s="168">
        <f t="shared" ca="1" si="61"/>
        <v>44634</v>
      </c>
      <c r="BG26" s="168" t="str">
        <f t="shared" si="62"/>
        <v>Equity</v>
      </c>
      <c r="BH26" s="169">
        <v>0</v>
      </c>
      <c r="BI26" s="169">
        <f>IF('Cap Table'!BH$79&lt;&gt;"na",IF(AL26='Cap Table'!$B$40,AM26-AN26,0),0)</f>
        <v>0</v>
      </c>
      <c r="BJ26" s="171">
        <f t="shared" si="18"/>
        <v>0</v>
      </c>
      <c r="BK26" s="169">
        <f t="shared" si="19"/>
        <v>0</v>
      </c>
      <c r="BL26" s="172">
        <f t="shared" si="20"/>
        <v>0</v>
      </c>
      <c r="BM26" s="170">
        <f ca="1">FV(BL26/1,DATEDIF(BF26,'Cap Table'!BH$60,"y"),0,-BI26)</f>
        <v>0</v>
      </c>
      <c r="BN26" s="170">
        <f ca="1">IF('Cap Table'!BH$80="no",IFERROR(BM26/(1-BJ26),0),IFERROR(BM26/(1-(MAX(BJ26,('Cap Table'!BH$62-BK26/'Cap Table'!BH$61)/'Cap Table'!BH$62))),0))</f>
        <v>0</v>
      </c>
      <c r="BO26" s="146">
        <f t="shared" ca="1" si="21"/>
        <v>0</v>
      </c>
      <c r="BP26" s="149">
        <f ca="1">IF(AND('Cap Table'!BH$62=0,BM26&gt;0),BK26/'Cap Table'!BH$61,IFERROR(IF(BK26=0,'Cap Table'!BH$62*(1-BJ26),MIN('Cap Table'!BH$62*(1-BJ26),BK26/'Cap Table'!BH$61)),0))</f>
        <v>0</v>
      </c>
      <c r="BQ26" s="170">
        <f t="shared" ca="1" si="81"/>
        <v>0</v>
      </c>
      <c r="BR26" s="170">
        <v>0</v>
      </c>
      <c r="BS26" s="146">
        <f t="shared" ca="1" si="22"/>
        <v>0</v>
      </c>
      <c r="BT26" s="146">
        <f t="shared" si="22"/>
        <v>0</v>
      </c>
      <c r="BU26" s="146">
        <f t="shared" ca="1" si="63"/>
        <v>0</v>
      </c>
      <c r="BV26" s="147">
        <f t="shared" ca="1" si="23"/>
        <v>0</v>
      </c>
      <c r="BW26" s="146">
        <f ca="1">BU26*'Cap Table'!BH$62</f>
        <v>0</v>
      </c>
      <c r="BX26" s="173">
        <f ca="1">IFERROR(IF(OR(BG26='Cap Table'!$B$40,BG26='Cap Table'!$B$41,BG26='Cap Table'!$B$42),IF(SUM(BI26,AN26,S26)&lt;SUM(BH26,AM26,R26),FV(MAX(BL26,AQ26,V26)/1,DATEDIF(BF26,'Cap Table'!$BH$60,"y"),0,-MAX(BH26,AM26,R26))/(MAX(BK26,AP26,U26)/'Cap Table'!$BH$61),BU26),BU26),0)</f>
        <v>0</v>
      </c>
      <c r="BY26" s="147">
        <f t="shared" ca="1" si="24"/>
        <v>0</v>
      </c>
      <c r="CA26" s="168">
        <f t="shared" ca="1" si="64"/>
        <v>44999</v>
      </c>
      <c r="CB26" s="168" t="str">
        <f t="shared" si="65"/>
        <v>Equity</v>
      </c>
      <c r="CC26" s="169">
        <v>0</v>
      </c>
      <c r="CD26" s="169">
        <f>IF('Cap Table'!CC$79&lt;&gt;"na",IF(BG26='Cap Table'!$B$40,BH26-BI26,0),0)</f>
        <v>0</v>
      </c>
      <c r="CE26" s="171">
        <f t="shared" si="25"/>
        <v>0</v>
      </c>
      <c r="CF26" s="169">
        <f t="shared" si="26"/>
        <v>0</v>
      </c>
      <c r="CG26" s="172">
        <f t="shared" si="27"/>
        <v>0</v>
      </c>
      <c r="CH26" s="170">
        <f ca="1">FV(CG26/1,DATEDIF(CA26,'Cap Table'!CC$60,"y"),0,-CD26)</f>
        <v>0</v>
      </c>
      <c r="CI26" s="170">
        <f ca="1">IF('Cap Table'!CC$80="no",IFERROR(CH26/(1-CE26),0),IFERROR(CH26/(1-(MAX(CE26,('Cap Table'!CC$62-CF26/'Cap Table'!CC$61)/'Cap Table'!CC$62))),0))</f>
        <v>0</v>
      </c>
      <c r="CJ26" s="146">
        <f t="shared" ca="1" si="28"/>
        <v>0</v>
      </c>
      <c r="CK26" s="149">
        <f ca="1">IF(AND('Cap Table'!CC$62=0,CH26&gt;0),CF26/'Cap Table'!CC$61,IFERROR(IF(CF26=0,'Cap Table'!CC$62*(1-CE26),MIN('Cap Table'!CC$62*(1-CE26),CF26/'Cap Table'!CC$61)),0))</f>
        <v>0</v>
      </c>
      <c r="CL26" s="170">
        <f t="shared" ca="1" si="82"/>
        <v>0</v>
      </c>
      <c r="CM26" s="170">
        <v>0</v>
      </c>
      <c r="CN26" s="146">
        <f t="shared" ca="1" si="29"/>
        <v>0</v>
      </c>
      <c r="CO26" s="146">
        <f t="shared" si="29"/>
        <v>0</v>
      </c>
      <c r="CP26" s="146">
        <f t="shared" ca="1" si="66"/>
        <v>0</v>
      </c>
      <c r="CQ26" s="147">
        <f t="shared" ca="1" si="30"/>
        <v>0</v>
      </c>
      <c r="CR26" s="146">
        <f ca="1">CP26*'Cap Table'!CC$62</f>
        <v>0</v>
      </c>
      <c r="CS26" s="173">
        <f ca="1">IFERROR(IF(OR(CB26='Cap Table'!$B$40,CB26='Cap Table'!$B$41,CB26='Cap Table'!$B$42),IF(SUM(CD26,BI26,AN26,S26)&lt;SUM(CC26,BH26,AM26,R26),FV(MAX(CG26,BL26,AQ26,V26)/1,DATEDIF(CA26,'Cap Table'!$CC$60,"y"),0,-MAX(CC26,BH26,AM26,R26))/(MAX(CF26,BK26,AP26,U26)/'Cap Table'!$CC$61),CP26),CP26),0)</f>
        <v>0</v>
      </c>
      <c r="CT26" s="147">
        <f t="shared" ca="1" si="31"/>
        <v>0</v>
      </c>
      <c r="CV26" s="168">
        <f t="shared" ca="1" si="67"/>
        <v>45365</v>
      </c>
      <c r="CW26" s="168" t="str">
        <f t="shared" si="68"/>
        <v>Equity</v>
      </c>
      <c r="CX26" s="169">
        <v>0</v>
      </c>
      <c r="CY26" s="169">
        <f>IF('Cap Table'!CX$79&lt;&gt;"na",IF(CB26='Cap Table'!$B$40,CC26-CD26,0),0)</f>
        <v>0</v>
      </c>
      <c r="CZ26" s="171">
        <f t="shared" si="32"/>
        <v>0</v>
      </c>
      <c r="DA26" s="169">
        <f t="shared" si="33"/>
        <v>0</v>
      </c>
      <c r="DB26" s="172">
        <f t="shared" si="34"/>
        <v>0</v>
      </c>
      <c r="DC26" s="170">
        <f ca="1">FV(DB26/1,DATEDIF(CV26,'Cap Table'!CX$60,"y"),0,-CY26)</f>
        <v>0</v>
      </c>
      <c r="DD26" s="170">
        <f ca="1">IF('Cap Table'!CX$80="no",IFERROR(DC26/(1-CZ26),0),IFERROR(DC26/(1-(MAX(CZ26,('Cap Table'!CX$62-DA26/'Cap Table'!CX$61)/'Cap Table'!CX$62))),0))</f>
        <v>0</v>
      </c>
      <c r="DE26" s="146">
        <f t="shared" ca="1" si="35"/>
        <v>0</v>
      </c>
      <c r="DF26" s="149">
        <f ca="1">IF(AND('Cap Table'!CX$62=0,DC26&gt;0),DA26/'Cap Table'!CX$61,IFERROR(IF(DA26=0,'Cap Table'!CX$62*(1-CZ26),MIN('Cap Table'!CX$62*(1-CZ26),DA26/'Cap Table'!CX$61)),0))</f>
        <v>0</v>
      </c>
      <c r="DG26" s="170">
        <f t="shared" ca="1" si="83"/>
        <v>0</v>
      </c>
      <c r="DH26" s="170">
        <v>0</v>
      </c>
      <c r="DI26" s="146">
        <f t="shared" ca="1" si="36"/>
        <v>0</v>
      </c>
      <c r="DJ26" s="146">
        <f t="shared" si="36"/>
        <v>0</v>
      </c>
      <c r="DK26" s="146">
        <f t="shared" ca="1" si="69"/>
        <v>0</v>
      </c>
      <c r="DL26" s="147">
        <f t="shared" ca="1" si="37"/>
        <v>0</v>
      </c>
      <c r="DM26" s="146">
        <f ca="1">DK26*'Cap Table'!CX$62</f>
        <v>0</v>
      </c>
      <c r="DN26" s="173">
        <f ca="1">IFERROR(IF(OR(CW26='Cap Table'!$B$40,CW26='Cap Table'!$B$41,CW26='Cap Table'!$B$42),IF(SUM(CY26,CD26,BI26,AN26,S26,)&lt;SUM(CX26,CC26,BH26,AM26,R26),FV(MAX(DB26,CG26,BL26,AQ26,V26)/1,DATEDIF(CV26,'Cap Table'!$CX$60,"y"),0,-MAX(CX26,CC26,BH26,AM26,R26))/(MAX(DA26,CF26,BK26,AP26,U26,)/'Cap Table'!$CX$61),DK26),DK26),0)</f>
        <v>0</v>
      </c>
      <c r="DO26" s="147">
        <f t="shared" ca="1" si="38"/>
        <v>0</v>
      </c>
      <c r="DQ26" s="168">
        <f t="shared" ca="1" si="70"/>
        <v>45730</v>
      </c>
      <c r="DR26" s="168" t="str">
        <f t="shared" si="71"/>
        <v>Equity</v>
      </c>
      <c r="DS26" s="169">
        <v>0</v>
      </c>
      <c r="DT26" s="169">
        <f>IF('Cap Table'!DS$79&lt;&gt;"na",IF(CW26='Cap Table'!$B$40,CX26-CY26,0),0)</f>
        <v>0</v>
      </c>
      <c r="DU26" s="171">
        <f t="shared" si="86"/>
        <v>0</v>
      </c>
      <c r="DV26" s="169">
        <f t="shared" si="87"/>
        <v>0</v>
      </c>
      <c r="DW26" s="172">
        <f t="shared" si="88"/>
        <v>0</v>
      </c>
      <c r="DX26" s="170">
        <f ca="1">FV(DW26/1,DATEDIF(DQ26,'Cap Table'!DS$60,"y"),0,-DT26)</f>
        <v>0</v>
      </c>
      <c r="DY26" s="170">
        <f ca="1">IF('Cap Table'!DS$80="no",IFERROR(DX26/(1-DU26),0),IFERROR(DX26/(1-(MAX(DU26,('Cap Table'!DS$62-DV26/'Cap Table'!DS$61)/'Cap Table'!DS$62))),0))</f>
        <v>0</v>
      </c>
      <c r="DZ26" s="146">
        <f t="shared" ca="1" si="42"/>
        <v>0</v>
      </c>
      <c r="EA26" s="149">
        <f ca="1">IF(AND('Cap Table'!DS$62=0,DX26&gt;0),DV26/'Cap Table'!DS$61,IFERROR(IF(DV26=0,'Cap Table'!DS$62*(1-DU26),MIN('Cap Table'!DS$62*(1-DU26),DV26/'Cap Table'!DS$61)),0))</f>
        <v>0</v>
      </c>
      <c r="EB26" s="170">
        <f t="shared" ca="1" si="84"/>
        <v>0</v>
      </c>
      <c r="EC26" s="170">
        <v>0</v>
      </c>
      <c r="ED26" s="146">
        <f t="shared" ca="1" si="72"/>
        <v>0</v>
      </c>
      <c r="EE26" s="146">
        <f t="shared" si="43"/>
        <v>0</v>
      </c>
      <c r="EF26" s="146">
        <f t="shared" ca="1" si="73"/>
        <v>0</v>
      </c>
      <c r="EG26" s="147">
        <f t="shared" ca="1" si="44"/>
        <v>0</v>
      </c>
      <c r="EH26" s="146">
        <f ca="1">EF26*'Cap Table'!DS$62</f>
        <v>0</v>
      </c>
      <c r="EI26" s="173">
        <f ca="1">IFERROR(IF(OR(DR26='Cap Table'!$B$40,DR26='Cap Table'!$B$41,DR26='Cap Table'!$B$42),IF(SUM(DT26,CY26,CD26,BI26,AN26,S26)&lt;SUM(DS26,CX26,CC26,BH26,AM26,R26),FV(MAX(DW26,DB26,CG26,BL26,AQ26,V26)/1,DATEDIF(DQ26,'Cap Table'!DS$60,"y"),0,-MAX(DS26,CX26,CC26,BH26,AM26,R26))/(MAX(DV26,DA26,CF26,BK26,AP26,U26)/'Cap Table'!$DS$61),EF26),EF26),0)</f>
        <v>0</v>
      </c>
      <c r="EJ26" s="147">
        <f t="shared" ca="1" si="45"/>
        <v>0</v>
      </c>
      <c r="EL26" s="146">
        <f t="shared" si="74"/>
        <v>0</v>
      </c>
      <c r="EM26" s="146">
        <f t="shared" si="74"/>
        <v>0</v>
      </c>
      <c r="EN26" s="174" t="s">
        <v>27</v>
      </c>
      <c r="EO26" s="174" t="s">
        <v>27</v>
      </c>
      <c r="EP26" s="174" t="s">
        <v>27</v>
      </c>
      <c r="EQ26" s="146">
        <f t="shared" ca="1" si="75"/>
        <v>0</v>
      </c>
      <c r="ER26" s="146">
        <f t="shared" ca="1" si="75"/>
        <v>0</v>
      </c>
      <c r="ES26" s="146">
        <f t="shared" ca="1" si="75"/>
        <v>0</v>
      </c>
      <c r="ET26" s="149">
        <f t="shared" ca="1" si="89"/>
        <v>0</v>
      </c>
      <c r="EU26" s="146">
        <f t="shared" ca="1" si="76"/>
        <v>0</v>
      </c>
      <c r="EV26" s="146">
        <f t="shared" si="76"/>
        <v>0</v>
      </c>
      <c r="EW26" s="146">
        <f t="shared" ca="1" si="77"/>
        <v>0</v>
      </c>
      <c r="EX26" s="146">
        <f t="shared" si="77"/>
        <v>0</v>
      </c>
      <c r="EY26" s="146">
        <f t="shared" ca="1" si="77"/>
        <v>0</v>
      </c>
      <c r="EZ26" s="147">
        <f t="shared" ca="1" si="46"/>
        <v>0</v>
      </c>
      <c r="FA26" s="146">
        <f t="shared" ca="1" si="78"/>
        <v>0</v>
      </c>
      <c r="FB26" s="146">
        <f t="shared" ca="1" si="78"/>
        <v>0</v>
      </c>
      <c r="FC26" s="147">
        <f t="shared" ca="1" si="47"/>
        <v>0</v>
      </c>
      <c r="FE26" s="149" t="str">
        <f t="shared" si="0"/>
        <v>Common</v>
      </c>
      <c r="FF26" s="146">
        <f t="shared" ca="1" si="48"/>
        <v>0</v>
      </c>
      <c r="FG26" s="146">
        <f t="shared" ca="1" si="49"/>
        <v>0</v>
      </c>
      <c r="FH26" s="146">
        <f t="shared" ca="1" si="50"/>
        <v>0</v>
      </c>
      <c r="FJ26" s="146" t="str">
        <f t="shared" si="51"/>
        <v>Common</v>
      </c>
      <c r="FK26" s="174" t="str">
        <f t="shared" ca="1" si="52"/>
        <v>na</v>
      </c>
      <c r="FL26" s="174" t="str">
        <f t="shared" ca="1" si="52"/>
        <v>na</v>
      </c>
      <c r="FM26" s="174" t="str">
        <f t="shared" ca="1" si="53"/>
        <v>na</v>
      </c>
    </row>
    <row r="27" spans="2:169">
      <c r="B27" s="175" t="s">
        <v>14</v>
      </c>
      <c r="C27" s="176"/>
      <c r="D27" s="177" t="s">
        <v>27</v>
      </c>
      <c r="E27" s="178" t="s">
        <v>22</v>
      </c>
      <c r="G27" s="168">
        <f t="shared" ca="1" si="1"/>
        <v>43538</v>
      </c>
      <c r="H27" s="289" t="str">
        <f t="shared" si="2"/>
        <v>Equity</v>
      </c>
      <c r="I27" s="170">
        <v>0</v>
      </c>
      <c r="J27" s="169">
        <v>0</v>
      </c>
      <c r="K27" s="170">
        <f t="shared" si="55"/>
        <v>0</v>
      </c>
      <c r="L27" s="147">
        <f t="shared" si="3"/>
        <v>0</v>
      </c>
      <c r="M27" s="170">
        <f t="shared" si="56"/>
        <v>0</v>
      </c>
      <c r="N27" s="147">
        <f t="shared" si="4"/>
        <v>0</v>
      </c>
      <c r="O27" s="147"/>
      <c r="P27" s="168">
        <f ca="1">R$60</f>
        <v>43904</v>
      </c>
      <c r="Q27" s="289" t="str">
        <f t="shared" si="5"/>
        <v>Equity</v>
      </c>
      <c r="R27" s="170">
        <v>0</v>
      </c>
      <c r="S27" s="170">
        <v>0</v>
      </c>
      <c r="T27" s="179">
        <v>0</v>
      </c>
      <c r="U27" s="170">
        <v>0</v>
      </c>
      <c r="V27" s="179">
        <v>0</v>
      </c>
      <c r="W27" s="170">
        <v>0</v>
      </c>
      <c r="X27" s="170">
        <v>0</v>
      </c>
      <c r="Y27" s="146">
        <f t="shared" si="7"/>
        <v>0</v>
      </c>
      <c r="Z27" s="149">
        <f>IF(AND('Cap Table'!R$62=0,W27&gt;0),U27/'Cap Table'!R$61,IFERROR(IF(U27=0,'Cap Table'!R$62*(1-T27),MIN('Cap Table'!R$62*(1-T27),U27/'Cap Table'!R$61)),0))</f>
        <v>0</v>
      </c>
      <c r="AA27" s="170">
        <f t="shared" si="79"/>
        <v>0</v>
      </c>
      <c r="AB27" s="170">
        <f>K28*'Cap Table'!R87</f>
        <v>0</v>
      </c>
      <c r="AC27" s="146">
        <f t="shared" si="8"/>
        <v>0</v>
      </c>
      <c r="AD27" s="146">
        <f t="shared" si="8"/>
        <v>0</v>
      </c>
      <c r="AE27" s="146">
        <f t="shared" si="57"/>
        <v>0</v>
      </c>
      <c r="AF27" s="147">
        <f t="shared" ca="1" si="9"/>
        <v>0</v>
      </c>
      <c r="AG27" s="146">
        <f>AE27*'Cap Table'!R$62</f>
        <v>0</v>
      </c>
      <c r="AH27" s="146">
        <f>IFERROR(IF(OR(Q27='Cap Table'!$B$40,Q27='Cap Table'!$B$41,Q27='Cap Table'!$B$42),IF(SUM(S27)&lt;SUM(R27),(FV(V27/1,DATEDIF(P27,'Cap Table'!R$60,"y"),0,-R27))/(U27/'Cap Table'!$R$61),AE27),AE27),0)</f>
        <v>0</v>
      </c>
      <c r="AI27" s="147">
        <f t="shared" ca="1" si="10"/>
        <v>0</v>
      </c>
      <c r="AK27" s="168">
        <f ca="1">AM$60</f>
        <v>44269</v>
      </c>
      <c r="AL27" s="168" t="s">
        <v>448</v>
      </c>
      <c r="AM27" s="170">
        <v>0</v>
      </c>
      <c r="AN27" s="170">
        <f>IF('Cap Table'!AM$79&lt;&gt;"na",IF(Q27='Cap Table'!$B$40,R27-S27,0),0)</f>
        <v>0</v>
      </c>
      <c r="AO27" s="179">
        <v>0</v>
      </c>
      <c r="AP27" s="150">
        <v>0</v>
      </c>
      <c r="AQ27" s="180">
        <v>0</v>
      </c>
      <c r="AR27" s="170">
        <f ca="1">FV(AQ27/1,DATEDIF(AK27,'Cap Table'!AM$60,"y"),0,-AN27)</f>
        <v>0</v>
      </c>
      <c r="AS27" s="170">
        <f t="shared" ref="AS27:AS28" ca="1" si="90">IFERROR(AR27/(1-AO27),0)</f>
        <v>0</v>
      </c>
      <c r="AT27" s="170">
        <f t="shared" ca="1" si="14"/>
        <v>0</v>
      </c>
      <c r="AU27" s="149">
        <f ca="1">IF(AND('Cap Table'!AM$62=0,AR27&gt;0),AP27/'Cap Table'!AM$61,IFERROR(IF(AP27=0,'Cap Table'!AM$62*(1-AO27),MIN('Cap Table'!AM$62*(1-AO27),AP27/'Cap Table'!AM$61)),0))</f>
        <v>0</v>
      </c>
      <c r="AV27" s="170">
        <f t="shared" ca="1" si="80"/>
        <v>0</v>
      </c>
      <c r="AW27" s="170">
        <f ca="1">AD28*'Cap Table'!AM87</f>
        <v>0</v>
      </c>
      <c r="AX27" s="170">
        <f t="shared" ca="1" si="15"/>
        <v>0</v>
      </c>
      <c r="AY27" s="170">
        <f t="shared" ca="1" si="15"/>
        <v>0</v>
      </c>
      <c r="AZ27" s="170">
        <f t="shared" ca="1" si="60"/>
        <v>0</v>
      </c>
      <c r="BA27" s="179">
        <f t="shared" ca="1" si="16"/>
        <v>0</v>
      </c>
      <c r="BB27" s="170">
        <f ca="1">AZ27*'Cap Table'!AM$62</f>
        <v>0</v>
      </c>
      <c r="BC27" s="173">
        <f ca="1">IFERROR(IF(OR(AL27='Cap Table'!$B$40,AL27='Cap Table'!$B$41,AL27='Cap Table'!$B$42),IF(SUM(AN27,S27)&lt;SUM(AM27,R27),FV(MAX(AQ27,V27)/1,DATEDIF(AK27,'Cap Table'!$AM$60,"y"),0,-MAX(AM27,R27))/(MAX(AP27,U27)/'Cap Table'!$AM$61),AZ27),AZ27),0)</f>
        <v>0</v>
      </c>
      <c r="BD27" s="179">
        <f t="shared" ca="1" si="17"/>
        <v>0</v>
      </c>
      <c r="BF27" s="168">
        <f ca="1">BH$60</f>
        <v>44634</v>
      </c>
      <c r="BG27" s="168" t="s">
        <v>448</v>
      </c>
      <c r="BH27" s="170">
        <v>0</v>
      </c>
      <c r="BI27" s="170">
        <f>IF('Cap Table'!BH$79&lt;&gt;"na",IF(AL27='Cap Table'!$B$40,AM27-AN27,0),0)</f>
        <v>0</v>
      </c>
      <c r="BJ27" s="179">
        <v>0</v>
      </c>
      <c r="BK27" s="150">
        <v>0</v>
      </c>
      <c r="BL27" s="180">
        <v>0</v>
      </c>
      <c r="BM27" s="170">
        <f ca="1">FV(BL27/1,DATEDIF(BF27,'Cap Table'!BH$60,"y"),0,-BI27)</f>
        <v>0</v>
      </c>
      <c r="BN27" s="170">
        <f t="shared" ref="BN27:BN28" ca="1" si="91">IFERROR(BM27/(1-BJ27),0)</f>
        <v>0</v>
      </c>
      <c r="BO27" s="170">
        <f t="shared" ca="1" si="21"/>
        <v>0</v>
      </c>
      <c r="BP27" s="149">
        <f ca="1">IF(AND('Cap Table'!BH$62=0,BM27&gt;0),BK27/'Cap Table'!BH$61,IFERROR(IF(BK27=0,'Cap Table'!BH$62*(1-BJ27),MIN('Cap Table'!BH$62*(1-BJ27),BK27/'Cap Table'!BH$61)),0))</f>
        <v>0</v>
      </c>
      <c r="BQ27" s="170">
        <f t="shared" ca="1" si="81"/>
        <v>0</v>
      </c>
      <c r="BR27" s="170">
        <f ca="1">AY28*'Cap Table'!BH87</f>
        <v>0</v>
      </c>
      <c r="BS27" s="170">
        <f t="shared" ca="1" si="22"/>
        <v>0</v>
      </c>
      <c r="BT27" s="170">
        <f t="shared" ca="1" si="22"/>
        <v>0</v>
      </c>
      <c r="BU27" s="170">
        <f t="shared" ca="1" si="63"/>
        <v>0</v>
      </c>
      <c r="BV27" s="179">
        <f t="shared" ca="1" si="23"/>
        <v>0</v>
      </c>
      <c r="BW27" s="170">
        <f ca="1">BU27*'Cap Table'!BH$62</f>
        <v>0</v>
      </c>
      <c r="BX27" s="173">
        <f ca="1">IFERROR(IF(OR(BG27='Cap Table'!$B$40,BG27='Cap Table'!$B$41,BG27='Cap Table'!$B$42),IF(SUM(BI27,AN27,S27)&lt;SUM(BH27,AM27,R27),FV(MAX(BL27,AQ27,V27)/1,DATEDIF(BF27,'Cap Table'!$BH$60,"y"),0,-MAX(BH27,AM27,R27))/(MAX(BK27,AP27,U27)/'Cap Table'!$BH$61),BU27),BU27),0)</f>
        <v>0</v>
      </c>
      <c r="BY27" s="179">
        <f t="shared" ca="1" si="24"/>
        <v>0</v>
      </c>
      <c r="CA27" s="168">
        <f ca="1">CC$60</f>
        <v>44999</v>
      </c>
      <c r="CB27" s="168" t="s">
        <v>448</v>
      </c>
      <c r="CC27" s="170">
        <v>0</v>
      </c>
      <c r="CD27" s="170">
        <f>IF('Cap Table'!CC$79&lt;&gt;"na",IF(BG27='Cap Table'!$B$40,BH27-BI27,0),0)</f>
        <v>0</v>
      </c>
      <c r="CE27" s="179">
        <v>0</v>
      </c>
      <c r="CF27" s="150">
        <v>0</v>
      </c>
      <c r="CG27" s="180">
        <v>0</v>
      </c>
      <c r="CH27" s="170">
        <f ca="1">FV(CG27/1,DATEDIF(CA27,'Cap Table'!CC$60,"y"),0,-CD27)</f>
        <v>0</v>
      </c>
      <c r="CI27" s="170">
        <f t="shared" ref="CI27:CI28" ca="1" si="92">IFERROR(CH27/(1-CE27),0)</f>
        <v>0</v>
      </c>
      <c r="CJ27" s="170">
        <f t="shared" ca="1" si="28"/>
        <v>0</v>
      </c>
      <c r="CK27" s="149">
        <f ca="1">IF(AND('Cap Table'!CC$62=0,CH27&gt;0),CF27/'Cap Table'!CC$61,IFERROR(IF(CF27=0,'Cap Table'!CC$62*(1-CE27),MIN('Cap Table'!CC$62*(1-CE27),CF27/'Cap Table'!CC$61)),0))</f>
        <v>0</v>
      </c>
      <c r="CL27" s="170">
        <f t="shared" ca="1" si="82"/>
        <v>0</v>
      </c>
      <c r="CM27" s="170">
        <f ca="1">BT28*'Cap Table'!CC87</f>
        <v>0</v>
      </c>
      <c r="CN27" s="170">
        <f t="shared" ca="1" si="29"/>
        <v>0</v>
      </c>
      <c r="CO27" s="170">
        <f t="shared" ca="1" si="29"/>
        <v>0</v>
      </c>
      <c r="CP27" s="170">
        <f t="shared" ca="1" si="66"/>
        <v>0</v>
      </c>
      <c r="CQ27" s="147">
        <f t="shared" ca="1" si="30"/>
        <v>0</v>
      </c>
      <c r="CR27" s="146">
        <f ca="1">CP27*'Cap Table'!CC$62</f>
        <v>0</v>
      </c>
      <c r="CS27" s="173">
        <f ca="1">IFERROR(IF(OR(CB27='Cap Table'!$B$40,CB27='Cap Table'!$B$41,CB27='Cap Table'!$B$42),IF(SUM(CD27,BI27,AN27,S27)&lt;SUM(CC27,BH27,AM27,R27),FV(MAX(CG27,BL27,AQ27,V27)/1,DATEDIF(CA27,'Cap Table'!$CC$60,"y"),0,-MAX(CC27,BH27,AM27,R27))/(MAX(CF27,BK27,AP27,U27)/'Cap Table'!$CC$61),CP27),CP27),0)</f>
        <v>0</v>
      </c>
      <c r="CT27" s="179">
        <f t="shared" ca="1" si="31"/>
        <v>0</v>
      </c>
      <c r="CV27" s="168">
        <f ca="1">CX$60</f>
        <v>45365</v>
      </c>
      <c r="CW27" s="168" t="s">
        <v>448</v>
      </c>
      <c r="CX27" s="170">
        <v>0</v>
      </c>
      <c r="CY27" s="170">
        <f>IF('Cap Table'!CX$79&lt;&gt;"na",IF(CB27='Cap Table'!$B$40,CC27-CD27,0),0)</f>
        <v>0</v>
      </c>
      <c r="CZ27" s="179">
        <v>0</v>
      </c>
      <c r="DA27" s="150">
        <v>0</v>
      </c>
      <c r="DB27" s="180">
        <v>0</v>
      </c>
      <c r="DC27" s="170">
        <f ca="1">FV(DB27/1,DATEDIF(CV27,'Cap Table'!CX$60,"y"),0,-CY27)</f>
        <v>0</v>
      </c>
      <c r="DD27" s="170">
        <f t="shared" ref="DD27:DD28" ca="1" si="93">IFERROR(DC27/(1-CZ27),0)</f>
        <v>0</v>
      </c>
      <c r="DE27" s="170">
        <f t="shared" ca="1" si="35"/>
        <v>0</v>
      </c>
      <c r="DF27" s="149">
        <f ca="1">IF(AND('Cap Table'!CX$62=0,DC27&gt;0),DA27/'Cap Table'!CX$61,IFERROR(IF(DA27=0,'Cap Table'!CX$62*(1-CZ27),MIN('Cap Table'!CX$62*(1-CZ27),DA27/'Cap Table'!CX$61)),0))</f>
        <v>0</v>
      </c>
      <c r="DG27" s="170">
        <f t="shared" ca="1" si="83"/>
        <v>0</v>
      </c>
      <c r="DH27" s="170">
        <f ca="1">CO28*'Cap Table'!CX87</f>
        <v>0</v>
      </c>
      <c r="DI27" s="170">
        <f t="shared" ca="1" si="36"/>
        <v>0</v>
      </c>
      <c r="DJ27" s="170">
        <f t="shared" ca="1" si="36"/>
        <v>0</v>
      </c>
      <c r="DK27" s="170">
        <f t="shared" ca="1" si="69"/>
        <v>0</v>
      </c>
      <c r="DL27" s="179">
        <f t="shared" ca="1" si="37"/>
        <v>0</v>
      </c>
      <c r="DM27" s="146">
        <f ca="1">DK27*'Cap Table'!CX$62</f>
        <v>0</v>
      </c>
      <c r="DN27" s="173">
        <f ca="1">IFERROR(IF(OR(CW27='Cap Table'!$B$40,CW27='Cap Table'!$B$41,CW27='Cap Table'!$B$42),IF(SUM(CY27,CD27,BI27,AN27,S27,)&lt;SUM(CX27,CC27,BH27,AM27,R27),FV(MAX(DB27,CG27,BL27,AQ27,V27)/1,DATEDIF(CV27,'Cap Table'!$CX$60,"y"),0,-MAX(CX27,CC27,BH27,AM27,R27))/(MAX(DA27,CF27,BK27,AP27,U27,)/'Cap Table'!$CX$61),DK27),DK27),0)</f>
        <v>0</v>
      </c>
      <c r="DO27" s="179">
        <f t="shared" ca="1" si="38"/>
        <v>0</v>
      </c>
      <c r="DQ27" s="168">
        <f ca="1">DS$60</f>
        <v>45730</v>
      </c>
      <c r="DR27" s="168" t="s">
        <v>448</v>
      </c>
      <c r="DS27" s="170">
        <v>0</v>
      </c>
      <c r="DT27" s="170">
        <f>IF('Cap Table'!DS$79&lt;&gt;"na",IF(CW27='Cap Table'!$B$40,CX27-CY27,0),0)</f>
        <v>0</v>
      </c>
      <c r="DU27" s="179">
        <v>0</v>
      </c>
      <c r="DV27" s="150">
        <v>0</v>
      </c>
      <c r="DW27" s="180">
        <v>0</v>
      </c>
      <c r="DX27" s="170">
        <f ca="1">FV(DW27/1,DATEDIF(DQ27,'Cap Table'!DS$60,"y"),0,-DT27)</f>
        <v>0</v>
      </c>
      <c r="DY27" s="170">
        <f t="shared" ref="DY27:DY28" ca="1" si="94">IFERROR(DX27/(1-DU27),0)</f>
        <v>0</v>
      </c>
      <c r="DZ27" s="170">
        <f t="shared" ca="1" si="42"/>
        <v>0</v>
      </c>
      <c r="EA27" s="149">
        <f ca="1">IF(AND('Cap Table'!DS$62=0,DX27&gt;0),DV27/'Cap Table'!DS$61,IFERROR(IF(DV27=0,'Cap Table'!DS$62*(1-DU27),MIN('Cap Table'!DS$62*(1-DU27),DV27/'Cap Table'!DS$61)),0))</f>
        <v>0</v>
      </c>
      <c r="EB27" s="170">
        <f t="shared" ca="1" si="84"/>
        <v>0</v>
      </c>
      <c r="EC27" s="170">
        <f ca="1">DJ28*'Cap Table'!DS87</f>
        <v>0</v>
      </c>
      <c r="ED27" s="170">
        <f t="shared" ca="1" si="72"/>
        <v>0</v>
      </c>
      <c r="EE27" s="170">
        <f ca="1">EC27+DJ27</f>
        <v>0</v>
      </c>
      <c r="EF27" s="170">
        <f t="shared" ca="1" si="73"/>
        <v>0</v>
      </c>
      <c r="EG27" s="179">
        <f t="shared" ca="1" si="44"/>
        <v>0</v>
      </c>
      <c r="EH27" s="170">
        <f ca="1">EF27*'Cap Table'!DS$62</f>
        <v>0</v>
      </c>
      <c r="EI27" s="173">
        <f ca="1">IFERROR(IF(OR(DR27='Cap Table'!$B$40,DR27='Cap Table'!$B$41,DR27='Cap Table'!$B$42),IF(SUM(DT27,CY27,CD27,BI27,AN27,S27)&lt;SUM(DS27,CX27,CC27,BH27,AM27,R27),FV(MAX(DW27,DB27,CG27,BL27,AQ27,V27)/1,DATEDIF(DQ27,'Cap Table'!DS$60,"y"),0,-MAX(DS27,CX27,CC27,BH27,AM27,R27))/(MAX(DV27,DA27,CF27,BK27,AP27,U27)/'Cap Table'!$DS$61),EF27),EF27),0)</f>
        <v>0</v>
      </c>
      <c r="EJ27" s="179">
        <f t="shared" ca="1" si="45"/>
        <v>0</v>
      </c>
      <c r="EL27" s="146">
        <f t="shared" si="74"/>
        <v>0</v>
      </c>
      <c r="EM27" s="146">
        <f t="shared" si="74"/>
        <v>0</v>
      </c>
      <c r="EN27" s="174" t="s">
        <v>27</v>
      </c>
      <c r="EO27" s="174" t="s">
        <v>27</v>
      </c>
      <c r="EP27" s="174" t="s">
        <v>27</v>
      </c>
      <c r="EQ27" s="146">
        <f t="shared" ca="1" si="75"/>
        <v>0</v>
      </c>
      <c r="ER27" s="146">
        <f t="shared" ca="1" si="75"/>
        <v>0</v>
      </c>
      <c r="ES27" s="146">
        <f t="shared" ca="1" si="75"/>
        <v>0</v>
      </c>
      <c r="ET27" s="149">
        <f t="shared" ca="1" si="89"/>
        <v>0</v>
      </c>
      <c r="EU27" s="146">
        <f t="shared" ca="1" si="76"/>
        <v>0</v>
      </c>
      <c r="EV27" s="146">
        <f t="shared" ca="1" si="76"/>
        <v>0</v>
      </c>
      <c r="EW27" s="146">
        <f t="shared" ca="1" si="77"/>
        <v>0</v>
      </c>
      <c r="EX27" s="146">
        <f t="shared" ca="1" si="77"/>
        <v>0</v>
      </c>
      <c r="EY27" s="146">
        <f t="shared" ca="1" si="77"/>
        <v>0</v>
      </c>
      <c r="EZ27" s="147">
        <f t="shared" ca="1" si="46"/>
        <v>0</v>
      </c>
      <c r="FA27" s="146">
        <f t="shared" ca="1" si="78"/>
        <v>0</v>
      </c>
      <c r="FB27" s="146">
        <f t="shared" ca="1" si="78"/>
        <v>0</v>
      </c>
      <c r="FC27" s="147">
        <f t="shared" ca="1" si="47"/>
        <v>0</v>
      </c>
      <c r="FE27" s="149" t="str">
        <f t="shared" si="0"/>
        <v>Options</v>
      </c>
      <c r="FF27" s="146">
        <f t="shared" ca="1" si="48"/>
        <v>0</v>
      </c>
      <c r="FG27" s="146">
        <f t="shared" ca="1" si="49"/>
        <v>0</v>
      </c>
      <c r="FH27" s="146">
        <f t="shared" ca="1" si="50"/>
        <v>0</v>
      </c>
      <c r="FJ27" s="146" t="str">
        <f t="shared" si="51"/>
        <v>Options</v>
      </c>
      <c r="FK27" s="174" t="str">
        <f t="shared" ca="1" si="52"/>
        <v>na</v>
      </c>
      <c r="FL27" s="174" t="str">
        <f t="shared" ca="1" si="52"/>
        <v>na</v>
      </c>
      <c r="FM27" s="174" t="str">
        <f t="shared" ca="1" si="53"/>
        <v>na</v>
      </c>
    </row>
    <row r="28" spans="2:169">
      <c r="B28" s="181" t="s">
        <v>51</v>
      </c>
      <c r="C28" s="176"/>
      <c r="D28" s="177" t="s">
        <v>27</v>
      </c>
      <c r="E28" s="178" t="s">
        <v>22</v>
      </c>
      <c r="G28" s="168">
        <f t="shared" ca="1" si="1"/>
        <v>43538</v>
      </c>
      <c r="H28" s="289" t="str">
        <f t="shared" si="2"/>
        <v>Equity</v>
      </c>
      <c r="I28" s="170">
        <v>0</v>
      </c>
      <c r="J28" s="169">
        <v>0</v>
      </c>
      <c r="K28" s="170">
        <f t="shared" si="55"/>
        <v>0</v>
      </c>
      <c r="L28" s="147">
        <f t="shared" si="3"/>
        <v>0</v>
      </c>
      <c r="M28" s="170">
        <f t="shared" si="56"/>
        <v>0</v>
      </c>
      <c r="N28" s="147">
        <f t="shared" si="4"/>
        <v>0</v>
      </c>
      <c r="O28" s="147"/>
      <c r="P28" s="168">
        <f ca="1">R$60</f>
        <v>43904</v>
      </c>
      <c r="Q28" s="289" t="str">
        <f t="shared" si="5"/>
        <v>Equity</v>
      </c>
      <c r="R28" s="170">
        <v>0</v>
      </c>
      <c r="S28" s="170">
        <v>0</v>
      </c>
      <c r="T28" s="179">
        <v>0</v>
      </c>
      <c r="U28" s="170">
        <v>0</v>
      </c>
      <c r="V28" s="179">
        <v>0</v>
      </c>
      <c r="W28" s="170">
        <v>0</v>
      </c>
      <c r="X28" s="170">
        <v>0</v>
      </c>
      <c r="Y28" s="146">
        <f t="shared" si="7"/>
        <v>0</v>
      </c>
      <c r="Z28" s="149">
        <f>IF(AND('Cap Table'!R$62=0,W28&gt;0),U28/'Cap Table'!R$61,IFERROR(IF(U28=0,'Cap Table'!R$62*(1-T28),MIN('Cap Table'!R$62*(1-T28),U28/'Cap Table'!R$61)),0))</f>
        <v>0</v>
      </c>
      <c r="AA28" s="170">
        <f t="shared" si="79"/>
        <v>0</v>
      </c>
      <c r="AB28" s="170">
        <f ca="1">-AB27+'Cap Table'!R85+'Cap Table'!R86</f>
        <v>0</v>
      </c>
      <c r="AC28" s="146">
        <f t="shared" si="8"/>
        <v>0</v>
      </c>
      <c r="AD28" s="146">
        <f t="shared" ca="1" si="8"/>
        <v>0</v>
      </c>
      <c r="AE28" s="146">
        <f t="shared" ca="1" si="57"/>
        <v>0</v>
      </c>
      <c r="AF28" s="147">
        <f t="shared" ca="1" si="9"/>
        <v>0</v>
      </c>
      <c r="AG28" s="146">
        <f ca="1">AE28*'Cap Table'!R$62</f>
        <v>0</v>
      </c>
      <c r="AH28" s="146">
        <f ca="1">IFERROR(IF(OR(Q28='Cap Table'!$B$40,Q28='Cap Table'!$B$41,Q28='Cap Table'!$B$42),IF(SUM(S28)&lt;SUM(R28),(FV(V28/1,DATEDIF(P28,'Cap Table'!R$60,"y"),0,-R28))/(U28/'Cap Table'!$R$61),AE28),AE28),0)</f>
        <v>0</v>
      </c>
      <c r="AI28" s="147">
        <f t="shared" ca="1" si="10"/>
        <v>0</v>
      </c>
      <c r="AK28" s="168">
        <f ca="1">AM$60</f>
        <v>44269</v>
      </c>
      <c r="AL28" s="168" t="s">
        <v>448</v>
      </c>
      <c r="AM28" s="170">
        <v>0</v>
      </c>
      <c r="AN28" s="170">
        <f>IF('Cap Table'!AM$79&lt;&gt;"na",IF(Q28='Cap Table'!$B$40,R28-S28,0),0)</f>
        <v>0</v>
      </c>
      <c r="AO28" s="179">
        <v>0</v>
      </c>
      <c r="AP28" s="150">
        <v>0</v>
      </c>
      <c r="AQ28" s="180">
        <v>0</v>
      </c>
      <c r="AR28" s="170">
        <f ca="1">FV(AQ28/1,DATEDIF(AK28,'Cap Table'!AM$60,"y"),0,-AN28)</f>
        <v>0</v>
      </c>
      <c r="AS28" s="170">
        <f t="shared" ca="1" si="90"/>
        <v>0</v>
      </c>
      <c r="AT28" s="170">
        <f t="shared" ca="1" si="14"/>
        <v>0</v>
      </c>
      <c r="AU28" s="149">
        <f ca="1">IF(AND('Cap Table'!AM$62=0,AR28&gt;0),AP28/'Cap Table'!AM$61,IFERROR(IF(AP28=0,'Cap Table'!AM$62*(1-AO28),MIN('Cap Table'!AM$62*(1-AO28),AP28/'Cap Table'!AM$61)),0))</f>
        <v>0</v>
      </c>
      <c r="AV28" s="170">
        <f t="shared" ca="1" si="80"/>
        <v>0</v>
      </c>
      <c r="AW28" s="170">
        <f ca="1">-AW27+'Cap Table'!AM85+'Cap Table'!AM86</f>
        <v>0</v>
      </c>
      <c r="AX28" s="170">
        <f t="shared" ca="1" si="15"/>
        <v>0</v>
      </c>
      <c r="AY28" s="170">
        <f t="shared" ca="1" si="15"/>
        <v>0</v>
      </c>
      <c r="AZ28" s="170">
        <f t="shared" ca="1" si="60"/>
        <v>0</v>
      </c>
      <c r="BA28" s="179">
        <f t="shared" ca="1" si="16"/>
        <v>0</v>
      </c>
      <c r="BB28" s="170">
        <f ca="1">AZ28*'Cap Table'!AM$62</f>
        <v>0</v>
      </c>
      <c r="BC28" s="173">
        <f ca="1">IFERROR(IF(OR(AL28='Cap Table'!$B$40,AL28='Cap Table'!$B$41,AL28='Cap Table'!$B$42),IF(SUM(AN28,S28)&lt;SUM(AM28,R28),FV(MAX(AQ28,V28)/1,DATEDIF(AK28,'Cap Table'!$AM$60,"y"),0,-MAX(AM28,R28))/(MAX(AP28,U28)/'Cap Table'!$AM$61),AZ28),AZ28),0)</f>
        <v>0</v>
      </c>
      <c r="BD28" s="179">
        <f t="shared" ca="1" si="17"/>
        <v>0</v>
      </c>
      <c r="BF28" s="168">
        <f ca="1">BH$60</f>
        <v>44634</v>
      </c>
      <c r="BG28" s="168" t="s">
        <v>448</v>
      </c>
      <c r="BH28" s="170">
        <v>0</v>
      </c>
      <c r="BI28" s="170">
        <f>IF('Cap Table'!BH$79&lt;&gt;"na",IF(AL28='Cap Table'!$B$40,AM28-AN28,0),0)</f>
        <v>0</v>
      </c>
      <c r="BJ28" s="179">
        <v>0</v>
      </c>
      <c r="BK28" s="150">
        <v>0</v>
      </c>
      <c r="BL28" s="180">
        <v>0</v>
      </c>
      <c r="BM28" s="170">
        <f ca="1">FV(BL28/1,DATEDIF(BF28,'Cap Table'!BH$60,"y"),0,-BI28)</f>
        <v>0</v>
      </c>
      <c r="BN28" s="170">
        <f t="shared" ca="1" si="91"/>
        <v>0</v>
      </c>
      <c r="BO28" s="170">
        <f t="shared" ca="1" si="21"/>
        <v>0</v>
      </c>
      <c r="BP28" s="149">
        <f ca="1">IF(AND('Cap Table'!BH$62=0,BM28&gt;0),BK28/'Cap Table'!BH$61,IFERROR(IF(BK28=0,'Cap Table'!BH$62*(1-BJ28),MIN('Cap Table'!BH$62*(1-BJ28),BK28/'Cap Table'!BH$61)),0))</f>
        <v>0</v>
      </c>
      <c r="BQ28" s="170">
        <f t="shared" ca="1" si="81"/>
        <v>0</v>
      </c>
      <c r="BR28" s="170">
        <f ca="1">-BR27+'Cap Table'!BH85+'Cap Table'!BH86</f>
        <v>0</v>
      </c>
      <c r="BS28" s="170">
        <f t="shared" ca="1" si="22"/>
        <v>0</v>
      </c>
      <c r="BT28" s="170">
        <f t="shared" ca="1" si="22"/>
        <v>0</v>
      </c>
      <c r="BU28" s="170">
        <f t="shared" ca="1" si="63"/>
        <v>0</v>
      </c>
      <c r="BV28" s="179">
        <f t="shared" ca="1" si="23"/>
        <v>0</v>
      </c>
      <c r="BW28" s="170">
        <f ca="1">BU28*'Cap Table'!BH$62</f>
        <v>0</v>
      </c>
      <c r="BX28" s="173">
        <f ca="1">IFERROR(IF(OR(BG28='Cap Table'!$B$40,BG28='Cap Table'!$B$41,BG28='Cap Table'!$B$42),IF(SUM(BI28,AN28,S28)&lt;SUM(BH28,AM28,R28),FV(MAX(BL28,AQ28,V28)/1,DATEDIF(BF28,'Cap Table'!$BH$60,"y"),0,-MAX(BH28,AM28,R28))/(MAX(BK28,AP28,U28)/'Cap Table'!$BH$61),BU28),BU28),0)</f>
        <v>0</v>
      </c>
      <c r="BY28" s="179">
        <f t="shared" ca="1" si="24"/>
        <v>0</v>
      </c>
      <c r="CA28" s="168">
        <f ca="1">CC$60</f>
        <v>44999</v>
      </c>
      <c r="CB28" s="168" t="s">
        <v>448</v>
      </c>
      <c r="CC28" s="170">
        <v>0</v>
      </c>
      <c r="CD28" s="170">
        <f>IF('Cap Table'!CC$79&lt;&gt;"na",IF(BG28='Cap Table'!$B$40,BH28-BI28,0),0)</f>
        <v>0</v>
      </c>
      <c r="CE28" s="179">
        <v>0</v>
      </c>
      <c r="CF28" s="150">
        <v>0</v>
      </c>
      <c r="CG28" s="180">
        <v>0</v>
      </c>
      <c r="CH28" s="170">
        <f ca="1">FV(CG28/1,DATEDIF(CA28,'Cap Table'!CC$60,"y"),0,-CD28)</f>
        <v>0</v>
      </c>
      <c r="CI28" s="170">
        <f t="shared" ca="1" si="92"/>
        <v>0</v>
      </c>
      <c r="CJ28" s="170">
        <f t="shared" ca="1" si="28"/>
        <v>0</v>
      </c>
      <c r="CK28" s="149">
        <f ca="1">IF(AND('Cap Table'!CC$62=0,CH28&gt;0),CF28/'Cap Table'!CC$61,IFERROR(IF(CF28=0,'Cap Table'!CC$62*(1-CE28),MIN('Cap Table'!CC$62*(1-CE28),CF28/'Cap Table'!CC$61)),0))</f>
        <v>0</v>
      </c>
      <c r="CL28" s="170">
        <f t="shared" ca="1" si="82"/>
        <v>0</v>
      </c>
      <c r="CM28" s="170">
        <f ca="1">-CM27+'Cap Table'!CC85+'Cap Table'!CC86</f>
        <v>0</v>
      </c>
      <c r="CN28" s="170">
        <f t="shared" ca="1" si="29"/>
        <v>0</v>
      </c>
      <c r="CO28" s="170">
        <f t="shared" ca="1" si="29"/>
        <v>0</v>
      </c>
      <c r="CP28" s="170">
        <f t="shared" ca="1" si="66"/>
        <v>0</v>
      </c>
      <c r="CQ28" s="147">
        <f t="shared" ca="1" si="30"/>
        <v>0</v>
      </c>
      <c r="CR28" s="146">
        <f ca="1">CP28*'Cap Table'!CC$62</f>
        <v>0</v>
      </c>
      <c r="CS28" s="173">
        <f ca="1">IFERROR(IF(OR(CB28='Cap Table'!$B$40,CB28='Cap Table'!$B$41,CB28='Cap Table'!$B$42),IF(SUM(CD28,BI28,AN28,S28)&lt;SUM(CC28,BH28,AM28,R28),FV(MAX(CG28,BL28,AQ28,V28)/1,DATEDIF(CA28,'Cap Table'!$CC$60,"y"),0,-MAX(CC28,BH28,AM28,R28))/(MAX(CF28,BK28,AP28,U28)/'Cap Table'!$CC$61),CP28),CP28),0)</f>
        <v>0</v>
      </c>
      <c r="CT28" s="179">
        <f t="shared" ca="1" si="31"/>
        <v>0</v>
      </c>
      <c r="CV28" s="168">
        <f ca="1">CX$60</f>
        <v>45365</v>
      </c>
      <c r="CW28" s="168" t="s">
        <v>448</v>
      </c>
      <c r="CX28" s="170">
        <v>0</v>
      </c>
      <c r="CY28" s="170">
        <f>IF('Cap Table'!CX$79&lt;&gt;"na",IF(CB28='Cap Table'!$B$40,CC28-CD28,0),0)</f>
        <v>0</v>
      </c>
      <c r="CZ28" s="179">
        <v>0</v>
      </c>
      <c r="DA28" s="150">
        <v>0</v>
      </c>
      <c r="DB28" s="180">
        <v>0</v>
      </c>
      <c r="DC28" s="170">
        <f ca="1">FV(DB28/1,DATEDIF(CV28,'Cap Table'!CX$60,"y"),0,-CY28)</f>
        <v>0</v>
      </c>
      <c r="DD28" s="170">
        <f t="shared" ca="1" si="93"/>
        <v>0</v>
      </c>
      <c r="DE28" s="170">
        <f t="shared" ca="1" si="35"/>
        <v>0</v>
      </c>
      <c r="DF28" s="149">
        <f ca="1">IF(AND('Cap Table'!CX$62=0,DC28&gt;0),DA28/'Cap Table'!CX$61,IFERROR(IF(DA28=0,'Cap Table'!CX$62*(1-CZ28),MIN('Cap Table'!CX$62*(1-CZ28),DA28/'Cap Table'!CX$61)),0))</f>
        <v>0</v>
      </c>
      <c r="DG28" s="170">
        <f t="shared" ca="1" si="83"/>
        <v>0</v>
      </c>
      <c r="DH28" s="170">
        <f ca="1">-DH27+'Cap Table'!CX85+'Cap Table'!CX86</f>
        <v>0</v>
      </c>
      <c r="DI28" s="170">
        <f t="shared" ca="1" si="36"/>
        <v>0</v>
      </c>
      <c r="DJ28" s="170">
        <f t="shared" ca="1" si="36"/>
        <v>0</v>
      </c>
      <c r="DK28" s="170">
        <f t="shared" ca="1" si="69"/>
        <v>0</v>
      </c>
      <c r="DL28" s="179">
        <f t="shared" ca="1" si="37"/>
        <v>0</v>
      </c>
      <c r="DM28" s="146">
        <f ca="1">DK28*'Cap Table'!CX$62</f>
        <v>0</v>
      </c>
      <c r="DN28" s="173">
        <f ca="1">IFERROR(IF(OR(CW28='Cap Table'!$B$40,CW28='Cap Table'!$B$41,CW28='Cap Table'!$B$42),IF(SUM(CY28,CD28,BI28,AN28,S28,)&lt;SUM(CX28,CC28,BH28,AM28,R28),FV(MAX(DB28,CG28,BL28,AQ28,V28)/1,DATEDIF(CV28,'Cap Table'!$CX$60,"y"),0,-MAX(CX28,CC28,BH28,AM28,R28))/(MAX(DA28,CF28,BK28,AP28,U28,)/'Cap Table'!$CX$61),DK28),DK28),0)</f>
        <v>0</v>
      </c>
      <c r="DO28" s="179">
        <f t="shared" ca="1" si="38"/>
        <v>0</v>
      </c>
      <c r="DQ28" s="168">
        <f ca="1">DS$60</f>
        <v>45730</v>
      </c>
      <c r="DR28" s="168" t="s">
        <v>448</v>
      </c>
      <c r="DS28" s="170">
        <v>0</v>
      </c>
      <c r="DT28" s="170">
        <f>IF('Cap Table'!DS$79&lt;&gt;"na",IF(CW28='Cap Table'!$B$40,CX28-CY28,0),0)</f>
        <v>0</v>
      </c>
      <c r="DU28" s="179">
        <v>0</v>
      </c>
      <c r="DV28" s="150">
        <v>0</v>
      </c>
      <c r="DW28" s="180">
        <v>0</v>
      </c>
      <c r="DX28" s="170">
        <f ca="1">FV(DW28/1,DATEDIF(DQ28,'Cap Table'!DS$60,"y"),0,-DT28)</f>
        <v>0</v>
      </c>
      <c r="DY28" s="170">
        <f t="shared" ca="1" si="94"/>
        <v>0</v>
      </c>
      <c r="DZ28" s="170">
        <f t="shared" ca="1" si="42"/>
        <v>0</v>
      </c>
      <c r="EA28" s="149">
        <f ca="1">IF(AND('Cap Table'!DS$62=0,DX28&gt;0),DV28/'Cap Table'!DS$61,IFERROR(IF(DV28=0,'Cap Table'!DS$62*(1-DU28),MIN('Cap Table'!DS$62*(1-DU28),DV28/'Cap Table'!DS$61)),0))</f>
        <v>0</v>
      </c>
      <c r="EB28" s="170">
        <f t="shared" ca="1" si="84"/>
        <v>0</v>
      </c>
      <c r="EC28" s="170">
        <f ca="1">-EC27+'Cap Table'!DS85+'Cap Table'!DS86</f>
        <v>0</v>
      </c>
      <c r="ED28" s="170">
        <f t="shared" ca="1" si="72"/>
        <v>0</v>
      </c>
      <c r="EE28" s="170">
        <f ca="1">EC28+DJ28</f>
        <v>0</v>
      </c>
      <c r="EF28" s="170">
        <f t="shared" ca="1" si="73"/>
        <v>0</v>
      </c>
      <c r="EG28" s="179">
        <f t="shared" ca="1" si="44"/>
        <v>0</v>
      </c>
      <c r="EH28" s="170">
        <f ca="1">EF28*'Cap Table'!DS$62</f>
        <v>0</v>
      </c>
      <c r="EI28" s="173">
        <f ca="1">IFERROR(IF(OR(DR28='Cap Table'!$B$40,DR28='Cap Table'!$B$41,DR28='Cap Table'!$B$42),IF(SUM(DT28,CY28,CD28,BI28,AN28,S28)&lt;SUM(DS28,CX28,CC28,BH28,AM28,R28),FV(MAX(DW28,DB28,CG28,BL28,AQ28,V28)/1,DATEDIF(DQ28,'Cap Table'!DS$60,"y"),0,-MAX(DS28,CX28,CC28,BH28,AM28,R28))/(MAX(DV28,DA28,CF28,BK28,AP28,U28)/'Cap Table'!$DS$61),EF28),EF28),0)</f>
        <v>0</v>
      </c>
      <c r="EJ28" s="179">
        <f t="shared" ca="1" si="45"/>
        <v>0</v>
      </c>
      <c r="EL28" s="146">
        <f t="shared" si="74"/>
        <v>0</v>
      </c>
      <c r="EM28" s="146">
        <f t="shared" si="74"/>
        <v>0</v>
      </c>
      <c r="EN28" s="174" t="s">
        <v>27</v>
      </c>
      <c r="EO28" s="174" t="s">
        <v>27</v>
      </c>
      <c r="EP28" s="174" t="s">
        <v>27</v>
      </c>
      <c r="EQ28" s="146">
        <f t="shared" ca="1" si="75"/>
        <v>0</v>
      </c>
      <c r="ER28" s="146">
        <f t="shared" ca="1" si="75"/>
        <v>0</v>
      </c>
      <c r="ES28" s="146">
        <f t="shared" ca="1" si="75"/>
        <v>0</v>
      </c>
      <c r="ET28" s="149">
        <f t="shared" ca="1" si="89"/>
        <v>0</v>
      </c>
      <c r="EU28" s="146">
        <f t="shared" ca="1" si="76"/>
        <v>0</v>
      </c>
      <c r="EV28" s="146">
        <f t="shared" ca="1" si="76"/>
        <v>0</v>
      </c>
      <c r="EW28" s="146">
        <f t="shared" ca="1" si="77"/>
        <v>0</v>
      </c>
      <c r="EX28" s="146">
        <f t="shared" ca="1" si="77"/>
        <v>0</v>
      </c>
      <c r="EY28" s="146">
        <f t="shared" ca="1" si="77"/>
        <v>0</v>
      </c>
      <c r="EZ28" s="147">
        <f t="shared" ca="1" si="46"/>
        <v>0</v>
      </c>
      <c r="FA28" s="146">
        <f t="shared" ca="1" si="78"/>
        <v>0</v>
      </c>
      <c r="FB28" s="146">
        <f t="shared" ca="1" si="78"/>
        <v>0</v>
      </c>
      <c r="FC28" s="147">
        <f t="shared" ca="1" si="47"/>
        <v>0</v>
      </c>
      <c r="FE28" s="149" t="str">
        <f t="shared" si="0"/>
        <v>Options</v>
      </c>
      <c r="FF28" s="146">
        <f t="shared" ca="1" si="48"/>
        <v>0</v>
      </c>
      <c r="FG28" s="146">
        <f t="shared" ca="1" si="49"/>
        <v>0</v>
      </c>
      <c r="FH28" s="146">
        <f t="shared" ca="1" si="50"/>
        <v>0</v>
      </c>
      <c r="FJ28" s="146" t="str">
        <f t="shared" si="51"/>
        <v>Options</v>
      </c>
      <c r="FK28" s="174" t="str">
        <f t="shared" ca="1" si="52"/>
        <v>na</v>
      </c>
      <c r="FL28" s="174" t="str">
        <f t="shared" ca="1" si="52"/>
        <v>na</v>
      </c>
      <c r="FM28" s="174" t="str">
        <f t="shared" ca="1" si="53"/>
        <v>na</v>
      </c>
    </row>
    <row r="29" spans="2:169">
      <c r="B29" s="176" t="s">
        <v>20</v>
      </c>
      <c r="C29" s="176"/>
      <c r="D29" s="151"/>
      <c r="E29" s="182"/>
      <c r="G29" s="182"/>
      <c r="H29" s="182"/>
      <c r="I29" s="183">
        <f t="shared" ref="I29:N29" si="95">SUM(I6:I28)</f>
        <v>0</v>
      </c>
      <c r="J29" s="183">
        <f t="shared" si="95"/>
        <v>0</v>
      </c>
      <c r="K29" s="183">
        <f t="shared" si="95"/>
        <v>0</v>
      </c>
      <c r="L29" s="152">
        <f t="shared" si="95"/>
        <v>0</v>
      </c>
      <c r="M29" s="183">
        <f t="shared" si="95"/>
        <v>0</v>
      </c>
      <c r="N29" s="152">
        <f t="shared" si="95"/>
        <v>0</v>
      </c>
      <c r="O29" s="148"/>
      <c r="P29" s="182"/>
      <c r="Q29" s="182"/>
      <c r="R29" s="183">
        <f>SUM(R6:R28)</f>
        <v>0</v>
      </c>
      <c r="S29" s="183">
        <f>SUM(S6:S28)</f>
        <v>0</v>
      </c>
      <c r="T29" s="151"/>
      <c r="U29" s="151"/>
      <c r="V29" s="151"/>
      <c r="W29" s="183">
        <f ca="1">SUM(W6:W28)</f>
        <v>0</v>
      </c>
      <c r="X29" s="183">
        <f ca="1">SUM(X6:X28)</f>
        <v>0</v>
      </c>
      <c r="Y29" s="183">
        <f ca="1">SUM(Y6:Y28)</f>
        <v>0</v>
      </c>
      <c r="Z29" s="151">
        <f ca="1">IFERROR(Y29/AA29,0)</f>
        <v>0</v>
      </c>
      <c r="AA29" s="183">
        <f t="shared" ref="AA29:AI29" ca="1" si="96">SUM(AA6:AA28)</f>
        <v>0</v>
      </c>
      <c r="AB29" s="183">
        <f t="shared" ca="1" si="96"/>
        <v>0</v>
      </c>
      <c r="AC29" s="183">
        <f t="shared" ca="1" si="96"/>
        <v>0</v>
      </c>
      <c r="AD29" s="183">
        <f t="shared" ca="1" si="96"/>
        <v>0</v>
      </c>
      <c r="AE29" s="183">
        <f t="shared" ca="1" si="96"/>
        <v>0</v>
      </c>
      <c r="AF29" s="152">
        <f t="shared" ca="1" si="96"/>
        <v>0</v>
      </c>
      <c r="AG29" s="183">
        <f t="shared" ca="1" si="96"/>
        <v>0</v>
      </c>
      <c r="AH29" s="183">
        <f t="shared" ca="1" si="96"/>
        <v>0</v>
      </c>
      <c r="AI29" s="152">
        <f t="shared" ca="1" si="96"/>
        <v>0</v>
      </c>
      <c r="AK29" s="182"/>
      <c r="AL29" s="182"/>
      <c r="AM29" s="183">
        <f>SUM(AM6:AM28)</f>
        <v>0</v>
      </c>
      <c r="AN29" s="183">
        <f>SUM(AN6:AN28)</f>
        <v>0</v>
      </c>
      <c r="AO29" s="151"/>
      <c r="AP29" s="151"/>
      <c r="AQ29" s="151"/>
      <c r="AR29" s="183">
        <f ca="1">SUM(AR6:AR28)</f>
        <v>0</v>
      </c>
      <c r="AS29" s="183">
        <f ca="1">SUM(AS6:AS28)</f>
        <v>0</v>
      </c>
      <c r="AT29" s="183">
        <f ca="1">SUM(AT6:AT28)</f>
        <v>0</v>
      </c>
      <c r="AU29" s="151">
        <f ca="1">IFERROR(AT29/AV29,0)</f>
        <v>0</v>
      </c>
      <c r="AV29" s="183">
        <f t="shared" ref="AV29:BD29" ca="1" si="97">SUM(AV6:AV28)</f>
        <v>0</v>
      </c>
      <c r="AW29" s="183">
        <f t="shared" ca="1" si="97"/>
        <v>0</v>
      </c>
      <c r="AX29" s="183">
        <f t="shared" ca="1" si="97"/>
        <v>0</v>
      </c>
      <c r="AY29" s="183">
        <f t="shared" ca="1" si="97"/>
        <v>0</v>
      </c>
      <c r="AZ29" s="183">
        <f t="shared" ca="1" si="97"/>
        <v>0</v>
      </c>
      <c r="BA29" s="152">
        <f t="shared" ca="1" si="97"/>
        <v>0</v>
      </c>
      <c r="BB29" s="183">
        <f t="shared" ca="1" si="97"/>
        <v>0</v>
      </c>
      <c r="BC29" s="183">
        <f t="shared" ca="1" si="97"/>
        <v>0</v>
      </c>
      <c r="BD29" s="152">
        <f t="shared" ca="1" si="97"/>
        <v>0</v>
      </c>
      <c r="BF29" s="182"/>
      <c r="BG29" s="182"/>
      <c r="BH29" s="183">
        <f>SUM(BH6:BH28)</f>
        <v>0</v>
      </c>
      <c r="BI29" s="183">
        <f>SUM(BI6:BI28)</f>
        <v>0</v>
      </c>
      <c r="BJ29" s="151"/>
      <c r="BK29" s="151"/>
      <c r="BL29" s="151"/>
      <c r="BM29" s="183">
        <f ca="1">SUM(BM6:BM28)</f>
        <v>0</v>
      </c>
      <c r="BN29" s="183">
        <f ca="1">SUM(BN6:BN28)</f>
        <v>0</v>
      </c>
      <c r="BO29" s="183">
        <f ca="1">SUM(BO6:BO28)</f>
        <v>0</v>
      </c>
      <c r="BP29" s="151">
        <f ca="1">IFERROR(BO29/BQ29,0)</f>
        <v>0</v>
      </c>
      <c r="BQ29" s="183">
        <f t="shared" ref="BQ29:BY29" ca="1" si="98">SUM(BQ6:BQ28)</f>
        <v>0</v>
      </c>
      <c r="BR29" s="183">
        <f t="shared" ca="1" si="98"/>
        <v>0</v>
      </c>
      <c r="BS29" s="183">
        <f t="shared" ca="1" si="98"/>
        <v>0</v>
      </c>
      <c r="BT29" s="183">
        <f t="shared" ca="1" si="98"/>
        <v>0</v>
      </c>
      <c r="BU29" s="183">
        <f t="shared" ca="1" si="98"/>
        <v>0</v>
      </c>
      <c r="BV29" s="152">
        <f t="shared" ca="1" si="98"/>
        <v>0</v>
      </c>
      <c r="BW29" s="183">
        <f t="shared" ca="1" si="98"/>
        <v>0</v>
      </c>
      <c r="BX29" s="183">
        <f t="shared" ca="1" si="98"/>
        <v>0</v>
      </c>
      <c r="BY29" s="152">
        <f t="shared" ca="1" si="98"/>
        <v>0</v>
      </c>
      <c r="CA29" s="182"/>
      <c r="CB29" s="182"/>
      <c r="CC29" s="183">
        <f>SUM(CC6:CC28)</f>
        <v>0</v>
      </c>
      <c r="CD29" s="183">
        <f>SUM(CD6:CD28)</f>
        <v>0</v>
      </c>
      <c r="CE29" s="151"/>
      <c r="CF29" s="151"/>
      <c r="CG29" s="151"/>
      <c r="CH29" s="183">
        <f ca="1">SUM(CH6:CH28)</f>
        <v>0</v>
      </c>
      <c r="CI29" s="183">
        <f ca="1">SUM(CI6:CI28)</f>
        <v>0</v>
      </c>
      <c r="CJ29" s="183">
        <f ca="1">SUM(CJ6:CJ28)</f>
        <v>0</v>
      </c>
      <c r="CK29" s="151">
        <f ca="1">IFERROR(CJ29/CL29,0)</f>
        <v>0</v>
      </c>
      <c r="CL29" s="183">
        <f t="shared" ref="CL29:CT29" ca="1" si="99">SUM(CL6:CL28)</f>
        <v>0</v>
      </c>
      <c r="CM29" s="183">
        <f t="shared" ca="1" si="99"/>
        <v>0</v>
      </c>
      <c r="CN29" s="183">
        <f t="shared" ca="1" si="99"/>
        <v>0</v>
      </c>
      <c r="CO29" s="183">
        <f t="shared" ca="1" si="99"/>
        <v>0</v>
      </c>
      <c r="CP29" s="183">
        <f t="shared" ca="1" si="99"/>
        <v>0</v>
      </c>
      <c r="CQ29" s="152">
        <f t="shared" ca="1" si="99"/>
        <v>0</v>
      </c>
      <c r="CR29" s="183">
        <f t="shared" ca="1" si="99"/>
        <v>0</v>
      </c>
      <c r="CS29" s="183">
        <f t="shared" ca="1" si="99"/>
        <v>0</v>
      </c>
      <c r="CT29" s="152">
        <f t="shared" ca="1" si="99"/>
        <v>0</v>
      </c>
      <c r="CV29" s="182"/>
      <c r="CW29" s="182"/>
      <c r="CX29" s="183">
        <f>SUM(CX6:CX28)</f>
        <v>0</v>
      </c>
      <c r="CY29" s="183">
        <f>SUM(CY6:CY28)</f>
        <v>0</v>
      </c>
      <c r="CZ29" s="151"/>
      <c r="DA29" s="151"/>
      <c r="DB29" s="151"/>
      <c r="DC29" s="183">
        <f ca="1">SUM(DC6:DC28)</f>
        <v>0</v>
      </c>
      <c r="DD29" s="183">
        <f ca="1">SUM(DD6:DD28)</f>
        <v>0</v>
      </c>
      <c r="DE29" s="183">
        <f ca="1">SUM(DE6:DE28)</f>
        <v>0</v>
      </c>
      <c r="DF29" s="151">
        <f ca="1">IFERROR(DE29/DG29,0)</f>
        <v>0</v>
      </c>
      <c r="DG29" s="183">
        <f t="shared" ref="DG29:DO29" ca="1" si="100">SUM(DG6:DG28)</f>
        <v>0</v>
      </c>
      <c r="DH29" s="183">
        <f t="shared" ca="1" si="100"/>
        <v>0</v>
      </c>
      <c r="DI29" s="183">
        <f t="shared" ca="1" si="100"/>
        <v>0</v>
      </c>
      <c r="DJ29" s="183">
        <f t="shared" ca="1" si="100"/>
        <v>0</v>
      </c>
      <c r="DK29" s="183">
        <f t="shared" ca="1" si="100"/>
        <v>0</v>
      </c>
      <c r="DL29" s="152">
        <f t="shared" ca="1" si="100"/>
        <v>0</v>
      </c>
      <c r="DM29" s="183">
        <f t="shared" ca="1" si="100"/>
        <v>0</v>
      </c>
      <c r="DN29" s="183">
        <f t="shared" ca="1" si="100"/>
        <v>0</v>
      </c>
      <c r="DO29" s="152">
        <f t="shared" ca="1" si="100"/>
        <v>0</v>
      </c>
      <c r="DQ29" s="182"/>
      <c r="DR29" s="182"/>
      <c r="DS29" s="183">
        <f>SUM(DS6:DS28)</f>
        <v>0</v>
      </c>
      <c r="DT29" s="183">
        <f>SUM(DT6:DT28)</f>
        <v>0</v>
      </c>
      <c r="DU29" s="151"/>
      <c r="DV29" s="151"/>
      <c r="DW29" s="151"/>
      <c r="DX29" s="183">
        <f ca="1">SUM(DX6:DX28)</f>
        <v>0</v>
      </c>
      <c r="DY29" s="183">
        <f ca="1">SUM(DY6:DY28)</f>
        <v>0</v>
      </c>
      <c r="DZ29" s="183">
        <f ca="1">SUM(DZ6:DZ28)</f>
        <v>0</v>
      </c>
      <c r="EA29" s="151">
        <f ca="1">IFERROR(DZ29/EB29,0)</f>
        <v>0</v>
      </c>
      <c r="EB29" s="183">
        <f t="shared" ref="EB29:EJ29" ca="1" si="101">SUM(EB6:EB28)</f>
        <v>0</v>
      </c>
      <c r="EC29" s="183">
        <f t="shared" ca="1" si="101"/>
        <v>0</v>
      </c>
      <c r="ED29" s="183">
        <f t="shared" ca="1" si="101"/>
        <v>0</v>
      </c>
      <c r="EE29" s="183">
        <f t="shared" ca="1" si="101"/>
        <v>0</v>
      </c>
      <c r="EF29" s="183">
        <f t="shared" ca="1" si="101"/>
        <v>0</v>
      </c>
      <c r="EG29" s="152">
        <f t="shared" ca="1" si="101"/>
        <v>0</v>
      </c>
      <c r="EH29" s="183">
        <f t="shared" ca="1" si="101"/>
        <v>0</v>
      </c>
      <c r="EI29" s="183">
        <f t="shared" ca="1" si="101"/>
        <v>0</v>
      </c>
      <c r="EJ29" s="152">
        <f t="shared" ca="1" si="101"/>
        <v>0</v>
      </c>
      <c r="EL29" s="183">
        <f>SUM(EL6:EL28)</f>
        <v>0</v>
      </c>
      <c r="EM29" s="183">
        <f>SUM(EM6:EM28)</f>
        <v>0</v>
      </c>
      <c r="EN29" s="151"/>
      <c r="EO29" s="151"/>
      <c r="EP29" s="151"/>
      <c r="EQ29" s="183">
        <f ca="1">SUM(EQ6:EQ28)</f>
        <v>0</v>
      </c>
      <c r="ER29" s="183">
        <f ca="1">SUM(ER6:ER28)</f>
        <v>0</v>
      </c>
      <c r="ES29" s="183">
        <f ca="1">SUM(ES6:ES28)</f>
        <v>0</v>
      </c>
      <c r="ET29" s="151">
        <f t="shared" ca="1" si="89"/>
        <v>0</v>
      </c>
      <c r="EU29" s="183">
        <f ca="1">SUM(EU6:EU28)</f>
        <v>0</v>
      </c>
      <c r="EV29" s="183">
        <f ca="1">SUM(EV6:EV28)</f>
        <v>0</v>
      </c>
      <c r="EW29" s="183">
        <f ca="1">SUM(EW6:EW28)</f>
        <v>0</v>
      </c>
      <c r="EX29" s="183">
        <f ca="1">SUM(EX6:EX28)</f>
        <v>0</v>
      </c>
      <c r="EY29" s="183">
        <f ca="1">SUM(EY6:EY28)</f>
        <v>0</v>
      </c>
      <c r="EZ29" s="152">
        <f t="shared" ca="1" si="46"/>
        <v>0</v>
      </c>
      <c r="FA29" s="183">
        <f ca="1">SUM(FA6:FA28)</f>
        <v>0</v>
      </c>
      <c r="FB29" s="183">
        <f ca="1">SUM(FB6:FB28)</f>
        <v>0</v>
      </c>
      <c r="FC29" s="152">
        <f t="shared" ca="1" si="47"/>
        <v>0</v>
      </c>
      <c r="FF29" s="183">
        <f ca="1">SUM(FF6:FF28)</f>
        <v>0</v>
      </c>
      <c r="FG29" s="183">
        <f ca="1">SUM(FG6:FG28)</f>
        <v>0</v>
      </c>
      <c r="FH29" s="183">
        <f ca="1">SUM(FH6:FH28)</f>
        <v>0</v>
      </c>
      <c r="FK29" s="183">
        <f ca="1">SUM(FK6:FK28)</f>
        <v>0</v>
      </c>
      <c r="FL29" s="183">
        <f ca="1">SUM(FL6:FL28)</f>
        <v>0</v>
      </c>
      <c r="FM29" s="183">
        <f ca="1">SUM(FM6:FM28)</f>
        <v>0</v>
      </c>
    </row>
    <row r="30" spans="2:169">
      <c r="B30" s="176"/>
      <c r="C30" s="176"/>
      <c r="D30" s="176"/>
      <c r="BF30" s="155"/>
      <c r="BG30" s="155"/>
      <c r="CA30" s="155"/>
      <c r="CB30" s="155"/>
      <c r="CV30" s="155"/>
      <c r="CW30" s="155"/>
      <c r="DQ30" s="155"/>
      <c r="DR30" s="155"/>
    </row>
    <row r="31" spans="2:169">
      <c r="B31" s="184" t="str">
        <f>'Cap Table'!D61&amp;" Class"</f>
        <v>Share Class</v>
      </c>
      <c r="C31" s="176"/>
      <c r="D31" s="176"/>
      <c r="BF31" s="155"/>
      <c r="BG31" s="155"/>
      <c r="CA31" s="155"/>
      <c r="CB31" s="155"/>
      <c r="CV31" s="155"/>
      <c r="CW31" s="155"/>
      <c r="DQ31" s="155"/>
      <c r="DR31" s="155"/>
    </row>
    <row r="32" spans="2:169">
      <c r="B32" s="185" t="s">
        <v>21</v>
      </c>
      <c r="C32" s="176"/>
      <c r="D32" s="177" t="s">
        <v>27</v>
      </c>
      <c r="E32" s="177" t="str">
        <f>B32</f>
        <v>Common</v>
      </c>
      <c r="G32" s="155" t="s">
        <v>27</v>
      </c>
      <c r="H32" s="155" t="s">
        <v>27</v>
      </c>
      <c r="I32" s="186">
        <f t="shared" ref="I32:K35" si="102">SUMIFS(I$6:I$28,$E$6:$E$28,$B32)</f>
        <v>0</v>
      </c>
      <c r="J32" s="186">
        <f t="shared" si="102"/>
        <v>0</v>
      </c>
      <c r="K32" s="186">
        <f t="shared" si="102"/>
        <v>0</v>
      </c>
      <c r="L32" s="147">
        <f>IFERROR(K32/K$29,0)</f>
        <v>0</v>
      </c>
      <c r="M32" s="186">
        <f>SUMIFS(M$6:M$28,$E$6:$E$28,$B32)</f>
        <v>0</v>
      </c>
      <c r="N32" s="147">
        <f>IFERROR(M32/M$29,0)</f>
        <v>0</v>
      </c>
      <c r="P32" s="155" t="s">
        <v>27</v>
      </c>
      <c r="Q32" s="155" t="s">
        <v>27</v>
      </c>
      <c r="R32" s="186">
        <f t="shared" ref="R32:S35" si="103">SUMIFS(R$6:R$28,$E$6:$E$28,$B32)</f>
        <v>0</v>
      </c>
      <c r="S32" s="186">
        <f t="shared" si="103"/>
        <v>0</v>
      </c>
      <c r="T32" s="187" t="s">
        <v>27</v>
      </c>
      <c r="U32" s="187" t="s">
        <v>27</v>
      </c>
      <c r="V32" s="187" t="s">
        <v>27</v>
      </c>
      <c r="W32" s="186">
        <f t="shared" ref="W32:Y35" ca="1" si="104">SUMIFS(W$6:W$28,$E$6:$E$28,$B32)</f>
        <v>0</v>
      </c>
      <c r="X32" s="186">
        <f t="shared" ca="1" si="104"/>
        <v>0</v>
      </c>
      <c r="Y32" s="186">
        <f t="shared" ca="1" si="104"/>
        <v>0</v>
      </c>
      <c r="Z32" s="149">
        <f ca="1">IFERROR(Y32/AA32,0)</f>
        <v>0</v>
      </c>
      <c r="AA32" s="186">
        <f t="shared" ref="AA32:AE35" ca="1" si="105">SUMIFS(AA$6:AA$28,$E$6:$E$28,$B32)</f>
        <v>0</v>
      </c>
      <c r="AB32" s="186">
        <f t="shared" si="105"/>
        <v>0</v>
      </c>
      <c r="AC32" s="186">
        <f t="shared" ca="1" si="105"/>
        <v>0</v>
      </c>
      <c r="AD32" s="186">
        <f t="shared" si="105"/>
        <v>0</v>
      </c>
      <c r="AE32" s="186">
        <f t="shared" ca="1" si="105"/>
        <v>0</v>
      </c>
      <c r="AF32" s="147">
        <f ca="1">IFERROR(AE32/AE$29,0)</f>
        <v>0</v>
      </c>
      <c r="AG32" s="186">
        <f t="shared" ref="AG32:AH35" ca="1" si="106">SUMIFS(AG$6:AG$28,$E$6:$E$28,$B32)</f>
        <v>0</v>
      </c>
      <c r="AH32" s="186">
        <f t="shared" ca="1" si="106"/>
        <v>0</v>
      </c>
      <c r="AI32" s="147">
        <f ca="1">IFERROR(AH32/AH$29,0)</f>
        <v>0</v>
      </c>
      <c r="AK32" s="155" t="s">
        <v>27</v>
      </c>
      <c r="AL32" s="155" t="s">
        <v>27</v>
      </c>
      <c r="AM32" s="186">
        <f t="shared" ref="AM32:AN35" si="107">SUMIFS(AM$6:AM$28,$E$6:$E$28,$B32)</f>
        <v>0</v>
      </c>
      <c r="AN32" s="186">
        <f t="shared" si="107"/>
        <v>0</v>
      </c>
      <c r="AO32" s="187" t="s">
        <v>27</v>
      </c>
      <c r="AP32" s="187" t="s">
        <v>27</v>
      </c>
      <c r="AQ32" s="187" t="s">
        <v>27</v>
      </c>
      <c r="AR32" s="186">
        <f t="shared" ref="AR32:AT35" ca="1" si="108">SUMIFS(AR$6:AR$28,$E$6:$E$28,$B32)</f>
        <v>0</v>
      </c>
      <c r="AS32" s="186">
        <f t="shared" ca="1" si="108"/>
        <v>0</v>
      </c>
      <c r="AT32" s="186">
        <f t="shared" ca="1" si="108"/>
        <v>0</v>
      </c>
      <c r="AU32" s="149">
        <f ca="1">IFERROR(AT32/AV32,0)</f>
        <v>0</v>
      </c>
      <c r="AV32" s="186">
        <f t="shared" ref="AV32:AZ35" ca="1" si="109">SUMIFS(AV$6:AV$28,$E$6:$E$28,$B32)</f>
        <v>0</v>
      </c>
      <c r="AW32" s="186">
        <f t="shared" si="109"/>
        <v>0</v>
      </c>
      <c r="AX32" s="186">
        <f t="shared" ca="1" si="109"/>
        <v>0</v>
      </c>
      <c r="AY32" s="186">
        <f t="shared" si="109"/>
        <v>0</v>
      </c>
      <c r="AZ32" s="186">
        <f t="shared" ca="1" si="109"/>
        <v>0</v>
      </c>
      <c r="BA32" s="147">
        <f ca="1">IFERROR(AZ32/AZ$29,0)</f>
        <v>0</v>
      </c>
      <c r="BB32" s="186">
        <f t="shared" ref="BB32:BC35" ca="1" si="110">SUMIFS(BB$6:BB$28,$E$6:$E$28,$B32)</f>
        <v>0</v>
      </c>
      <c r="BC32" s="186">
        <f t="shared" ca="1" si="110"/>
        <v>0</v>
      </c>
      <c r="BD32" s="147">
        <f ca="1">IFERROR(BC32/BC$29,0)</f>
        <v>0</v>
      </c>
      <c r="BF32" s="155" t="s">
        <v>27</v>
      </c>
      <c r="BG32" s="155" t="s">
        <v>27</v>
      </c>
      <c r="BH32" s="186">
        <f t="shared" ref="BH32:BI35" si="111">SUMIFS(BH$6:BH$28,$E$6:$E$28,$B32)</f>
        <v>0</v>
      </c>
      <c r="BI32" s="186">
        <f t="shared" si="111"/>
        <v>0</v>
      </c>
      <c r="BJ32" s="187" t="s">
        <v>27</v>
      </c>
      <c r="BK32" s="187" t="s">
        <v>27</v>
      </c>
      <c r="BL32" s="187" t="s">
        <v>27</v>
      </c>
      <c r="BM32" s="186">
        <f t="shared" ref="BM32:BO35" ca="1" si="112">SUMIFS(BM$6:BM$28,$E$6:$E$28,$B32)</f>
        <v>0</v>
      </c>
      <c r="BN32" s="186">
        <f t="shared" ca="1" si="112"/>
        <v>0</v>
      </c>
      <c r="BO32" s="186">
        <f t="shared" ca="1" si="112"/>
        <v>0</v>
      </c>
      <c r="BP32" s="149">
        <f ca="1">IFERROR(BO32/BQ32,0)</f>
        <v>0</v>
      </c>
      <c r="BQ32" s="186">
        <f t="shared" ref="BQ32:BU35" ca="1" si="113">SUMIFS(BQ$6:BQ$28,$E$6:$E$28,$B32)</f>
        <v>0</v>
      </c>
      <c r="BR32" s="186">
        <f t="shared" si="113"/>
        <v>0</v>
      </c>
      <c r="BS32" s="186">
        <f t="shared" ca="1" si="113"/>
        <v>0</v>
      </c>
      <c r="BT32" s="186">
        <f t="shared" si="113"/>
        <v>0</v>
      </c>
      <c r="BU32" s="186">
        <f t="shared" ca="1" si="113"/>
        <v>0</v>
      </c>
      <c r="BV32" s="147">
        <f ca="1">IFERROR(BU32/BU$29,0)</f>
        <v>0</v>
      </c>
      <c r="BW32" s="186">
        <f t="shared" ref="BW32:BX35" ca="1" si="114">SUMIFS(BW$6:BW$28,$E$6:$E$28,$B32)</f>
        <v>0</v>
      </c>
      <c r="BX32" s="186">
        <f t="shared" ca="1" si="114"/>
        <v>0</v>
      </c>
      <c r="BY32" s="147">
        <f ca="1">IFERROR(BX32/BX$29,0)</f>
        <v>0</v>
      </c>
      <c r="CA32" s="155" t="s">
        <v>27</v>
      </c>
      <c r="CB32" s="155" t="s">
        <v>27</v>
      </c>
      <c r="CC32" s="186">
        <f t="shared" ref="CC32:CD35" si="115">SUMIFS(CC$6:CC$28,$E$6:$E$28,$B32)</f>
        <v>0</v>
      </c>
      <c r="CD32" s="186">
        <f t="shared" si="115"/>
        <v>0</v>
      </c>
      <c r="CE32" s="187" t="s">
        <v>27</v>
      </c>
      <c r="CF32" s="187" t="s">
        <v>27</v>
      </c>
      <c r="CG32" s="187" t="s">
        <v>27</v>
      </c>
      <c r="CH32" s="186">
        <f t="shared" ref="CH32:CJ35" ca="1" si="116">SUMIFS(CH$6:CH$28,$E$6:$E$28,$B32)</f>
        <v>0</v>
      </c>
      <c r="CI32" s="186">
        <f t="shared" ca="1" si="116"/>
        <v>0</v>
      </c>
      <c r="CJ32" s="186">
        <f t="shared" ca="1" si="116"/>
        <v>0</v>
      </c>
      <c r="CK32" s="149">
        <f ca="1">IFERROR(CJ32/CL32,0)</f>
        <v>0</v>
      </c>
      <c r="CL32" s="186">
        <f t="shared" ref="CL32:CP35" ca="1" si="117">SUMIFS(CL$6:CL$28,$E$6:$E$28,$B32)</f>
        <v>0</v>
      </c>
      <c r="CM32" s="186">
        <f t="shared" si="117"/>
        <v>0</v>
      </c>
      <c r="CN32" s="186">
        <f t="shared" ca="1" si="117"/>
        <v>0</v>
      </c>
      <c r="CO32" s="186">
        <f t="shared" si="117"/>
        <v>0</v>
      </c>
      <c r="CP32" s="186">
        <f t="shared" ca="1" si="117"/>
        <v>0</v>
      </c>
      <c r="CQ32" s="147">
        <f ca="1">IFERROR(CP32/CP$29,0)</f>
        <v>0</v>
      </c>
      <c r="CR32" s="186">
        <f t="shared" ref="CR32:CS35" ca="1" si="118">SUMIFS(CR$6:CR$28,$E$6:$E$28,$B32)</f>
        <v>0</v>
      </c>
      <c r="CS32" s="186">
        <f t="shared" ca="1" si="118"/>
        <v>0</v>
      </c>
      <c r="CT32" s="147">
        <f ca="1">IFERROR(CS32/CS$29,0)</f>
        <v>0</v>
      </c>
      <c r="CV32" s="155" t="s">
        <v>27</v>
      </c>
      <c r="CW32" s="155" t="s">
        <v>27</v>
      </c>
      <c r="CX32" s="186">
        <f t="shared" ref="CX32:CY35" si="119">SUMIFS(CX$6:CX$28,$E$6:$E$28,$B32)</f>
        <v>0</v>
      </c>
      <c r="CY32" s="186">
        <f t="shared" si="119"/>
        <v>0</v>
      </c>
      <c r="CZ32" s="187" t="s">
        <v>27</v>
      </c>
      <c r="DA32" s="187" t="s">
        <v>27</v>
      </c>
      <c r="DB32" s="187" t="s">
        <v>27</v>
      </c>
      <c r="DC32" s="186">
        <f t="shared" ref="DC32:DE35" ca="1" si="120">SUMIFS(DC$6:DC$28,$E$6:$E$28,$B32)</f>
        <v>0</v>
      </c>
      <c r="DD32" s="186">
        <f t="shared" ca="1" si="120"/>
        <v>0</v>
      </c>
      <c r="DE32" s="186">
        <f t="shared" ca="1" si="120"/>
        <v>0</v>
      </c>
      <c r="DF32" s="149">
        <f ca="1">IFERROR(DE32/DG32,0)</f>
        <v>0</v>
      </c>
      <c r="DG32" s="186">
        <f t="shared" ref="DG32:DK35" ca="1" si="121">SUMIFS(DG$6:DG$28,$E$6:$E$28,$B32)</f>
        <v>0</v>
      </c>
      <c r="DH32" s="186">
        <f t="shared" si="121"/>
        <v>0</v>
      </c>
      <c r="DI32" s="186">
        <f t="shared" ca="1" si="121"/>
        <v>0</v>
      </c>
      <c r="DJ32" s="186">
        <f t="shared" si="121"/>
        <v>0</v>
      </c>
      <c r="DK32" s="186">
        <f t="shared" ca="1" si="121"/>
        <v>0</v>
      </c>
      <c r="DL32" s="147">
        <f ca="1">IFERROR(DK32/DK$29,0)</f>
        <v>0</v>
      </c>
      <c r="DM32" s="186">
        <f t="shared" ref="DM32:DN35" ca="1" si="122">SUMIFS(DM$6:DM$28,$E$6:$E$28,$B32)</f>
        <v>0</v>
      </c>
      <c r="DN32" s="186">
        <f t="shared" ca="1" si="122"/>
        <v>0</v>
      </c>
      <c r="DO32" s="147">
        <f ca="1">IFERROR(DN32/DN$29,0)</f>
        <v>0</v>
      </c>
      <c r="DQ32" s="155" t="s">
        <v>27</v>
      </c>
      <c r="DR32" s="155" t="s">
        <v>27</v>
      </c>
      <c r="DS32" s="186">
        <f t="shared" ref="DS32:DT35" si="123">SUMIFS(DS$6:DS$28,$E$6:$E$28,$B32)</f>
        <v>0</v>
      </c>
      <c r="DT32" s="186">
        <f t="shared" si="123"/>
        <v>0</v>
      </c>
      <c r="DU32" s="187" t="s">
        <v>27</v>
      </c>
      <c r="DV32" s="187" t="s">
        <v>27</v>
      </c>
      <c r="DW32" s="187" t="s">
        <v>27</v>
      </c>
      <c r="DX32" s="186">
        <f t="shared" ref="DX32:DZ35" ca="1" si="124">SUMIFS(DX$6:DX$28,$E$6:$E$28,$B32)</f>
        <v>0</v>
      </c>
      <c r="DY32" s="186">
        <f t="shared" ca="1" si="124"/>
        <v>0</v>
      </c>
      <c r="DZ32" s="186">
        <f t="shared" ca="1" si="124"/>
        <v>0</v>
      </c>
      <c r="EA32" s="149">
        <f ca="1">IFERROR(DZ32/EB32,0)</f>
        <v>0</v>
      </c>
      <c r="EB32" s="186">
        <f t="shared" ref="EB32:EF35" ca="1" si="125">SUMIFS(EB$6:EB$28,$E$6:$E$28,$B32)</f>
        <v>0</v>
      </c>
      <c r="EC32" s="186">
        <f t="shared" si="125"/>
        <v>0</v>
      </c>
      <c r="ED32" s="186">
        <f t="shared" ca="1" si="125"/>
        <v>0</v>
      </c>
      <c r="EE32" s="186">
        <f t="shared" si="125"/>
        <v>0</v>
      </c>
      <c r="EF32" s="186">
        <f t="shared" ca="1" si="125"/>
        <v>0</v>
      </c>
      <c r="EG32" s="147">
        <f ca="1">IFERROR(EF32/EF$29,0)</f>
        <v>0</v>
      </c>
      <c r="EH32" s="186">
        <f t="shared" ref="EH32:EI35" ca="1" si="126">SUMIFS(EH$6:EH$28,$E$6:$E$28,$B32)</f>
        <v>0</v>
      </c>
      <c r="EI32" s="186">
        <f t="shared" ca="1" si="126"/>
        <v>0</v>
      </c>
      <c r="EJ32" s="147">
        <f ca="1">IFERROR(EI32/EI$29,0)</f>
        <v>0</v>
      </c>
      <c r="EL32" s="186">
        <f t="shared" ref="EL32:EM35" si="127">SUMIFS(EL$6:EL$28,$E$6:$E$28,$B32)</f>
        <v>0</v>
      </c>
      <c r="EM32" s="186">
        <f t="shared" si="127"/>
        <v>0</v>
      </c>
      <c r="EN32" s="174" t="s">
        <v>27</v>
      </c>
      <c r="EO32" s="174" t="s">
        <v>27</v>
      </c>
      <c r="EP32" s="174" t="s">
        <v>27</v>
      </c>
      <c r="EQ32" s="186">
        <f t="shared" ref="EQ32:ES35" ca="1" si="128">SUMIFS(EQ$6:EQ$28,$E$6:$E$28,$B32)</f>
        <v>0</v>
      </c>
      <c r="ER32" s="186">
        <f t="shared" ca="1" si="128"/>
        <v>0</v>
      </c>
      <c r="ES32" s="186">
        <f t="shared" ca="1" si="128"/>
        <v>0</v>
      </c>
      <c r="ET32" s="149">
        <f ca="1">IFERROR(ES32/EU32,0)</f>
        <v>0</v>
      </c>
      <c r="EU32" s="186">
        <f t="shared" ref="EU32:EY35" ca="1" si="129">SUMIFS(EU$6:EU$28,$E$6:$E$28,$B32)</f>
        <v>0</v>
      </c>
      <c r="EV32" s="186">
        <f t="shared" si="129"/>
        <v>0</v>
      </c>
      <c r="EW32" s="186">
        <f t="shared" ca="1" si="129"/>
        <v>0</v>
      </c>
      <c r="EX32" s="186">
        <f t="shared" si="129"/>
        <v>0</v>
      </c>
      <c r="EY32" s="186">
        <f t="shared" ca="1" si="129"/>
        <v>0</v>
      </c>
      <c r="EZ32" s="147">
        <f ca="1">IFERROR(EY32/EY$29,0)</f>
        <v>0</v>
      </c>
      <c r="FA32" s="186">
        <f t="shared" ref="FA32:FB35" ca="1" si="130">SUMIFS(FA$6:FA$28,$E$6:$E$28,$B32)</f>
        <v>0</v>
      </c>
      <c r="FB32" s="186">
        <f t="shared" ca="1" si="130"/>
        <v>0</v>
      </c>
      <c r="FC32" s="147">
        <f ca="1">IFERROR(FB32/FB$29,0)</f>
        <v>0</v>
      </c>
      <c r="FF32" s="146">
        <f ca="1">OFFSET($G32,0,IF($FF$4=$G$4,1,12)+MATCH($FF$4,$G$4:$FC$4,0))</f>
        <v>0</v>
      </c>
      <c r="FG32" s="146">
        <f ca="1">OFFSET($G32,0,IF($FF$4=$G$4,2,13)+MATCH($FF$4,$G$4:$FC$4,0))</f>
        <v>0</v>
      </c>
      <c r="FH32" s="146">
        <f ca="1">OFFSET($G32,0,IF($FF$4=$G$4,5,17)+MATCH($FF$4,$G$4:$FC$4,0))</f>
        <v>0</v>
      </c>
      <c r="FK32" s="174" t="str">
        <f t="shared" ref="FK32:FL35" ca="1" si="131">IFERROR(OFFSET($G32,0,IF($FK$4=$G$4,1,12)+MATCH($FK$4,$G$4:$FC$4,0)),"na")</f>
        <v>na</v>
      </c>
      <c r="FL32" s="174" t="str">
        <f t="shared" ca="1" si="131"/>
        <v>na</v>
      </c>
      <c r="FM32" s="174" t="str">
        <f ca="1">IFERROR(OFFSET($G32,0,IF($FK$4=$G$4,5,17)+MATCH($FK$4,$G$4:$FC$4,0)),"na")</f>
        <v>na</v>
      </c>
    </row>
    <row r="33" spans="2:169">
      <c r="B33" s="185" t="s">
        <v>32</v>
      </c>
      <c r="C33" s="176"/>
      <c r="D33" s="177" t="s">
        <v>27</v>
      </c>
      <c r="E33" s="177" t="str">
        <f>B33</f>
        <v>Preferred</v>
      </c>
      <c r="G33" s="155" t="s">
        <v>27</v>
      </c>
      <c r="H33" s="155" t="s">
        <v>27</v>
      </c>
      <c r="I33" s="186">
        <f t="shared" si="102"/>
        <v>0</v>
      </c>
      <c r="J33" s="186">
        <f t="shared" si="102"/>
        <v>0</v>
      </c>
      <c r="K33" s="186">
        <f t="shared" si="102"/>
        <v>0</v>
      </c>
      <c r="L33" s="147">
        <f>IFERROR(K33/K$29,0)</f>
        <v>0</v>
      </c>
      <c r="M33" s="186">
        <f>SUMIFS(M$6:M$28,$E$6:$E$28,$B33)</f>
        <v>0</v>
      </c>
      <c r="N33" s="147">
        <f>IFERROR(M33/M$29,0)</f>
        <v>0</v>
      </c>
      <c r="P33" s="155" t="s">
        <v>27</v>
      </c>
      <c r="Q33" s="155" t="s">
        <v>27</v>
      </c>
      <c r="R33" s="186">
        <f t="shared" si="103"/>
        <v>0</v>
      </c>
      <c r="S33" s="186">
        <f t="shared" si="103"/>
        <v>0</v>
      </c>
      <c r="T33" s="187" t="s">
        <v>27</v>
      </c>
      <c r="U33" s="187" t="s">
        <v>27</v>
      </c>
      <c r="V33" s="187" t="s">
        <v>27</v>
      </c>
      <c r="W33" s="186">
        <f t="shared" si="104"/>
        <v>0</v>
      </c>
      <c r="X33" s="186">
        <f t="shared" si="104"/>
        <v>0</v>
      </c>
      <c r="Y33" s="186">
        <f t="shared" si="104"/>
        <v>0</v>
      </c>
      <c r="Z33" s="149">
        <f>IFERROR(Y33/AA33,0)</f>
        <v>0</v>
      </c>
      <c r="AA33" s="186">
        <f t="shared" si="105"/>
        <v>0</v>
      </c>
      <c r="AB33" s="186">
        <f t="shared" si="105"/>
        <v>0</v>
      </c>
      <c r="AC33" s="186">
        <f t="shared" si="105"/>
        <v>0</v>
      </c>
      <c r="AD33" s="186">
        <f t="shared" si="105"/>
        <v>0</v>
      </c>
      <c r="AE33" s="186">
        <f t="shared" si="105"/>
        <v>0</v>
      </c>
      <c r="AF33" s="147">
        <f ca="1">IFERROR(AE33/AE$29,0)</f>
        <v>0</v>
      </c>
      <c r="AG33" s="186">
        <f t="shared" si="106"/>
        <v>0</v>
      </c>
      <c r="AH33" s="186">
        <f t="shared" si="106"/>
        <v>0</v>
      </c>
      <c r="AI33" s="147">
        <f ca="1">IFERROR(AH33/AH$29,0)</f>
        <v>0</v>
      </c>
      <c r="AK33" s="155" t="s">
        <v>27</v>
      </c>
      <c r="AL33" s="155" t="s">
        <v>27</v>
      </c>
      <c r="AM33" s="186">
        <f t="shared" si="107"/>
        <v>0</v>
      </c>
      <c r="AN33" s="186">
        <f t="shared" si="107"/>
        <v>0</v>
      </c>
      <c r="AO33" s="187" t="s">
        <v>27</v>
      </c>
      <c r="AP33" s="187" t="s">
        <v>27</v>
      </c>
      <c r="AQ33" s="187" t="s">
        <v>27</v>
      </c>
      <c r="AR33" s="186">
        <f t="shared" si="108"/>
        <v>0</v>
      </c>
      <c r="AS33" s="186">
        <f t="shared" si="108"/>
        <v>0</v>
      </c>
      <c r="AT33" s="186">
        <f t="shared" si="108"/>
        <v>0</v>
      </c>
      <c r="AU33" s="149">
        <f>IFERROR(AT33/AV33,0)</f>
        <v>0</v>
      </c>
      <c r="AV33" s="186">
        <f t="shared" si="109"/>
        <v>0</v>
      </c>
      <c r="AW33" s="186">
        <f t="shared" si="109"/>
        <v>0</v>
      </c>
      <c r="AX33" s="186">
        <f t="shared" si="109"/>
        <v>0</v>
      </c>
      <c r="AY33" s="186">
        <f t="shared" si="109"/>
        <v>0</v>
      </c>
      <c r="AZ33" s="186">
        <f t="shared" si="109"/>
        <v>0</v>
      </c>
      <c r="BA33" s="147">
        <f ca="1">IFERROR(AZ33/AZ$29,0)</f>
        <v>0</v>
      </c>
      <c r="BB33" s="186">
        <f t="shared" si="110"/>
        <v>0</v>
      </c>
      <c r="BC33" s="186">
        <f t="shared" si="110"/>
        <v>0</v>
      </c>
      <c r="BD33" s="147">
        <f ca="1">IFERROR(BC33/BC$29,0)</f>
        <v>0</v>
      </c>
      <c r="BF33" s="155" t="s">
        <v>27</v>
      </c>
      <c r="BG33" s="155" t="s">
        <v>27</v>
      </c>
      <c r="BH33" s="186">
        <f t="shared" si="111"/>
        <v>0</v>
      </c>
      <c r="BI33" s="186">
        <f t="shared" si="111"/>
        <v>0</v>
      </c>
      <c r="BJ33" s="187" t="s">
        <v>27</v>
      </c>
      <c r="BK33" s="187" t="s">
        <v>27</v>
      </c>
      <c r="BL33" s="187" t="s">
        <v>27</v>
      </c>
      <c r="BM33" s="186">
        <f t="shared" si="112"/>
        <v>0</v>
      </c>
      <c r="BN33" s="186">
        <f t="shared" si="112"/>
        <v>0</v>
      </c>
      <c r="BO33" s="186">
        <f t="shared" si="112"/>
        <v>0</v>
      </c>
      <c r="BP33" s="149">
        <f>IFERROR(BO33/BQ33,0)</f>
        <v>0</v>
      </c>
      <c r="BQ33" s="186">
        <f t="shared" si="113"/>
        <v>0</v>
      </c>
      <c r="BR33" s="186">
        <f t="shared" si="113"/>
        <v>0</v>
      </c>
      <c r="BS33" s="186">
        <f t="shared" si="113"/>
        <v>0</v>
      </c>
      <c r="BT33" s="186">
        <f t="shared" si="113"/>
        <v>0</v>
      </c>
      <c r="BU33" s="186">
        <f t="shared" si="113"/>
        <v>0</v>
      </c>
      <c r="BV33" s="147">
        <f ca="1">IFERROR(BU33/BU$29,0)</f>
        <v>0</v>
      </c>
      <c r="BW33" s="186">
        <f t="shared" si="114"/>
        <v>0</v>
      </c>
      <c r="BX33" s="186">
        <f t="shared" si="114"/>
        <v>0</v>
      </c>
      <c r="BY33" s="147">
        <f ca="1">IFERROR(BX33/BX$29,0)</f>
        <v>0</v>
      </c>
      <c r="CA33" s="155" t="s">
        <v>27</v>
      </c>
      <c r="CB33" s="155" t="s">
        <v>27</v>
      </c>
      <c r="CC33" s="186">
        <f t="shared" si="115"/>
        <v>0</v>
      </c>
      <c r="CD33" s="186">
        <f t="shared" si="115"/>
        <v>0</v>
      </c>
      <c r="CE33" s="187" t="s">
        <v>27</v>
      </c>
      <c r="CF33" s="187" t="s">
        <v>27</v>
      </c>
      <c r="CG33" s="187" t="s">
        <v>27</v>
      </c>
      <c r="CH33" s="186">
        <f t="shared" si="116"/>
        <v>0</v>
      </c>
      <c r="CI33" s="186">
        <f t="shared" si="116"/>
        <v>0</v>
      </c>
      <c r="CJ33" s="186">
        <f t="shared" si="116"/>
        <v>0</v>
      </c>
      <c r="CK33" s="149">
        <f>IFERROR(CJ33/CL33,0)</f>
        <v>0</v>
      </c>
      <c r="CL33" s="186">
        <f t="shared" si="117"/>
        <v>0</v>
      </c>
      <c r="CM33" s="186">
        <f t="shared" si="117"/>
        <v>0</v>
      </c>
      <c r="CN33" s="186">
        <f t="shared" si="117"/>
        <v>0</v>
      </c>
      <c r="CO33" s="186">
        <f t="shared" si="117"/>
        <v>0</v>
      </c>
      <c r="CP33" s="186">
        <f t="shared" si="117"/>
        <v>0</v>
      </c>
      <c r="CQ33" s="147">
        <f ca="1">IFERROR(CP33/CP$29,0)</f>
        <v>0</v>
      </c>
      <c r="CR33" s="186">
        <f t="shared" si="118"/>
        <v>0</v>
      </c>
      <c r="CS33" s="186">
        <f t="shared" si="118"/>
        <v>0</v>
      </c>
      <c r="CT33" s="147">
        <f ca="1">IFERROR(CS33/CS$29,0)</f>
        <v>0</v>
      </c>
      <c r="CV33" s="155" t="s">
        <v>27</v>
      </c>
      <c r="CW33" s="155" t="s">
        <v>27</v>
      </c>
      <c r="CX33" s="186">
        <f t="shared" si="119"/>
        <v>0</v>
      </c>
      <c r="CY33" s="186">
        <f t="shared" si="119"/>
        <v>0</v>
      </c>
      <c r="CZ33" s="187" t="s">
        <v>27</v>
      </c>
      <c r="DA33" s="187" t="s">
        <v>27</v>
      </c>
      <c r="DB33" s="187" t="s">
        <v>27</v>
      </c>
      <c r="DC33" s="186">
        <f t="shared" si="120"/>
        <v>0</v>
      </c>
      <c r="DD33" s="186">
        <f t="shared" si="120"/>
        <v>0</v>
      </c>
      <c r="DE33" s="186">
        <f t="shared" si="120"/>
        <v>0</v>
      </c>
      <c r="DF33" s="149">
        <f>IFERROR(DE33/DG33,0)</f>
        <v>0</v>
      </c>
      <c r="DG33" s="186">
        <f t="shared" si="121"/>
        <v>0</v>
      </c>
      <c r="DH33" s="186">
        <f t="shared" si="121"/>
        <v>0</v>
      </c>
      <c r="DI33" s="186">
        <f t="shared" si="121"/>
        <v>0</v>
      </c>
      <c r="DJ33" s="186">
        <f t="shared" si="121"/>
        <v>0</v>
      </c>
      <c r="DK33" s="186">
        <f t="shared" si="121"/>
        <v>0</v>
      </c>
      <c r="DL33" s="147">
        <f ca="1">IFERROR(DK33/DK$29,0)</f>
        <v>0</v>
      </c>
      <c r="DM33" s="186">
        <f t="shared" si="122"/>
        <v>0</v>
      </c>
      <c r="DN33" s="186">
        <f t="shared" si="122"/>
        <v>0</v>
      </c>
      <c r="DO33" s="147">
        <f ca="1">IFERROR(DN33/DN$29,0)</f>
        <v>0</v>
      </c>
      <c r="DQ33" s="155" t="s">
        <v>27</v>
      </c>
      <c r="DR33" s="155" t="s">
        <v>27</v>
      </c>
      <c r="DS33" s="186">
        <f t="shared" si="123"/>
        <v>0</v>
      </c>
      <c r="DT33" s="186">
        <f t="shared" si="123"/>
        <v>0</v>
      </c>
      <c r="DU33" s="187" t="s">
        <v>27</v>
      </c>
      <c r="DV33" s="187" t="s">
        <v>27</v>
      </c>
      <c r="DW33" s="187" t="s">
        <v>27</v>
      </c>
      <c r="DX33" s="186">
        <f t="shared" si="124"/>
        <v>0</v>
      </c>
      <c r="DY33" s="186">
        <f t="shared" si="124"/>
        <v>0</v>
      </c>
      <c r="DZ33" s="186">
        <f t="shared" si="124"/>
        <v>0</v>
      </c>
      <c r="EA33" s="149">
        <f>IFERROR(DZ33/EB33,0)</f>
        <v>0</v>
      </c>
      <c r="EB33" s="186">
        <f t="shared" si="125"/>
        <v>0</v>
      </c>
      <c r="EC33" s="186">
        <f t="shared" si="125"/>
        <v>0</v>
      </c>
      <c r="ED33" s="186">
        <f t="shared" si="125"/>
        <v>0</v>
      </c>
      <c r="EE33" s="186">
        <f t="shared" si="125"/>
        <v>0</v>
      </c>
      <c r="EF33" s="186">
        <f t="shared" si="125"/>
        <v>0</v>
      </c>
      <c r="EG33" s="147">
        <f ca="1">IFERROR(EF33/EF$29,0)</f>
        <v>0</v>
      </c>
      <c r="EH33" s="186">
        <f t="shared" si="126"/>
        <v>0</v>
      </c>
      <c r="EI33" s="186">
        <f t="shared" si="126"/>
        <v>0</v>
      </c>
      <c r="EJ33" s="147">
        <f ca="1">IFERROR(EI33/EI$29,0)</f>
        <v>0</v>
      </c>
      <c r="EL33" s="186">
        <f t="shared" si="127"/>
        <v>0</v>
      </c>
      <c r="EM33" s="186">
        <f t="shared" si="127"/>
        <v>0</v>
      </c>
      <c r="EN33" s="174" t="s">
        <v>27</v>
      </c>
      <c r="EO33" s="174" t="s">
        <v>27</v>
      </c>
      <c r="EP33" s="174" t="s">
        <v>27</v>
      </c>
      <c r="EQ33" s="186">
        <f t="shared" si="128"/>
        <v>0</v>
      </c>
      <c r="ER33" s="186">
        <f t="shared" si="128"/>
        <v>0</v>
      </c>
      <c r="ES33" s="186">
        <f t="shared" si="128"/>
        <v>0</v>
      </c>
      <c r="ET33" s="149">
        <f>IFERROR(ES33/EU33,0)</f>
        <v>0</v>
      </c>
      <c r="EU33" s="186">
        <f t="shared" si="129"/>
        <v>0</v>
      </c>
      <c r="EV33" s="186">
        <f t="shared" si="129"/>
        <v>0</v>
      </c>
      <c r="EW33" s="186">
        <f t="shared" si="129"/>
        <v>0</v>
      </c>
      <c r="EX33" s="186">
        <f t="shared" si="129"/>
        <v>0</v>
      </c>
      <c r="EY33" s="186">
        <f t="shared" si="129"/>
        <v>0</v>
      </c>
      <c r="EZ33" s="147">
        <f ca="1">IFERROR(EY33/EY$29,0)</f>
        <v>0</v>
      </c>
      <c r="FA33" s="186">
        <f t="shared" si="130"/>
        <v>0</v>
      </c>
      <c r="FB33" s="186">
        <f t="shared" si="130"/>
        <v>0</v>
      </c>
      <c r="FC33" s="147">
        <f ca="1">IFERROR(FB33/FB$29,0)</f>
        <v>0</v>
      </c>
      <c r="FF33" s="146">
        <f ca="1">OFFSET($G33,0,IF($FF$4=$G$4,1,12)+MATCH($FF$4,$G$4:$FC$4,0))</f>
        <v>0</v>
      </c>
      <c r="FG33" s="146">
        <f ca="1">OFFSET($G33,0,IF($FF$4=$G$4,2,13)+MATCH($FF$4,$G$4:$FC$4,0))</f>
        <v>0</v>
      </c>
      <c r="FH33" s="146">
        <f ca="1">OFFSET($G33,0,IF($FF$4=$G$4,5,17)+MATCH($FF$4,$G$4:$FC$4,0))</f>
        <v>0</v>
      </c>
      <c r="FK33" s="174" t="str">
        <f t="shared" ca="1" si="131"/>
        <v>na</v>
      </c>
      <c r="FL33" s="174" t="str">
        <f t="shared" ca="1" si="131"/>
        <v>na</v>
      </c>
      <c r="FM33" s="174" t="str">
        <f ca="1">IFERROR(OFFSET($G33,0,IF($FK$4=$G$4,5,17)+MATCH($FK$4,$G$4:$FC$4,0)),"na")</f>
        <v>na</v>
      </c>
    </row>
    <row r="34" spans="2:169">
      <c r="B34" s="185" t="s">
        <v>22</v>
      </c>
      <c r="C34" s="176"/>
      <c r="D34" s="177" t="s">
        <v>27</v>
      </c>
      <c r="E34" s="177" t="str">
        <f>B34</f>
        <v>Options</v>
      </c>
      <c r="G34" s="155" t="s">
        <v>27</v>
      </c>
      <c r="H34" s="155" t="s">
        <v>27</v>
      </c>
      <c r="I34" s="186">
        <f t="shared" si="102"/>
        <v>0</v>
      </c>
      <c r="J34" s="186">
        <f t="shared" si="102"/>
        <v>0</v>
      </c>
      <c r="K34" s="186">
        <f t="shared" si="102"/>
        <v>0</v>
      </c>
      <c r="L34" s="147">
        <f>IFERROR(K34/K$29,0)</f>
        <v>0</v>
      </c>
      <c r="M34" s="186">
        <f>SUMIFS(M$6:M$28,$E$6:$E$28,$B34)</f>
        <v>0</v>
      </c>
      <c r="N34" s="147">
        <f>IFERROR(M34/M$29,0)</f>
        <v>0</v>
      </c>
      <c r="P34" s="155" t="s">
        <v>27</v>
      </c>
      <c r="Q34" s="155" t="s">
        <v>27</v>
      </c>
      <c r="R34" s="186">
        <f t="shared" si="103"/>
        <v>0</v>
      </c>
      <c r="S34" s="186">
        <f t="shared" si="103"/>
        <v>0</v>
      </c>
      <c r="T34" s="187" t="s">
        <v>27</v>
      </c>
      <c r="U34" s="187" t="s">
        <v>27</v>
      </c>
      <c r="V34" s="187" t="s">
        <v>27</v>
      </c>
      <c r="W34" s="186">
        <f t="shared" si="104"/>
        <v>0</v>
      </c>
      <c r="X34" s="186">
        <f t="shared" si="104"/>
        <v>0</v>
      </c>
      <c r="Y34" s="186">
        <f t="shared" si="104"/>
        <v>0</v>
      </c>
      <c r="Z34" s="149">
        <f>IFERROR(Y34/AA34,0)</f>
        <v>0</v>
      </c>
      <c r="AA34" s="186">
        <f t="shared" si="105"/>
        <v>0</v>
      </c>
      <c r="AB34" s="186">
        <f t="shared" ca="1" si="105"/>
        <v>0</v>
      </c>
      <c r="AC34" s="186">
        <f t="shared" si="105"/>
        <v>0</v>
      </c>
      <c r="AD34" s="186">
        <f t="shared" ca="1" si="105"/>
        <v>0</v>
      </c>
      <c r="AE34" s="186">
        <f t="shared" ca="1" si="105"/>
        <v>0</v>
      </c>
      <c r="AF34" s="147">
        <f ca="1">IFERROR(AE34/AE$29,0)</f>
        <v>0</v>
      </c>
      <c r="AG34" s="186">
        <f t="shared" ca="1" si="106"/>
        <v>0</v>
      </c>
      <c r="AH34" s="186">
        <f t="shared" ca="1" si="106"/>
        <v>0</v>
      </c>
      <c r="AI34" s="147">
        <f ca="1">IFERROR(AH34/AH$29,0)</f>
        <v>0</v>
      </c>
      <c r="AK34" s="155" t="s">
        <v>27</v>
      </c>
      <c r="AL34" s="155" t="s">
        <v>27</v>
      </c>
      <c r="AM34" s="186">
        <f t="shared" si="107"/>
        <v>0</v>
      </c>
      <c r="AN34" s="186">
        <f t="shared" si="107"/>
        <v>0</v>
      </c>
      <c r="AO34" s="187" t="s">
        <v>27</v>
      </c>
      <c r="AP34" s="187" t="s">
        <v>27</v>
      </c>
      <c r="AQ34" s="187" t="s">
        <v>27</v>
      </c>
      <c r="AR34" s="186">
        <f t="shared" ca="1" si="108"/>
        <v>0</v>
      </c>
      <c r="AS34" s="186">
        <f t="shared" ca="1" si="108"/>
        <v>0</v>
      </c>
      <c r="AT34" s="186">
        <f t="shared" ca="1" si="108"/>
        <v>0</v>
      </c>
      <c r="AU34" s="149">
        <f ca="1">IFERROR(AT34/AV34,0)</f>
        <v>0</v>
      </c>
      <c r="AV34" s="186">
        <f t="shared" ca="1" si="109"/>
        <v>0</v>
      </c>
      <c r="AW34" s="186">
        <f t="shared" ca="1" si="109"/>
        <v>0</v>
      </c>
      <c r="AX34" s="186">
        <f t="shared" ca="1" si="109"/>
        <v>0</v>
      </c>
      <c r="AY34" s="186">
        <f t="shared" ca="1" si="109"/>
        <v>0</v>
      </c>
      <c r="AZ34" s="186">
        <f t="shared" ca="1" si="109"/>
        <v>0</v>
      </c>
      <c r="BA34" s="147">
        <f ca="1">IFERROR(AZ34/AZ$29,0)</f>
        <v>0</v>
      </c>
      <c r="BB34" s="186">
        <f t="shared" ca="1" si="110"/>
        <v>0</v>
      </c>
      <c r="BC34" s="186">
        <f t="shared" ca="1" si="110"/>
        <v>0</v>
      </c>
      <c r="BD34" s="147">
        <f ca="1">IFERROR(BC34/BC$29,0)</f>
        <v>0</v>
      </c>
      <c r="BF34" s="155" t="s">
        <v>27</v>
      </c>
      <c r="BG34" s="155" t="s">
        <v>27</v>
      </c>
      <c r="BH34" s="186">
        <f t="shared" si="111"/>
        <v>0</v>
      </c>
      <c r="BI34" s="186">
        <f t="shared" si="111"/>
        <v>0</v>
      </c>
      <c r="BJ34" s="187" t="s">
        <v>27</v>
      </c>
      <c r="BK34" s="187" t="s">
        <v>27</v>
      </c>
      <c r="BL34" s="187" t="s">
        <v>27</v>
      </c>
      <c r="BM34" s="186">
        <f t="shared" ca="1" si="112"/>
        <v>0</v>
      </c>
      <c r="BN34" s="186">
        <f t="shared" ca="1" si="112"/>
        <v>0</v>
      </c>
      <c r="BO34" s="186">
        <f t="shared" ca="1" si="112"/>
        <v>0</v>
      </c>
      <c r="BP34" s="149">
        <f ca="1">IFERROR(BO34/BQ34,0)</f>
        <v>0</v>
      </c>
      <c r="BQ34" s="186">
        <f t="shared" ca="1" si="113"/>
        <v>0</v>
      </c>
      <c r="BR34" s="186">
        <f t="shared" ca="1" si="113"/>
        <v>0</v>
      </c>
      <c r="BS34" s="186">
        <f t="shared" ca="1" si="113"/>
        <v>0</v>
      </c>
      <c r="BT34" s="186">
        <f t="shared" ca="1" si="113"/>
        <v>0</v>
      </c>
      <c r="BU34" s="186">
        <f t="shared" ca="1" si="113"/>
        <v>0</v>
      </c>
      <c r="BV34" s="147">
        <f ca="1">IFERROR(BU34/BU$29,0)</f>
        <v>0</v>
      </c>
      <c r="BW34" s="186">
        <f t="shared" ca="1" si="114"/>
        <v>0</v>
      </c>
      <c r="BX34" s="186">
        <f t="shared" ca="1" si="114"/>
        <v>0</v>
      </c>
      <c r="BY34" s="147">
        <f ca="1">IFERROR(BX34/BX$29,0)</f>
        <v>0</v>
      </c>
      <c r="CA34" s="155" t="s">
        <v>27</v>
      </c>
      <c r="CB34" s="155" t="s">
        <v>27</v>
      </c>
      <c r="CC34" s="186">
        <f t="shared" si="115"/>
        <v>0</v>
      </c>
      <c r="CD34" s="186">
        <f t="shared" si="115"/>
        <v>0</v>
      </c>
      <c r="CE34" s="187" t="s">
        <v>27</v>
      </c>
      <c r="CF34" s="187" t="s">
        <v>27</v>
      </c>
      <c r="CG34" s="187" t="s">
        <v>27</v>
      </c>
      <c r="CH34" s="186">
        <f t="shared" ca="1" si="116"/>
        <v>0</v>
      </c>
      <c r="CI34" s="186">
        <f t="shared" ca="1" si="116"/>
        <v>0</v>
      </c>
      <c r="CJ34" s="186">
        <f t="shared" ca="1" si="116"/>
        <v>0</v>
      </c>
      <c r="CK34" s="149">
        <f ca="1">IFERROR(CJ34/CL34,0)</f>
        <v>0</v>
      </c>
      <c r="CL34" s="186">
        <f t="shared" ca="1" si="117"/>
        <v>0</v>
      </c>
      <c r="CM34" s="186">
        <f t="shared" ca="1" si="117"/>
        <v>0</v>
      </c>
      <c r="CN34" s="186">
        <f t="shared" ca="1" si="117"/>
        <v>0</v>
      </c>
      <c r="CO34" s="186">
        <f t="shared" ca="1" si="117"/>
        <v>0</v>
      </c>
      <c r="CP34" s="186">
        <f t="shared" ca="1" si="117"/>
        <v>0</v>
      </c>
      <c r="CQ34" s="147">
        <f ca="1">IFERROR(CP34/CP$29,0)</f>
        <v>0</v>
      </c>
      <c r="CR34" s="186">
        <f t="shared" ca="1" si="118"/>
        <v>0</v>
      </c>
      <c r="CS34" s="186">
        <f t="shared" ca="1" si="118"/>
        <v>0</v>
      </c>
      <c r="CT34" s="147">
        <f ca="1">IFERROR(CS34/CS$29,0)</f>
        <v>0</v>
      </c>
      <c r="CV34" s="155" t="s">
        <v>27</v>
      </c>
      <c r="CW34" s="155" t="s">
        <v>27</v>
      </c>
      <c r="CX34" s="186">
        <f t="shared" si="119"/>
        <v>0</v>
      </c>
      <c r="CY34" s="186">
        <f t="shared" si="119"/>
        <v>0</v>
      </c>
      <c r="CZ34" s="187" t="s">
        <v>27</v>
      </c>
      <c r="DA34" s="187" t="s">
        <v>27</v>
      </c>
      <c r="DB34" s="187" t="s">
        <v>27</v>
      </c>
      <c r="DC34" s="186">
        <f t="shared" ca="1" si="120"/>
        <v>0</v>
      </c>
      <c r="DD34" s="186">
        <f t="shared" ca="1" si="120"/>
        <v>0</v>
      </c>
      <c r="DE34" s="186">
        <f t="shared" ca="1" si="120"/>
        <v>0</v>
      </c>
      <c r="DF34" s="149">
        <f ca="1">IFERROR(DE34/DG34,0)</f>
        <v>0</v>
      </c>
      <c r="DG34" s="186">
        <f t="shared" ca="1" si="121"/>
        <v>0</v>
      </c>
      <c r="DH34" s="186">
        <f t="shared" ca="1" si="121"/>
        <v>0</v>
      </c>
      <c r="DI34" s="186">
        <f t="shared" ca="1" si="121"/>
        <v>0</v>
      </c>
      <c r="DJ34" s="186">
        <f t="shared" ca="1" si="121"/>
        <v>0</v>
      </c>
      <c r="DK34" s="186">
        <f t="shared" ca="1" si="121"/>
        <v>0</v>
      </c>
      <c r="DL34" s="147">
        <f ca="1">IFERROR(DK34/DK$29,0)</f>
        <v>0</v>
      </c>
      <c r="DM34" s="186">
        <f t="shared" ca="1" si="122"/>
        <v>0</v>
      </c>
      <c r="DN34" s="186">
        <f t="shared" ca="1" si="122"/>
        <v>0</v>
      </c>
      <c r="DO34" s="147">
        <f ca="1">IFERROR(DN34/DN$29,0)</f>
        <v>0</v>
      </c>
      <c r="DQ34" s="155" t="s">
        <v>27</v>
      </c>
      <c r="DR34" s="155" t="s">
        <v>27</v>
      </c>
      <c r="DS34" s="186">
        <f t="shared" si="123"/>
        <v>0</v>
      </c>
      <c r="DT34" s="186">
        <f t="shared" si="123"/>
        <v>0</v>
      </c>
      <c r="DU34" s="187" t="s">
        <v>27</v>
      </c>
      <c r="DV34" s="187" t="s">
        <v>27</v>
      </c>
      <c r="DW34" s="187" t="s">
        <v>27</v>
      </c>
      <c r="DX34" s="186">
        <f t="shared" ca="1" si="124"/>
        <v>0</v>
      </c>
      <c r="DY34" s="186">
        <f t="shared" ca="1" si="124"/>
        <v>0</v>
      </c>
      <c r="DZ34" s="186">
        <f t="shared" ca="1" si="124"/>
        <v>0</v>
      </c>
      <c r="EA34" s="149">
        <f ca="1">IFERROR(DZ34/EB34,0)</f>
        <v>0</v>
      </c>
      <c r="EB34" s="186">
        <f t="shared" ca="1" si="125"/>
        <v>0</v>
      </c>
      <c r="EC34" s="186">
        <f t="shared" ca="1" si="125"/>
        <v>0</v>
      </c>
      <c r="ED34" s="186">
        <f t="shared" ca="1" si="125"/>
        <v>0</v>
      </c>
      <c r="EE34" s="186">
        <f t="shared" ca="1" si="125"/>
        <v>0</v>
      </c>
      <c r="EF34" s="186">
        <f t="shared" ca="1" si="125"/>
        <v>0</v>
      </c>
      <c r="EG34" s="147">
        <f ca="1">IFERROR(EF34/EF$29,0)</f>
        <v>0</v>
      </c>
      <c r="EH34" s="186">
        <f t="shared" ca="1" si="126"/>
        <v>0</v>
      </c>
      <c r="EI34" s="186">
        <f t="shared" ca="1" si="126"/>
        <v>0</v>
      </c>
      <c r="EJ34" s="147">
        <f ca="1">IFERROR(EI34/EI$29,0)</f>
        <v>0</v>
      </c>
      <c r="EL34" s="186">
        <f t="shared" si="127"/>
        <v>0</v>
      </c>
      <c r="EM34" s="186">
        <f t="shared" si="127"/>
        <v>0</v>
      </c>
      <c r="EN34" s="174" t="s">
        <v>27</v>
      </c>
      <c r="EO34" s="174" t="s">
        <v>27</v>
      </c>
      <c r="EP34" s="174" t="s">
        <v>27</v>
      </c>
      <c r="EQ34" s="186">
        <f t="shared" ca="1" si="128"/>
        <v>0</v>
      </c>
      <c r="ER34" s="186">
        <f t="shared" ca="1" si="128"/>
        <v>0</v>
      </c>
      <c r="ES34" s="186">
        <f t="shared" ca="1" si="128"/>
        <v>0</v>
      </c>
      <c r="ET34" s="149">
        <f ca="1">IFERROR(ES34/EU34,0)</f>
        <v>0</v>
      </c>
      <c r="EU34" s="186">
        <f t="shared" ca="1" si="129"/>
        <v>0</v>
      </c>
      <c r="EV34" s="186">
        <f t="shared" ca="1" si="129"/>
        <v>0</v>
      </c>
      <c r="EW34" s="186">
        <f t="shared" ca="1" si="129"/>
        <v>0</v>
      </c>
      <c r="EX34" s="186">
        <f t="shared" ca="1" si="129"/>
        <v>0</v>
      </c>
      <c r="EY34" s="186">
        <f t="shared" ca="1" si="129"/>
        <v>0</v>
      </c>
      <c r="EZ34" s="147">
        <f ca="1">IFERROR(EY34/EY$29,0)</f>
        <v>0</v>
      </c>
      <c r="FA34" s="186">
        <f t="shared" ca="1" si="130"/>
        <v>0</v>
      </c>
      <c r="FB34" s="186">
        <f t="shared" ca="1" si="130"/>
        <v>0</v>
      </c>
      <c r="FC34" s="147">
        <f ca="1">IFERROR(FB34/FB$29,0)</f>
        <v>0</v>
      </c>
      <c r="FF34" s="146">
        <f ca="1">OFFSET($G34,0,IF($FF$4=$G$4,1,12)+MATCH($FF$4,$G$4:$FC$4,0))</f>
        <v>0</v>
      </c>
      <c r="FG34" s="146">
        <f ca="1">OFFSET($G34,0,IF($FF$4=$G$4,2,13)+MATCH($FF$4,$G$4:$FC$4,0))</f>
        <v>0</v>
      </c>
      <c r="FH34" s="146">
        <f ca="1">OFFSET($G34,0,IF($FF$4=$G$4,5,17)+MATCH($FF$4,$G$4:$FC$4,0))</f>
        <v>0</v>
      </c>
      <c r="FK34" s="174" t="str">
        <f t="shared" ca="1" si="131"/>
        <v>na</v>
      </c>
      <c r="FL34" s="174" t="str">
        <f t="shared" ca="1" si="131"/>
        <v>na</v>
      </c>
      <c r="FM34" s="174" t="str">
        <f ca="1">IFERROR(OFFSET($G34,0,IF($FK$4=$G$4,5,17)+MATCH($FK$4,$G$4:$FC$4,0)),"na")</f>
        <v>na</v>
      </c>
    </row>
    <row r="35" spans="2:169">
      <c r="B35" s="185" t="s">
        <v>27</v>
      </c>
      <c r="C35" s="176"/>
      <c r="D35" s="177" t="s">
        <v>27</v>
      </c>
      <c r="E35" s="177" t="str">
        <f>B35</f>
        <v>na</v>
      </c>
      <c r="G35" s="155" t="s">
        <v>27</v>
      </c>
      <c r="H35" s="155" t="s">
        <v>27</v>
      </c>
      <c r="I35" s="186">
        <f t="shared" si="102"/>
        <v>0</v>
      </c>
      <c r="J35" s="186">
        <f t="shared" si="102"/>
        <v>0</v>
      </c>
      <c r="K35" s="186">
        <f t="shared" si="102"/>
        <v>0</v>
      </c>
      <c r="L35" s="147">
        <f>IFERROR(K35/K$29,0)</f>
        <v>0</v>
      </c>
      <c r="M35" s="186">
        <f>SUMIFS(M$6:M$28,$E$6:$E$28,$B35)</f>
        <v>0</v>
      </c>
      <c r="N35" s="147">
        <f>IFERROR(M35/M$29,0)</f>
        <v>0</v>
      </c>
      <c r="P35" s="155" t="s">
        <v>27</v>
      </c>
      <c r="Q35" s="155" t="s">
        <v>27</v>
      </c>
      <c r="R35" s="186">
        <f t="shared" si="103"/>
        <v>0</v>
      </c>
      <c r="S35" s="186">
        <f t="shared" si="103"/>
        <v>0</v>
      </c>
      <c r="T35" s="187" t="s">
        <v>27</v>
      </c>
      <c r="U35" s="187" t="s">
        <v>27</v>
      </c>
      <c r="V35" s="187" t="s">
        <v>27</v>
      </c>
      <c r="W35" s="186">
        <f t="shared" si="104"/>
        <v>0</v>
      </c>
      <c r="X35" s="186">
        <f t="shared" si="104"/>
        <v>0</v>
      </c>
      <c r="Y35" s="186">
        <f t="shared" si="104"/>
        <v>0</v>
      </c>
      <c r="Z35" s="149">
        <f>IFERROR(Y35/AA35,0)</f>
        <v>0</v>
      </c>
      <c r="AA35" s="186">
        <f t="shared" si="105"/>
        <v>0</v>
      </c>
      <c r="AB35" s="186">
        <f t="shared" si="105"/>
        <v>0</v>
      </c>
      <c r="AC35" s="186">
        <f t="shared" si="105"/>
        <v>0</v>
      </c>
      <c r="AD35" s="186">
        <f t="shared" si="105"/>
        <v>0</v>
      </c>
      <c r="AE35" s="186">
        <f t="shared" si="105"/>
        <v>0</v>
      </c>
      <c r="AF35" s="147">
        <f ca="1">IFERROR(AE35/AE$29,0)</f>
        <v>0</v>
      </c>
      <c r="AG35" s="186">
        <f t="shared" si="106"/>
        <v>0</v>
      </c>
      <c r="AH35" s="186">
        <f t="shared" si="106"/>
        <v>0</v>
      </c>
      <c r="AI35" s="147">
        <f ca="1">IFERROR(AH35/AH$29,0)</f>
        <v>0</v>
      </c>
      <c r="AK35" s="155" t="s">
        <v>27</v>
      </c>
      <c r="AL35" s="155" t="s">
        <v>27</v>
      </c>
      <c r="AM35" s="186">
        <f t="shared" si="107"/>
        <v>0</v>
      </c>
      <c r="AN35" s="186">
        <f t="shared" si="107"/>
        <v>0</v>
      </c>
      <c r="AO35" s="187" t="s">
        <v>27</v>
      </c>
      <c r="AP35" s="187" t="s">
        <v>27</v>
      </c>
      <c r="AQ35" s="187" t="s">
        <v>27</v>
      </c>
      <c r="AR35" s="186">
        <f t="shared" si="108"/>
        <v>0</v>
      </c>
      <c r="AS35" s="186">
        <f t="shared" si="108"/>
        <v>0</v>
      </c>
      <c r="AT35" s="186">
        <f t="shared" si="108"/>
        <v>0</v>
      </c>
      <c r="AU35" s="149">
        <f>IFERROR(AT35/AV35,0)</f>
        <v>0</v>
      </c>
      <c r="AV35" s="186">
        <f t="shared" si="109"/>
        <v>0</v>
      </c>
      <c r="AW35" s="186">
        <f t="shared" si="109"/>
        <v>0</v>
      </c>
      <c r="AX35" s="186">
        <f t="shared" si="109"/>
        <v>0</v>
      </c>
      <c r="AY35" s="186">
        <f t="shared" si="109"/>
        <v>0</v>
      </c>
      <c r="AZ35" s="186">
        <f t="shared" si="109"/>
        <v>0</v>
      </c>
      <c r="BA35" s="147">
        <f ca="1">IFERROR(AZ35/AZ$29,0)</f>
        <v>0</v>
      </c>
      <c r="BB35" s="186">
        <f t="shared" si="110"/>
        <v>0</v>
      </c>
      <c r="BC35" s="186">
        <f t="shared" si="110"/>
        <v>0</v>
      </c>
      <c r="BD35" s="147">
        <f ca="1">IFERROR(BC35/BC$29,0)</f>
        <v>0</v>
      </c>
      <c r="BF35" s="155" t="s">
        <v>27</v>
      </c>
      <c r="BG35" s="155" t="s">
        <v>27</v>
      </c>
      <c r="BH35" s="186">
        <f t="shared" si="111"/>
        <v>0</v>
      </c>
      <c r="BI35" s="186">
        <f t="shared" si="111"/>
        <v>0</v>
      </c>
      <c r="BJ35" s="187" t="s">
        <v>27</v>
      </c>
      <c r="BK35" s="187" t="s">
        <v>27</v>
      </c>
      <c r="BL35" s="187" t="s">
        <v>27</v>
      </c>
      <c r="BM35" s="186">
        <f t="shared" si="112"/>
        <v>0</v>
      </c>
      <c r="BN35" s="186">
        <f t="shared" si="112"/>
        <v>0</v>
      </c>
      <c r="BO35" s="186">
        <f t="shared" si="112"/>
        <v>0</v>
      </c>
      <c r="BP35" s="149">
        <f>IFERROR(BO35/BQ35,0)</f>
        <v>0</v>
      </c>
      <c r="BQ35" s="186">
        <f t="shared" si="113"/>
        <v>0</v>
      </c>
      <c r="BR35" s="186">
        <f t="shared" si="113"/>
        <v>0</v>
      </c>
      <c r="BS35" s="186">
        <f t="shared" si="113"/>
        <v>0</v>
      </c>
      <c r="BT35" s="186">
        <f t="shared" si="113"/>
        <v>0</v>
      </c>
      <c r="BU35" s="186">
        <f t="shared" si="113"/>
        <v>0</v>
      </c>
      <c r="BV35" s="147">
        <f ca="1">IFERROR(BU35/BU$29,0)</f>
        <v>0</v>
      </c>
      <c r="BW35" s="186">
        <f t="shared" si="114"/>
        <v>0</v>
      </c>
      <c r="BX35" s="186">
        <f t="shared" si="114"/>
        <v>0</v>
      </c>
      <c r="BY35" s="147">
        <f ca="1">IFERROR(BX35/BX$29,0)</f>
        <v>0</v>
      </c>
      <c r="CA35" s="155" t="s">
        <v>27</v>
      </c>
      <c r="CB35" s="155" t="s">
        <v>27</v>
      </c>
      <c r="CC35" s="186">
        <f t="shared" si="115"/>
        <v>0</v>
      </c>
      <c r="CD35" s="186">
        <f t="shared" si="115"/>
        <v>0</v>
      </c>
      <c r="CE35" s="187" t="s">
        <v>27</v>
      </c>
      <c r="CF35" s="187" t="s">
        <v>27</v>
      </c>
      <c r="CG35" s="187" t="s">
        <v>27</v>
      </c>
      <c r="CH35" s="186">
        <f t="shared" si="116"/>
        <v>0</v>
      </c>
      <c r="CI35" s="186">
        <f t="shared" si="116"/>
        <v>0</v>
      </c>
      <c r="CJ35" s="186">
        <f t="shared" si="116"/>
        <v>0</v>
      </c>
      <c r="CK35" s="149">
        <f>IFERROR(CJ35/CL35,0)</f>
        <v>0</v>
      </c>
      <c r="CL35" s="186">
        <f t="shared" si="117"/>
        <v>0</v>
      </c>
      <c r="CM35" s="186">
        <f t="shared" si="117"/>
        <v>0</v>
      </c>
      <c r="CN35" s="186">
        <f t="shared" si="117"/>
        <v>0</v>
      </c>
      <c r="CO35" s="186">
        <f t="shared" si="117"/>
        <v>0</v>
      </c>
      <c r="CP35" s="186">
        <f t="shared" si="117"/>
        <v>0</v>
      </c>
      <c r="CQ35" s="147">
        <f ca="1">IFERROR(CP35/CP$29,0)</f>
        <v>0</v>
      </c>
      <c r="CR35" s="186">
        <f t="shared" si="118"/>
        <v>0</v>
      </c>
      <c r="CS35" s="186">
        <f t="shared" si="118"/>
        <v>0</v>
      </c>
      <c r="CT35" s="147">
        <f ca="1">IFERROR(CS35/CS$29,0)</f>
        <v>0</v>
      </c>
      <c r="CV35" s="155" t="s">
        <v>27</v>
      </c>
      <c r="CW35" s="155" t="s">
        <v>27</v>
      </c>
      <c r="CX35" s="186">
        <f t="shared" si="119"/>
        <v>0</v>
      </c>
      <c r="CY35" s="186">
        <f t="shared" si="119"/>
        <v>0</v>
      </c>
      <c r="CZ35" s="187" t="s">
        <v>27</v>
      </c>
      <c r="DA35" s="187" t="s">
        <v>27</v>
      </c>
      <c r="DB35" s="187" t="s">
        <v>27</v>
      </c>
      <c r="DC35" s="186">
        <f t="shared" si="120"/>
        <v>0</v>
      </c>
      <c r="DD35" s="186">
        <f t="shared" si="120"/>
        <v>0</v>
      </c>
      <c r="DE35" s="186">
        <f t="shared" si="120"/>
        <v>0</v>
      </c>
      <c r="DF35" s="149">
        <f>IFERROR(DE35/DG35,0)</f>
        <v>0</v>
      </c>
      <c r="DG35" s="186">
        <f t="shared" si="121"/>
        <v>0</v>
      </c>
      <c r="DH35" s="186">
        <f t="shared" si="121"/>
        <v>0</v>
      </c>
      <c r="DI35" s="186">
        <f t="shared" si="121"/>
        <v>0</v>
      </c>
      <c r="DJ35" s="186">
        <f t="shared" si="121"/>
        <v>0</v>
      </c>
      <c r="DK35" s="186">
        <f t="shared" si="121"/>
        <v>0</v>
      </c>
      <c r="DL35" s="147">
        <f ca="1">IFERROR(DK35/DK$29,0)</f>
        <v>0</v>
      </c>
      <c r="DM35" s="186">
        <f t="shared" si="122"/>
        <v>0</v>
      </c>
      <c r="DN35" s="186">
        <f t="shared" si="122"/>
        <v>0</v>
      </c>
      <c r="DO35" s="147">
        <f ca="1">IFERROR(DN35/DN$29,0)</f>
        <v>0</v>
      </c>
      <c r="DQ35" s="155" t="s">
        <v>27</v>
      </c>
      <c r="DR35" s="155" t="s">
        <v>27</v>
      </c>
      <c r="DS35" s="186">
        <f t="shared" si="123"/>
        <v>0</v>
      </c>
      <c r="DT35" s="186">
        <f t="shared" si="123"/>
        <v>0</v>
      </c>
      <c r="DU35" s="187" t="s">
        <v>27</v>
      </c>
      <c r="DV35" s="187" t="s">
        <v>27</v>
      </c>
      <c r="DW35" s="187" t="s">
        <v>27</v>
      </c>
      <c r="DX35" s="186">
        <f t="shared" si="124"/>
        <v>0</v>
      </c>
      <c r="DY35" s="186">
        <f t="shared" si="124"/>
        <v>0</v>
      </c>
      <c r="DZ35" s="186">
        <f t="shared" si="124"/>
        <v>0</v>
      </c>
      <c r="EA35" s="149">
        <f>IFERROR(DZ35/EB35,0)</f>
        <v>0</v>
      </c>
      <c r="EB35" s="186">
        <f t="shared" si="125"/>
        <v>0</v>
      </c>
      <c r="EC35" s="186">
        <f t="shared" si="125"/>
        <v>0</v>
      </c>
      <c r="ED35" s="186">
        <f t="shared" si="125"/>
        <v>0</v>
      </c>
      <c r="EE35" s="186">
        <f t="shared" si="125"/>
        <v>0</v>
      </c>
      <c r="EF35" s="186">
        <f t="shared" si="125"/>
        <v>0</v>
      </c>
      <c r="EG35" s="147">
        <f ca="1">IFERROR(EF35/EF$29,0)</f>
        <v>0</v>
      </c>
      <c r="EH35" s="186">
        <f t="shared" si="126"/>
        <v>0</v>
      </c>
      <c r="EI35" s="186">
        <f t="shared" si="126"/>
        <v>0</v>
      </c>
      <c r="EJ35" s="147">
        <f ca="1">IFERROR(EI35/EI$29,0)</f>
        <v>0</v>
      </c>
      <c r="EL35" s="186">
        <f t="shared" si="127"/>
        <v>0</v>
      </c>
      <c r="EM35" s="186">
        <f t="shared" si="127"/>
        <v>0</v>
      </c>
      <c r="EN35" s="174" t="s">
        <v>27</v>
      </c>
      <c r="EO35" s="174" t="s">
        <v>27</v>
      </c>
      <c r="EP35" s="174" t="s">
        <v>27</v>
      </c>
      <c r="EQ35" s="186">
        <f t="shared" si="128"/>
        <v>0</v>
      </c>
      <c r="ER35" s="186">
        <f t="shared" si="128"/>
        <v>0</v>
      </c>
      <c r="ES35" s="186">
        <f t="shared" si="128"/>
        <v>0</v>
      </c>
      <c r="ET35" s="149">
        <f>IFERROR(ES35/EU35,0)</f>
        <v>0</v>
      </c>
      <c r="EU35" s="186">
        <f t="shared" si="129"/>
        <v>0</v>
      </c>
      <c r="EV35" s="186">
        <f t="shared" si="129"/>
        <v>0</v>
      </c>
      <c r="EW35" s="186">
        <f t="shared" si="129"/>
        <v>0</v>
      </c>
      <c r="EX35" s="186">
        <f t="shared" si="129"/>
        <v>0</v>
      </c>
      <c r="EY35" s="186">
        <f t="shared" si="129"/>
        <v>0</v>
      </c>
      <c r="EZ35" s="147">
        <f ca="1">IFERROR(EY35/EY$29,0)</f>
        <v>0</v>
      </c>
      <c r="FA35" s="186">
        <f t="shared" si="130"/>
        <v>0</v>
      </c>
      <c r="FB35" s="186">
        <f t="shared" si="130"/>
        <v>0</v>
      </c>
      <c r="FC35" s="147">
        <f ca="1">IFERROR(FB35/FB$29,0)</f>
        <v>0</v>
      </c>
      <c r="FF35" s="146">
        <f ca="1">OFFSET($G35,0,IF($FF$4=$G$4,1,12)+MATCH($FF$4,$G$4:$FC$4,0))</f>
        <v>0</v>
      </c>
      <c r="FG35" s="146">
        <f ca="1">OFFSET($G35,0,IF($FF$4=$G$4,2,13)+MATCH($FF$4,$G$4:$FC$4,0))</f>
        <v>0</v>
      </c>
      <c r="FH35" s="146">
        <f ca="1">OFFSET($G35,0,IF($FF$4=$G$4,5,17)+MATCH($FF$4,$G$4:$FC$4,0))</f>
        <v>0</v>
      </c>
      <c r="FK35" s="174" t="str">
        <f t="shared" ca="1" si="131"/>
        <v>na</v>
      </c>
      <c r="FL35" s="174" t="str">
        <f t="shared" ca="1" si="131"/>
        <v>na</v>
      </c>
      <c r="FM35" s="174" t="str">
        <f ca="1">IFERROR(OFFSET($G35,0,IF($FK$4=$G$4,5,17)+MATCH($FK$4,$G$4:$FC$4,0)),"na")</f>
        <v>na</v>
      </c>
    </row>
    <row r="36" spans="2:169">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88">
        <f ca="1">SUM(W32:W35)</f>
        <v>0</v>
      </c>
      <c r="X36" s="188">
        <f ca="1">SUM(X32:X35)</f>
        <v>0</v>
      </c>
      <c r="Y36" s="188">
        <f ca="1">SUM(Y32:Y35)</f>
        <v>0</v>
      </c>
      <c r="Z36" s="151">
        <f ca="1">IFERROR(Y36/AA36,0)</f>
        <v>0</v>
      </c>
      <c r="AA36" s="188">
        <f ca="1">SUM(AA32:AA35)</f>
        <v>0</v>
      </c>
      <c r="AB36" s="188">
        <f ca="1">SUM(AB32:AB35)</f>
        <v>0</v>
      </c>
      <c r="AC36" s="188">
        <f ca="1">SUM(AC32:AC35)</f>
        <v>0</v>
      </c>
      <c r="AD36" s="188">
        <f ca="1">SUM(AD32:AD35)</f>
        <v>0</v>
      </c>
      <c r="AE36" s="188">
        <f ca="1">SUM(AE32:AE35)</f>
        <v>0</v>
      </c>
      <c r="AF36" s="152">
        <f ca="1">IFERROR(AE36/AE$29,0)</f>
        <v>0</v>
      </c>
      <c r="AG36" s="188">
        <f ca="1">SUM(AG32:AG35)</f>
        <v>0</v>
      </c>
      <c r="AH36" s="188">
        <f ca="1">SUM(AH32:AH35)</f>
        <v>0</v>
      </c>
      <c r="AI36" s="152">
        <f ca="1">IFERROR(AH36/AH$29,0)</f>
        <v>0</v>
      </c>
      <c r="AK36" s="182"/>
      <c r="AL36" s="182"/>
      <c r="AM36" s="188">
        <f>SUM(AM32:AM35)</f>
        <v>0</v>
      </c>
      <c r="AN36" s="188">
        <f>SUM(AN32:AN35)</f>
        <v>0</v>
      </c>
      <c r="AO36" s="151"/>
      <c r="AP36" s="151"/>
      <c r="AQ36" s="151"/>
      <c r="AR36" s="188">
        <f ca="1">SUM(AR32:AR35)</f>
        <v>0</v>
      </c>
      <c r="AS36" s="188">
        <f ca="1">SUM(AS32:AS35)</f>
        <v>0</v>
      </c>
      <c r="AT36" s="188">
        <f ca="1">SUM(AT32:AT35)</f>
        <v>0</v>
      </c>
      <c r="AU36" s="151">
        <f ca="1">IFERROR(AT36/AV36,0)</f>
        <v>0</v>
      </c>
      <c r="AV36" s="188">
        <f ca="1">SUM(AV32:AV35)</f>
        <v>0</v>
      </c>
      <c r="AW36" s="188">
        <f ca="1">SUM(AW32:AW35)</f>
        <v>0</v>
      </c>
      <c r="AX36" s="188">
        <f ca="1">SUM(AX32:AX35)</f>
        <v>0</v>
      </c>
      <c r="AY36" s="188">
        <f ca="1">SUM(AY32:AY35)</f>
        <v>0</v>
      </c>
      <c r="AZ36" s="188">
        <f ca="1">SUM(AZ32:AZ35)</f>
        <v>0</v>
      </c>
      <c r="BA36" s="152">
        <f ca="1">IFERROR(AZ36/AZ$29,0)</f>
        <v>0</v>
      </c>
      <c r="BB36" s="188">
        <f ca="1">SUM(BB32:BB35)</f>
        <v>0</v>
      </c>
      <c r="BC36" s="188">
        <f ca="1">SUM(BC32:BC35)</f>
        <v>0</v>
      </c>
      <c r="BD36" s="152">
        <f ca="1">IFERROR(BC36/BC$29,0)</f>
        <v>0</v>
      </c>
      <c r="BF36" s="182"/>
      <c r="BG36" s="182"/>
      <c r="BH36" s="188">
        <f>SUM(BH32:BH35)</f>
        <v>0</v>
      </c>
      <c r="BI36" s="188">
        <f>SUM(BI32:BI35)</f>
        <v>0</v>
      </c>
      <c r="BJ36" s="151"/>
      <c r="BK36" s="151"/>
      <c r="BL36" s="151"/>
      <c r="BM36" s="188">
        <f ca="1">SUM(BM32:BM35)</f>
        <v>0</v>
      </c>
      <c r="BN36" s="188">
        <f ca="1">SUM(BN32:BN35)</f>
        <v>0</v>
      </c>
      <c r="BO36" s="188">
        <f ca="1">SUM(BO32:BO35)</f>
        <v>0</v>
      </c>
      <c r="BP36" s="151">
        <f ca="1">IFERROR(BO36/BQ36,0)</f>
        <v>0</v>
      </c>
      <c r="BQ36" s="188">
        <f ca="1">SUM(BQ32:BQ35)</f>
        <v>0</v>
      </c>
      <c r="BR36" s="188">
        <f ca="1">SUM(BR32:BR35)</f>
        <v>0</v>
      </c>
      <c r="BS36" s="188">
        <f ca="1">SUM(BS32:BS35)</f>
        <v>0</v>
      </c>
      <c r="BT36" s="188">
        <f ca="1">SUM(BT32:BT35)</f>
        <v>0</v>
      </c>
      <c r="BU36" s="188">
        <f ca="1">SUM(BU32:BU35)</f>
        <v>0</v>
      </c>
      <c r="BV36" s="152">
        <f ca="1">IFERROR(BU36/BU$29,0)</f>
        <v>0</v>
      </c>
      <c r="BW36" s="188">
        <f ca="1">SUM(BW32:BW35)</f>
        <v>0</v>
      </c>
      <c r="BX36" s="188">
        <f ca="1">SUM(BX32:BX35)</f>
        <v>0</v>
      </c>
      <c r="BY36" s="152">
        <f ca="1">IFERROR(BX36/BX$29,0)</f>
        <v>0</v>
      </c>
      <c r="CA36" s="182"/>
      <c r="CB36" s="182"/>
      <c r="CC36" s="188">
        <f>SUM(CC32:CC35)</f>
        <v>0</v>
      </c>
      <c r="CD36" s="188">
        <f>SUM(CD32:CD35)</f>
        <v>0</v>
      </c>
      <c r="CE36" s="151"/>
      <c r="CF36" s="151"/>
      <c r="CG36" s="151"/>
      <c r="CH36" s="188">
        <f ca="1">SUM(CH32:CH35)</f>
        <v>0</v>
      </c>
      <c r="CI36" s="188">
        <f ca="1">SUM(CI32:CI35)</f>
        <v>0</v>
      </c>
      <c r="CJ36" s="188">
        <f ca="1">SUM(CJ32:CJ35)</f>
        <v>0</v>
      </c>
      <c r="CK36" s="151">
        <f ca="1">IFERROR(CJ36/CL36,0)</f>
        <v>0</v>
      </c>
      <c r="CL36" s="188">
        <f ca="1">SUM(CL32:CL35)</f>
        <v>0</v>
      </c>
      <c r="CM36" s="188">
        <f ca="1">SUM(CM32:CM35)</f>
        <v>0</v>
      </c>
      <c r="CN36" s="188">
        <f ca="1">SUM(CN32:CN35)</f>
        <v>0</v>
      </c>
      <c r="CO36" s="188">
        <f ca="1">SUM(CO32:CO35)</f>
        <v>0</v>
      </c>
      <c r="CP36" s="188">
        <f ca="1">SUM(CP32:CP35)</f>
        <v>0</v>
      </c>
      <c r="CQ36" s="152">
        <f ca="1">IFERROR(CP36/CP$29,0)</f>
        <v>0</v>
      </c>
      <c r="CR36" s="188">
        <f ca="1">SUM(CR32:CR35)</f>
        <v>0</v>
      </c>
      <c r="CS36" s="188">
        <f ca="1">SUM(CS32:CS35)</f>
        <v>0</v>
      </c>
      <c r="CT36" s="152">
        <f ca="1">IFERROR(CS36/CS$29,0)</f>
        <v>0</v>
      </c>
      <c r="CV36" s="182"/>
      <c r="CW36" s="182"/>
      <c r="CX36" s="188">
        <f>SUM(CX32:CX35)</f>
        <v>0</v>
      </c>
      <c r="CY36" s="188">
        <f>SUM(CY32:CY35)</f>
        <v>0</v>
      </c>
      <c r="CZ36" s="151"/>
      <c r="DA36" s="151"/>
      <c r="DB36" s="151"/>
      <c r="DC36" s="188">
        <f ca="1">SUM(DC32:DC35)</f>
        <v>0</v>
      </c>
      <c r="DD36" s="188">
        <f ca="1">SUM(DD32:DD35)</f>
        <v>0</v>
      </c>
      <c r="DE36" s="188">
        <f ca="1">SUM(DE32:DE35)</f>
        <v>0</v>
      </c>
      <c r="DF36" s="151">
        <f ca="1">IFERROR(DE36/DG36,0)</f>
        <v>0</v>
      </c>
      <c r="DG36" s="188">
        <f ca="1">SUM(DG32:DG35)</f>
        <v>0</v>
      </c>
      <c r="DH36" s="188">
        <f ca="1">SUM(DH32:DH35)</f>
        <v>0</v>
      </c>
      <c r="DI36" s="188">
        <f ca="1">SUM(DI32:DI35)</f>
        <v>0</v>
      </c>
      <c r="DJ36" s="188">
        <f ca="1">SUM(DJ32:DJ35)</f>
        <v>0</v>
      </c>
      <c r="DK36" s="188">
        <f ca="1">SUM(DK32:DK35)</f>
        <v>0</v>
      </c>
      <c r="DL36" s="152">
        <f ca="1">IFERROR(DK36/DK$29,0)</f>
        <v>0</v>
      </c>
      <c r="DM36" s="188">
        <f ca="1">SUM(DM32:DM35)</f>
        <v>0</v>
      </c>
      <c r="DN36" s="188">
        <f ca="1">SUM(DN32:DN35)</f>
        <v>0</v>
      </c>
      <c r="DO36" s="152">
        <f ca="1">IFERROR(DN36/DN$29,0)</f>
        <v>0</v>
      </c>
      <c r="DQ36" s="182"/>
      <c r="DR36" s="182"/>
      <c r="DS36" s="188">
        <f>SUM(DS32:DS35)</f>
        <v>0</v>
      </c>
      <c r="DT36" s="188">
        <f>SUM(DT32:DT35)</f>
        <v>0</v>
      </c>
      <c r="DU36" s="151"/>
      <c r="DV36" s="151"/>
      <c r="DW36" s="151"/>
      <c r="DX36" s="188">
        <f ca="1">SUM(DX32:DX35)</f>
        <v>0</v>
      </c>
      <c r="DY36" s="188">
        <f ca="1">SUM(DY32:DY35)</f>
        <v>0</v>
      </c>
      <c r="DZ36" s="188">
        <f ca="1">SUM(DZ32:DZ35)</f>
        <v>0</v>
      </c>
      <c r="EA36" s="151">
        <f ca="1">IFERROR(DZ36/EB36,0)</f>
        <v>0</v>
      </c>
      <c r="EB36" s="188">
        <f ca="1">SUM(EB32:EB35)</f>
        <v>0</v>
      </c>
      <c r="EC36" s="188">
        <f ca="1">SUM(EC32:EC35)</f>
        <v>0</v>
      </c>
      <c r="ED36" s="188">
        <f ca="1">SUM(ED32:ED35)</f>
        <v>0</v>
      </c>
      <c r="EE36" s="188">
        <f ca="1">SUM(EE32:EE35)</f>
        <v>0</v>
      </c>
      <c r="EF36" s="188">
        <f ca="1">SUM(EF32:EF35)</f>
        <v>0</v>
      </c>
      <c r="EG36" s="152">
        <f ca="1">IFERROR(EF36/EF$29,0)</f>
        <v>0</v>
      </c>
      <c r="EH36" s="188">
        <f ca="1">SUM(EH32:EH35)</f>
        <v>0</v>
      </c>
      <c r="EI36" s="188">
        <f ca="1">SUM(EI32:EI35)</f>
        <v>0</v>
      </c>
      <c r="EJ36" s="152">
        <f ca="1">IFERROR(EI36/EI$29,0)</f>
        <v>0</v>
      </c>
      <c r="EL36" s="188">
        <f>SUM(EL32:EL35)</f>
        <v>0</v>
      </c>
      <c r="EM36" s="188">
        <f>SUM(EM32:EM35)</f>
        <v>0</v>
      </c>
      <c r="EN36" s="151"/>
      <c r="EO36" s="151"/>
      <c r="EP36" s="151"/>
      <c r="EQ36" s="188">
        <f ca="1">SUM(EQ32:EQ35)</f>
        <v>0</v>
      </c>
      <c r="ER36" s="188">
        <f ca="1">SUM(ER32:ER35)</f>
        <v>0</v>
      </c>
      <c r="ES36" s="188">
        <f ca="1">SUM(ES32:ES35)</f>
        <v>0</v>
      </c>
      <c r="ET36" s="151">
        <f ca="1">IFERROR(ES36/EU36,0)</f>
        <v>0</v>
      </c>
      <c r="EU36" s="188">
        <f ca="1">SUM(EU32:EU35)</f>
        <v>0</v>
      </c>
      <c r="EV36" s="188">
        <f ca="1">SUM(EV32:EV35)</f>
        <v>0</v>
      </c>
      <c r="EW36" s="188">
        <f ca="1">SUM(EW32:EW35)</f>
        <v>0</v>
      </c>
      <c r="EX36" s="188">
        <f ca="1">SUM(EX32:EX35)</f>
        <v>0</v>
      </c>
      <c r="EY36" s="188">
        <f ca="1">SUM(EY32:EY35)</f>
        <v>0</v>
      </c>
      <c r="EZ36" s="152">
        <f ca="1">IFERROR(EY36/EY$29,0)</f>
        <v>0</v>
      </c>
      <c r="FA36" s="188">
        <f ca="1">SUM(FA32:FA35)</f>
        <v>0</v>
      </c>
      <c r="FB36" s="188">
        <f ca="1">SUM(FB32:FB35)</f>
        <v>0</v>
      </c>
      <c r="FC36" s="152">
        <f ca="1">IFERROR(FB36/FB$29,0)</f>
        <v>0</v>
      </c>
      <c r="FF36" s="188">
        <f ca="1">SUM(FF32:FF35)</f>
        <v>0</v>
      </c>
      <c r="FG36" s="188">
        <f ca="1">SUM(FG32:FG35)</f>
        <v>0</v>
      </c>
      <c r="FH36" s="188">
        <f ca="1">SUM(FH32:FH35)</f>
        <v>0</v>
      </c>
      <c r="FK36" s="188">
        <f ca="1">SUM(FK32:FK35)</f>
        <v>0</v>
      </c>
      <c r="FL36" s="188">
        <f ca="1">SUM(FL32:FL35)</f>
        <v>0</v>
      </c>
      <c r="FM36" s="188">
        <f ca="1">SUM(FM32:FM35)</f>
        <v>0</v>
      </c>
    </row>
    <row r="37" spans="2:169">
      <c r="BF37" s="155"/>
      <c r="BG37" s="155"/>
      <c r="CA37" s="155"/>
      <c r="CB37" s="155"/>
      <c r="CV37" s="155"/>
      <c r="CW37" s="155"/>
      <c r="DQ37" s="155"/>
      <c r="DR37" s="155"/>
    </row>
    <row r="38" spans="2:169">
      <c r="B38" s="189" t="s">
        <v>437</v>
      </c>
      <c r="BF38" s="155"/>
      <c r="BG38" s="155"/>
      <c r="CA38" s="155"/>
      <c r="CB38" s="155"/>
      <c r="CV38" s="155"/>
      <c r="CW38" s="155"/>
      <c r="DQ38" s="155"/>
      <c r="DR38" s="155"/>
    </row>
    <row r="39" spans="2:169">
      <c r="B39" s="150" t="s">
        <v>448</v>
      </c>
      <c r="D39" s="177" t="s">
        <v>27</v>
      </c>
      <c r="E39" s="177" t="s">
        <v>27</v>
      </c>
      <c r="G39" s="155" t="s">
        <v>27</v>
      </c>
      <c r="H39" s="155" t="s">
        <v>27</v>
      </c>
      <c r="I39" s="186">
        <f t="shared" ref="I39:K43" si="132">SUMIFS(I$6:I$28,$H$6:$H$28,$B39)</f>
        <v>0</v>
      </c>
      <c r="J39" s="186">
        <f t="shared" si="132"/>
        <v>0</v>
      </c>
      <c r="K39" s="186">
        <f t="shared" si="132"/>
        <v>0</v>
      </c>
      <c r="L39" s="147">
        <f>IFERROR(K39/K$29,0)</f>
        <v>0</v>
      </c>
      <c r="M39" s="186">
        <f>SUMIFS(M$6:M$28,$H$6:$H$28,$B39)</f>
        <v>0</v>
      </c>
      <c r="N39" s="147">
        <f>IFERROR(M39/M$29,0)</f>
        <v>0</v>
      </c>
      <c r="P39" s="155" t="s">
        <v>27</v>
      </c>
      <c r="Q39" s="155" t="s">
        <v>27</v>
      </c>
      <c r="R39" s="186">
        <f t="shared" ref="R39:S43" si="133">SUMIFS(R$6:R$28,$Q$6:$Q$28,$B39)</f>
        <v>0</v>
      </c>
      <c r="S39" s="186">
        <f t="shared" si="133"/>
        <v>0</v>
      </c>
      <c r="T39" s="187" t="s">
        <v>27</v>
      </c>
      <c r="U39" s="187" t="s">
        <v>27</v>
      </c>
      <c r="V39" s="187" t="s">
        <v>27</v>
      </c>
      <c r="W39" s="186">
        <f t="shared" ref="W39:Y43" ca="1" si="134">SUMIFS(W$6:W$28,$Q$6:$Q$28,$B39)</f>
        <v>0</v>
      </c>
      <c r="X39" s="186">
        <f t="shared" ca="1" si="134"/>
        <v>0</v>
      </c>
      <c r="Y39" s="186">
        <f t="shared" ca="1" si="134"/>
        <v>0</v>
      </c>
      <c r="Z39" s="149">
        <f t="shared" ref="Z39:Z43" ca="1" si="135">IFERROR(Y39/AA39,0)</f>
        <v>0</v>
      </c>
      <c r="AA39" s="186">
        <f t="shared" ref="AA39:AE43" ca="1" si="136">SUMIFS(AA$6:AA$28,$Q$6:$Q$28,$B39)</f>
        <v>0</v>
      </c>
      <c r="AB39" s="186">
        <f t="shared" ca="1" si="136"/>
        <v>0</v>
      </c>
      <c r="AC39" s="186">
        <f t="shared" ca="1" si="136"/>
        <v>0</v>
      </c>
      <c r="AD39" s="186">
        <f t="shared" ca="1" si="136"/>
        <v>0</v>
      </c>
      <c r="AE39" s="186">
        <f t="shared" ca="1" si="136"/>
        <v>0</v>
      </c>
      <c r="AF39" s="147">
        <f ca="1">IFERROR(AE39/AE$29,0)</f>
        <v>0</v>
      </c>
      <c r="AG39" s="186">
        <f t="shared" ref="AG39:AH43" ca="1" si="137">SUMIFS(AG$6:AG$28,$Q$6:$Q$28,$B39)</f>
        <v>0</v>
      </c>
      <c r="AH39" s="186">
        <f t="shared" ca="1" si="137"/>
        <v>0</v>
      </c>
      <c r="AI39" s="147">
        <f ca="1">IFERROR(AH39/AH$29,0)</f>
        <v>0</v>
      </c>
      <c r="AK39" s="155" t="s">
        <v>27</v>
      </c>
      <c r="AL39" s="155" t="s">
        <v>27</v>
      </c>
      <c r="AM39" s="186">
        <f t="shared" ref="AM39:AN44" si="138">SUMIFS(AM$6:AM$28,$AL$6:$AL$28,$B39)</f>
        <v>0</v>
      </c>
      <c r="AN39" s="186">
        <f t="shared" si="138"/>
        <v>0</v>
      </c>
      <c r="AO39" s="187" t="s">
        <v>27</v>
      </c>
      <c r="AP39" s="187" t="s">
        <v>27</v>
      </c>
      <c r="AQ39" s="187" t="s">
        <v>27</v>
      </c>
      <c r="AR39" s="186">
        <f t="shared" ref="AR39:AT44" ca="1" si="139">SUMIFS(AR$6:AR$28,$AL$6:$AL$28,$B39)</f>
        <v>0</v>
      </c>
      <c r="AS39" s="186">
        <f t="shared" ca="1" si="139"/>
        <v>0</v>
      </c>
      <c r="AT39" s="186">
        <f t="shared" ca="1" si="139"/>
        <v>0</v>
      </c>
      <c r="AU39" s="149">
        <f t="shared" ref="AU39:AU43" ca="1" si="140">IFERROR(AT39/AV39,0)</f>
        <v>0</v>
      </c>
      <c r="AV39" s="186">
        <f t="shared" ref="AV39:AZ44" ca="1" si="141">SUMIFS(AV$6:AV$28,$AL$6:$AL$28,$B39)</f>
        <v>0</v>
      </c>
      <c r="AW39" s="186">
        <f t="shared" ca="1" si="141"/>
        <v>0</v>
      </c>
      <c r="AX39" s="186">
        <f t="shared" ca="1" si="141"/>
        <v>0</v>
      </c>
      <c r="AY39" s="186">
        <f t="shared" ca="1" si="141"/>
        <v>0</v>
      </c>
      <c r="AZ39" s="186">
        <f t="shared" ca="1" si="141"/>
        <v>0</v>
      </c>
      <c r="BA39" s="147">
        <f ca="1">IFERROR(AZ39/AZ$29,0)</f>
        <v>0</v>
      </c>
      <c r="BB39" s="186">
        <f t="shared" ref="BB39:BC44" ca="1" si="142">SUMIFS(BB$6:BB$28,$AL$6:$AL$28,$B39)</f>
        <v>0</v>
      </c>
      <c r="BC39" s="186">
        <f t="shared" ca="1" si="142"/>
        <v>0</v>
      </c>
      <c r="BD39" s="147">
        <f ca="1">IFERROR(BC39/BC$29,0)</f>
        <v>0</v>
      </c>
      <c r="BF39" s="190" t="s">
        <v>450</v>
      </c>
      <c r="BG39" s="190" t="s">
        <v>450</v>
      </c>
      <c r="BH39" s="186">
        <f t="shared" ref="BH39:BI43" si="143">SUMIFS(BH$6:BH$28,$BG$6:$BG$28,$B39)</f>
        <v>0</v>
      </c>
      <c r="BI39" s="186">
        <f t="shared" si="143"/>
        <v>0</v>
      </c>
      <c r="BJ39" s="187" t="s">
        <v>27</v>
      </c>
      <c r="BK39" s="187" t="s">
        <v>27</v>
      </c>
      <c r="BL39" s="187" t="s">
        <v>27</v>
      </c>
      <c r="BM39" s="186">
        <f t="shared" ref="BM39:BO43" ca="1" si="144">SUMIFS(BM$6:BM$28,$BG$6:$BG$28,$B39)</f>
        <v>0</v>
      </c>
      <c r="BN39" s="186">
        <f t="shared" ca="1" si="144"/>
        <v>0</v>
      </c>
      <c r="BO39" s="186">
        <f t="shared" ca="1" si="144"/>
        <v>0</v>
      </c>
      <c r="BP39" s="149">
        <f t="shared" ref="BP39:BP43" ca="1" si="145">IFERROR(BO39/BQ39,0)</f>
        <v>0</v>
      </c>
      <c r="BQ39" s="186">
        <f t="shared" ref="BQ39:BU43" ca="1" si="146">SUMIFS(BQ$6:BQ$28,$BG$6:$BG$28,$B39)</f>
        <v>0</v>
      </c>
      <c r="BR39" s="186">
        <f t="shared" ca="1" si="146"/>
        <v>0</v>
      </c>
      <c r="BS39" s="186">
        <f t="shared" ca="1" si="146"/>
        <v>0</v>
      </c>
      <c r="BT39" s="186">
        <f t="shared" ca="1" si="146"/>
        <v>0</v>
      </c>
      <c r="BU39" s="186">
        <f t="shared" ca="1" si="146"/>
        <v>0</v>
      </c>
      <c r="BV39" s="147">
        <f ca="1">IFERROR(BU39/BU$29,0)</f>
        <v>0</v>
      </c>
      <c r="BW39" s="186">
        <f t="shared" ref="BW39:BX43" ca="1" si="147">SUMIFS(BW$6:BW$28,$BG$6:$BG$28,$B39)</f>
        <v>0</v>
      </c>
      <c r="BX39" s="186">
        <f t="shared" ca="1" si="147"/>
        <v>0</v>
      </c>
      <c r="BY39" s="147">
        <f ca="1">IFERROR(BX39/BX$29,0)</f>
        <v>0</v>
      </c>
      <c r="CA39" s="155" t="s">
        <v>27</v>
      </c>
      <c r="CB39" s="155" t="s">
        <v>27</v>
      </c>
      <c r="CC39" s="186">
        <f t="shared" ref="CC39:CD44" si="148">SUMIFS(CC$6:CC$28,$CB$6:$CB$28,$B39)</f>
        <v>0</v>
      </c>
      <c r="CD39" s="186">
        <f t="shared" si="148"/>
        <v>0</v>
      </c>
      <c r="CE39" s="187" t="s">
        <v>27</v>
      </c>
      <c r="CF39" s="187" t="s">
        <v>27</v>
      </c>
      <c r="CG39" s="187" t="s">
        <v>27</v>
      </c>
      <c r="CH39" s="186">
        <f t="shared" ref="CH39:CJ44" ca="1" si="149">SUMIFS(CH$6:CH$28,$CB$6:$CB$28,$B39)</f>
        <v>0</v>
      </c>
      <c r="CI39" s="186">
        <f t="shared" ca="1" si="149"/>
        <v>0</v>
      </c>
      <c r="CJ39" s="186">
        <f t="shared" ca="1" si="149"/>
        <v>0</v>
      </c>
      <c r="CK39" s="149">
        <f t="shared" ref="CK39:CK43" ca="1" si="150">IFERROR(CJ39/CL39,0)</f>
        <v>0</v>
      </c>
      <c r="CL39" s="186">
        <f t="shared" ref="CL39:CM44" ca="1" si="151">SUMIFS(CL$6:CL$28,$CB$6:$CB$28,$B39)</f>
        <v>0</v>
      </c>
      <c r="CM39" s="186">
        <f t="shared" ca="1" si="151"/>
        <v>0</v>
      </c>
      <c r="CN39" s="147">
        <f ca="1">IFERROR(CM39/CM$29,0)</f>
        <v>0</v>
      </c>
      <c r="CO39" s="186">
        <f t="shared" ref="CO39:CP44" ca="1" si="152">SUMIFS(CO$6:CO$28,$CB$6:$CB$28,$B39)</f>
        <v>0</v>
      </c>
      <c r="CP39" s="186">
        <f t="shared" ca="1" si="152"/>
        <v>0</v>
      </c>
      <c r="CQ39" s="147">
        <f ca="1">IFERROR(CP39/CP$29,0)</f>
        <v>0</v>
      </c>
      <c r="CR39" s="186">
        <f t="shared" ref="CR39:CS44" ca="1" si="153">SUMIFS(CR$6:CR$28,$CB$6:$CB$28,$B39)</f>
        <v>0</v>
      </c>
      <c r="CS39" s="186">
        <f t="shared" ca="1" si="153"/>
        <v>0</v>
      </c>
      <c r="CT39" s="147">
        <f ca="1">IFERROR(CS39/CS$29,0)</f>
        <v>0</v>
      </c>
      <c r="CV39" s="155" t="s">
        <v>27</v>
      </c>
      <c r="CW39" s="155" t="s">
        <v>27</v>
      </c>
      <c r="CX39" s="186">
        <f t="shared" ref="CX39:CY43" si="154">SUMIFS(CX$6:CX$28,$CW$6:$CW$28,$B39)</f>
        <v>0</v>
      </c>
      <c r="CY39" s="186">
        <f t="shared" si="154"/>
        <v>0</v>
      </c>
      <c r="CZ39" s="187" t="s">
        <v>27</v>
      </c>
      <c r="DA39" s="187" t="s">
        <v>27</v>
      </c>
      <c r="DB39" s="187" t="s">
        <v>27</v>
      </c>
      <c r="DC39" s="186">
        <f t="shared" ref="DC39:DE43" ca="1" si="155">SUMIFS(DC$6:DC$28,$CW$6:$CW$28,$B39)</f>
        <v>0</v>
      </c>
      <c r="DD39" s="186">
        <f t="shared" ca="1" si="155"/>
        <v>0</v>
      </c>
      <c r="DE39" s="186">
        <f t="shared" ca="1" si="155"/>
        <v>0</v>
      </c>
      <c r="DF39" s="149">
        <f t="shared" ref="DF39:DF43" ca="1" si="156">IFERROR(DE39/DG39,0)</f>
        <v>0</v>
      </c>
      <c r="DG39" s="186">
        <f t="shared" ref="DG39:DK43" ca="1" si="157">SUMIFS(DG$6:DG$28,$CW$6:$CW$28,$B39)</f>
        <v>0</v>
      </c>
      <c r="DH39" s="186">
        <f t="shared" ca="1" si="157"/>
        <v>0</v>
      </c>
      <c r="DI39" s="186">
        <f t="shared" ca="1" si="157"/>
        <v>0</v>
      </c>
      <c r="DJ39" s="186">
        <f t="shared" ca="1" si="157"/>
        <v>0</v>
      </c>
      <c r="DK39" s="186">
        <f t="shared" ca="1" si="157"/>
        <v>0</v>
      </c>
      <c r="DL39" s="147">
        <f ca="1">IFERROR(DK39/DK$29,0)</f>
        <v>0</v>
      </c>
      <c r="DM39" s="186">
        <f t="shared" ref="DM39:DN43" ca="1" si="158">SUMIFS(DM$6:DM$28,$CW$6:$CW$28,$B39)</f>
        <v>0</v>
      </c>
      <c r="DN39" s="186">
        <f t="shared" ca="1" si="158"/>
        <v>0</v>
      </c>
      <c r="DO39" s="147">
        <f ca="1">IFERROR(DN39/DN$29,0)</f>
        <v>0</v>
      </c>
      <c r="DQ39" s="155" t="s">
        <v>27</v>
      </c>
      <c r="DR39" s="155" t="s">
        <v>27</v>
      </c>
      <c r="DS39" s="186">
        <f t="shared" ref="DS39:DT43" si="159">SUMIFS(DS$6:DS$28,$CW$6:$CW$28,$B39)</f>
        <v>0</v>
      </c>
      <c r="DT39" s="186">
        <f t="shared" si="159"/>
        <v>0</v>
      </c>
      <c r="DU39" s="187" t="s">
        <v>27</v>
      </c>
      <c r="DV39" s="187" t="s">
        <v>27</v>
      </c>
      <c r="DW39" s="187" t="s">
        <v>27</v>
      </c>
      <c r="DX39" s="186">
        <f t="shared" ref="DX39:DZ43" ca="1" si="160">SUMIFS(DX$6:DX$28,$CW$6:$CW$28,$B39)</f>
        <v>0</v>
      </c>
      <c r="DY39" s="186">
        <f t="shared" ca="1" si="160"/>
        <v>0</v>
      </c>
      <c r="DZ39" s="186">
        <f t="shared" ca="1" si="160"/>
        <v>0</v>
      </c>
      <c r="EA39" s="149">
        <f t="shared" ref="EA39:EA43" ca="1" si="161">IFERROR(DZ39/EB39,0)</f>
        <v>0</v>
      </c>
      <c r="EB39" s="186">
        <f t="shared" ref="EB39:EF43" ca="1" si="162">SUMIFS(EB$6:EB$28,$CW$6:$CW$28,$B39)</f>
        <v>0</v>
      </c>
      <c r="EC39" s="186">
        <f t="shared" ca="1" si="162"/>
        <v>0</v>
      </c>
      <c r="ED39" s="186">
        <f t="shared" ca="1" si="162"/>
        <v>0</v>
      </c>
      <c r="EE39" s="186">
        <f t="shared" ca="1" si="162"/>
        <v>0</v>
      </c>
      <c r="EF39" s="186">
        <f t="shared" ca="1" si="162"/>
        <v>0</v>
      </c>
      <c r="EG39" s="147">
        <f ca="1">IFERROR(EF39/EF$29,0)</f>
        <v>0</v>
      </c>
      <c r="EH39" s="186">
        <f t="shared" ref="EH39:EI43" ca="1" si="163">SUMIFS(EH$6:EH$28,$CW$6:$CW$28,$B39)</f>
        <v>0</v>
      </c>
      <c r="EI39" s="186">
        <f t="shared" ca="1" si="163"/>
        <v>0</v>
      </c>
      <c r="EJ39" s="147">
        <f ca="1">IFERROR(EI39/EI$29,0)</f>
        <v>0</v>
      </c>
      <c r="FF39" s="146">
        <f ca="1">OFFSET($G39,0,IF($FF$4=$G$4,1,12)+MATCH($FF$4,$G$4:$FC$4,0))</f>
        <v>0</v>
      </c>
      <c r="FG39" s="146">
        <f ca="1">OFFSET($G39,0,IF($FF$4=$G$4,2,13)+MATCH($FF$4,$G$4:$FC$4,0))</f>
        <v>0</v>
      </c>
      <c r="FH39" s="146">
        <f ca="1">OFFSET($G39,0,IF($FF$4=$G$4,5,17)+MATCH($FF$4,$G$4:$FC$4,0))</f>
        <v>0</v>
      </c>
      <c r="FK39" s="174" t="str">
        <f t="shared" ref="FK39:FL43" ca="1" si="164">IFERROR(OFFSET($G39,0,IF($FK$4=$G$4,1,12)+MATCH($FK$4,$G$4:$FC$4,0)),"na")</f>
        <v>na</v>
      </c>
      <c r="FL39" s="174" t="str">
        <f t="shared" ca="1" si="164"/>
        <v>na</v>
      </c>
      <c r="FM39" s="174" t="str">
        <f ca="1">IFERROR(OFFSET($G39,0,IF($FK$4=$G$4,5,17)+MATCH($FK$4,$G$4:$FC$4,0)),"na")</f>
        <v>na</v>
      </c>
    </row>
    <row r="40" spans="2:169">
      <c r="B40" s="150" t="s">
        <v>449</v>
      </c>
      <c r="D40" s="177" t="s">
        <v>27</v>
      </c>
      <c r="E40" s="177" t="s">
        <v>27</v>
      </c>
      <c r="G40" s="155" t="s">
        <v>27</v>
      </c>
      <c r="H40" s="155" t="s">
        <v>27</v>
      </c>
      <c r="I40" s="186">
        <f t="shared" si="132"/>
        <v>0</v>
      </c>
      <c r="J40" s="186">
        <f t="shared" si="132"/>
        <v>0</v>
      </c>
      <c r="K40" s="186">
        <f t="shared" si="132"/>
        <v>0</v>
      </c>
      <c r="L40" s="147">
        <f t="shared" ref="L40:L44" si="165">IFERROR(K40/K$29,0)</f>
        <v>0</v>
      </c>
      <c r="M40" s="186">
        <f>SUMIFS(M$6:M$28,$H$6:$H$28,$B40)</f>
        <v>0</v>
      </c>
      <c r="N40" s="147">
        <f t="shared" ref="N40:N44" si="166">IFERROR(M40/M$29,0)</f>
        <v>0</v>
      </c>
      <c r="P40" s="155" t="s">
        <v>27</v>
      </c>
      <c r="Q40" s="155" t="s">
        <v>27</v>
      </c>
      <c r="R40" s="186">
        <f t="shared" si="133"/>
        <v>0</v>
      </c>
      <c r="S40" s="186">
        <f t="shared" si="133"/>
        <v>0</v>
      </c>
      <c r="T40" s="187" t="s">
        <v>27</v>
      </c>
      <c r="U40" s="187" t="s">
        <v>27</v>
      </c>
      <c r="V40" s="187" t="s">
        <v>27</v>
      </c>
      <c r="W40" s="186">
        <f t="shared" si="134"/>
        <v>0</v>
      </c>
      <c r="X40" s="186">
        <f t="shared" si="134"/>
        <v>0</v>
      </c>
      <c r="Y40" s="186">
        <f t="shared" si="134"/>
        <v>0</v>
      </c>
      <c r="Z40" s="149">
        <f t="shared" si="135"/>
        <v>0</v>
      </c>
      <c r="AA40" s="186">
        <f t="shared" si="136"/>
        <v>0</v>
      </c>
      <c r="AB40" s="186">
        <f t="shared" si="136"/>
        <v>0</v>
      </c>
      <c r="AC40" s="186">
        <f t="shared" si="136"/>
        <v>0</v>
      </c>
      <c r="AD40" s="186">
        <f t="shared" si="136"/>
        <v>0</v>
      </c>
      <c r="AE40" s="186">
        <f t="shared" si="136"/>
        <v>0</v>
      </c>
      <c r="AF40" s="147">
        <f t="shared" ref="AF40:AF44" ca="1" si="167">IFERROR(AE40/AE$29,0)</f>
        <v>0</v>
      </c>
      <c r="AG40" s="186">
        <f t="shared" si="137"/>
        <v>0</v>
      </c>
      <c r="AH40" s="186">
        <f t="shared" si="137"/>
        <v>0</v>
      </c>
      <c r="AI40" s="147">
        <f t="shared" ref="AI40:AI44" ca="1" si="168">IFERROR(AH40/AH$29,0)</f>
        <v>0</v>
      </c>
      <c r="AK40" s="155" t="s">
        <v>27</v>
      </c>
      <c r="AL40" s="155" t="s">
        <v>27</v>
      </c>
      <c r="AM40" s="186">
        <f t="shared" si="138"/>
        <v>0</v>
      </c>
      <c r="AN40" s="186">
        <f t="shared" si="138"/>
        <v>0</v>
      </c>
      <c r="AO40" s="187" t="s">
        <v>27</v>
      </c>
      <c r="AP40" s="187" t="s">
        <v>27</v>
      </c>
      <c r="AQ40" s="187" t="s">
        <v>27</v>
      </c>
      <c r="AR40" s="186">
        <f t="shared" si="139"/>
        <v>0</v>
      </c>
      <c r="AS40" s="186">
        <f t="shared" si="139"/>
        <v>0</v>
      </c>
      <c r="AT40" s="186">
        <f t="shared" si="139"/>
        <v>0</v>
      </c>
      <c r="AU40" s="149">
        <f t="shared" si="140"/>
        <v>0</v>
      </c>
      <c r="AV40" s="186">
        <f t="shared" si="141"/>
        <v>0</v>
      </c>
      <c r="AW40" s="186">
        <f t="shared" si="141"/>
        <v>0</v>
      </c>
      <c r="AX40" s="186">
        <f t="shared" si="141"/>
        <v>0</v>
      </c>
      <c r="AY40" s="186">
        <f t="shared" si="141"/>
        <v>0</v>
      </c>
      <c r="AZ40" s="186">
        <f t="shared" si="141"/>
        <v>0</v>
      </c>
      <c r="BA40" s="147">
        <f t="shared" ref="BA40:BA44" ca="1" si="169">IFERROR(AZ40/AZ$29,0)</f>
        <v>0</v>
      </c>
      <c r="BB40" s="186">
        <f t="shared" si="142"/>
        <v>0</v>
      </c>
      <c r="BC40" s="186">
        <f t="shared" si="142"/>
        <v>0</v>
      </c>
      <c r="BD40" s="147">
        <f t="shared" ref="BD40:BD44" ca="1" si="170">IFERROR(BC40/BC$29,0)</f>
        <v>0</v>
      </c>
      <c r="BF40" s="190" t="s">
        <v>450</v>
      </c>
      <c r="BG40" s="190" t="s">
        <v>450</v>
      </c>
      <c r="BH40" s="186">
        <f t="shared" si="143"/>
        <v>0</v>
      </c>
      <c r="BI40" s="186">
        <f t="shared" si="143"/>
        <v>0</v>
      </c>
      <c r="BJ40" s="187" t="s">
        <v>27</v>
      </c>
      <c r="BK40" s="187" t="s">
        <v>27</v>
      </c>
      <c r="BL40" s="187" t="s">
        <v>27</v>
      </c>
      <c r="BM40" s="186">
        <f t="shared" si="144"/>
        <v>0</v>
      </c>
      <c r="BN40" s="186">
        <f t="shared" si="144"/>
        <v>0</v>
      </c>
      <c r="BO40" s="186">
        <f t="shared" si="144"/>
        <v>0</v>
      </c>
      <c r="BP40" s="149">
        <f t="shared" si="145"/>
        <v>0</v>
      </c>
      <c r="BQ40" s="186">
        <f t="shared" si="146"/>
        <v>0</v>
      </c>
      <c r="BR40" s="186">
        <f t="shared" si="146"/>
        <v>0</v>
      </c>
      <c r="BS40" s="186">
        <f t="shared" si="146"/>
        <v>0</v>
      </c>
      <c r="BT40" s="186">
        <f t="shared" si="146"/>
        <v>0</v>
      </c>
      <c r="BU40" s="186">
        <f t="shared" si="146"/>
        <v>0</v>
      </c>
      <c r="BV40" s="147">
        <f t="shared" ref="BV40:BV44" ca="1" si="171">IFERROR(BU40/BU$29,0)</f>
        <v>0</v>
      </c>
      <c r="BW40" s="186">
        <f t="shared" si="147"/>
        <v>0</v>
      </c>
      <c r="BX40" s="186">
        <f t="shared" si="147"/>
        <v>0</v>
      </c>
      <c r="BY40" s="147">
        <f t="shared" ref="BY40:BY44" ca="1" si="172">IFERROR(BX40/BX$29,0)</f>
        <v>0</v>
      </c>
      <c r="CA40" s="155" t="s">
        <v>27</v>
      </c>
      <c r="CB40" s="155" t="s">
        <v>27</v>
      </c>
      <c r="CC40" s="186">
        <f t="shared" si="148"/>
        <v>0</v>
      </c>
      <c r="CD40" s="186">
        <f t="shared" si="148"/>
        <v>0</v>
      </c>
      <c r="CE40" s="187" t="s">
        <v>27</v>
      </c>
      <c r="CF40" s="187" t="s">
        <v>27</v>
      </c>
      <c r="CG40" s="187" t="s">
        <v>27</v>
      </c>
      <c r="CH40" s="186">
        <f t="shared" si="149"/>
        <v>0</v>
      </c>
      <c r="CI40" s="186">
        <f t="shared" si="149"/>
        <v>0</v>
      </c>
      <c r="CJ40" s="186">
        <f t="shared" si="149"/>
        <v>0</v>
      </c>
      <c r="CK40" s="149">
        <f t="shared" si="150"/>
        <v>0</v>
      </c>
      <c r="CL40" s="186">
        <f t="shared" si="151"/>
        <v>0</v>
      </c>
      <c r="CM40" s="186">
        <f t="shared" si="151"/>
        <v>0</v>
      </c>
      <c r="CN40" s="147">
        <f t="shared" ref="CN40:CN44" ca="1" si="173">IFERROR(CM40/CM$29,0)</f>
        <v>0</v>
      </c>
      <c r="CO40" s="186">
        <f t="shared" si="152"/>
        <v>0</v>
      </c>
      <c r="CP40" s="186">
        <f t="shared" si="152"/>
        <v>0</v>
      </c>
      <c r="CQ40" s="147">
        <f t="shared" ref="CQ40:CQ44" ca="1" si="174">IFERROR(CP40/CP$29,0)</f>
        <v>0</v>
      </c>
      <c r="CR40" s="186">
        <f t="shared" si="153"/>
        <v>0</v>
      </c>
      <c r="CS40" s="186">
        <f t="shared" si="153"/>
        <v>0</v>
      </c>
      <c r="CT40" s="147">
        <f t="shared" ref="CT40:CT44" ca="1" si="175">IFERROR(CS40/CS$29,0)</f>
        <v>0</v>
      </c>
      <c r="CV40" s="155" t="s">
        <v>27</v>
      </c>
      <c r="CW40" s="155" t="s">
        <v>27</v>
      </c>
      <c r="CX40" s="186">
        <f t="shared" si="154"/>
        <v>0</v>
      </c>
      <c r="CY40" s="186">
        <f t="shared" si="154"/>
        <v>0</v>
      </c>
      <c r="CZ40" s="187" t="s">
        <v>27</v>
      </c>
      <c r="DA40" s="187" t="s">
        <v>27</v>
      </c>
      <c r="DB40" s="187" t="s">
        <v>27</v>
      </c>
      <c r="DC40" s="186">
        <f t="shared" si="155"/>
        <v>0</v>
      </c>
      <c r="DD40" s="186">
        <f t="shared" si="155"/>
        <v>0</v>
      </c>
      <c r="DE40" s="186">
        <f t="shared" si="155"/>
        <v>0</v>
      </c>
      <c r="DF40" s="149">
        <f t="shared" si="156"/>
        <v>0</v>
      </c>
      <c r="DG40" s="186">
        <f t="shared" si="157"/>
        <v>0</v>
      </c>
      <c r="DH40" s="186">
        <f t="shared" si="157"/>
        <v>0</v>
      </c>
      <c r="DI40" s="186">
        <f t="shared" si="157"/>
        <v>0</v>
      </c>
      <c r="DJ40" s="186">
        <f t="shared" si="157"/>
        <v>0</v>
      </c>
      <c r="DK40" s="186">
        <f t="shared" si="157"/>
        <v>0</v>
      </c>
      <c r="DL40" s="147">
        <f t="shared" ref="DL40:DL44" ca="1" si="176">IFERROR(DK40/DK$29,0)</f>
        <v>0</v>
      </c>
      <c r="DM40" s="186">
        <f t="shared" si="158"/>
        <v>0</v>
      </c>
      <c r="DN40" s="186">
        <f t="shared" si="158"/>
        <v>0</v>
      </c>
      <c r="DO40" s="147">
        <f t="shared" ref="DO40:DO44" ca="1" si="177">IFERROR(DN40/DN$29,0)</f>
        <v>0</v>
      </c>
      <c r="DQ40" s="155" t="s">
        <v>27</v>
      </c>
      <c r="DR40" s="155" t="s">
        <v>27</v>
      </c>
      <c r="DS40" s="186">
        <f t="shared" si="159"/>
        <v>0</v>
      </c>
      <c r="DT40" s="186">
        <f t="shared" si="159"/>
        <v>0</v>
      </c>
      <c r="DU40" s="187" t="s">
        <v>27</v>
      </c>
      <c r="DV40" s="187" t="s">
        <v>27</v>
      </c>
      <c r="DW40" s="187" t="s">
        <v>27</v>
      </c>
      <c r="DX40" s="186">
        <f t="shared" si="160"/>
        <v>0</v>
      </c>
      <c r="DY40" s="186">
        <f t="shared" si="160"/>
        <v>0</v>
      </c>
      <c r="DZ40" s="186">
        <f t="shared" si="160"/>
        <v>0</v>
      </c>
      <c r="EA40" s="149">
        <f t="shared" si="161"/>
        <v>0</v>
      </c>
      <c r="EB40" s="186">
        <f t="shared" si="162"/>
        <v>0</v>
      </c>
      <c r="EC40" s="186">
        <f t="shared" si="162"/>
        <v>0</v>
      </c>
      <c r="ED40" s="186">
        <f t="shared" si="162"/>
        <v>0</v>
      </c>
      <c r="EE40" s="186">
        <f t="shared" si="162"/>
        <v>0</v>
      </c>
      <c r="EF40" s="186">
        <f t="shared" si="162"/>
        <v>0</v>
      </c>
      <c r="EG40" s="147">
        <f t="shared" ref="EG40:EG44" ca="1" si="178">IFERROR(EF40/EF$29,0)</f>
        <v>0</v>
      </c>
      <c r="EH40" s="186">
        <f t="shared" si="163"/>
        <v>0</v>
      </c>
      <c r="EI40" s="186">
        <f t="shared" si="163"/>
        <v>0</v>
      </c>
      <c r="EJ40" s="147">
        <f t="shared" ref="EJ40:EJ44" ca="1" si="179">IFERROR(EI40/EI$29,0)</f>
        <v>0</v>
      </c>
      <c r="FF40" s="146">
        <f ca="1">OFFSET($G40,0,IF($FF$4=$G$4,1,12)+MATCH($FF$4,$G$4:$FC$4,0))</f>
        <v>0</v>
      </c>
      <c r="FG40" s="146">
        <f ca="1">OFFSET($G40,0,IF($FF$4=$G$4,2,13)+MATCH($FF$4,$G$4:$FC$4,0))</f>
        <v>0</v>
      </c>
      <c r="FH40" s="146">
        <f ca="1">OFFSET($G40,0,IF($FF$4=$G$4,5,17)+MATCH($FF$4,$G$4:$FC$4,0))</f>
        <v>0</v>
      </c>
      <c r="FK40" s="174" t="str">
        <f t="shared" ca="1" si="164"/>
        <v>na</v>
      </c>
      <c r="FL40" s="174" t="str">
        <f t="shared" ca="1" si="164"/>
        <v>na</v>
      </c>
      <c r="FM40" s="174" t="str">
        <f ca="1">IFERROR(OFFSET($G40,0,IF($FK$4=$G$4,5,17)+MATCH($FK$4,$G$4:$FC$4,0)),"na")</f>
        <v>na</v>
      </c>
    </row>
    <row r="41" spans="2:169">
      <c r="B41" s="145" t="s">
        <v>451</v>
      </c>
      <c r="D41" s="177" t="s">
        <v>27</v>
      </c>
      <c r="E41" s="177" t="s">
        <v>27</v>
      </c>
      <c r="G41" s="155" t="s">
        <v>27</v>
      </c>
      <c r="H41" s="155" t="s">
        <v>27</v>
      </c>
      <c r="I41" s="186">
        <f t="shared" si="132"/>
        <v>0</v>
      </c>
      <c r="J41" s="186">
        <f t="shared" si="132"/>
        <v>0</v>
      </c>
      <c r="K41" s="186">
        <f t="shared" si="132"/>
        <v>0</v>
      </c>
      <c r="L41" s="147">
        <f t="shared" si="165"/>
        <v>0</v>
      </c>
      <c r="M41" s="186">
        <f>SUMIFS(M$6:M$28,$H$6:$H$28,$B41)</f>
        <v>0</v>
      </c>
      <c r="N41" s="147">
        <f t="shared" si="166"/>
        <v>0</v>
      </c>
      <c r="P41" s="155" t="s">
        <v>27</v>
      </c>
      <c r="Q41" s="155" t="s">
        <v>27</v>
      </c>
      <c r="R41" s="186">
        <f t="shared" si="133"/>
        <v>0</v>
      </c>
      <c r="S41" s="186">
        <f t="shared" si="133"/>
        <v>0</v>
      </c>
      <c r="T41" s="187" t="s">
        <v>27</v>
      </c>
      <c r="U41" s="187" t="s">
        <v>27</v>
      </c>
      <c r="V41" s="187" t="s">
        <v>27</v>
      </c>
      <c r="W41" s="186">
        <f t="shared" si="134"/>
        <v>0</v>
      </c>
      <c r="X41" s="186">
        <f t="shared" si="134"/>
        <v>0</v>
      </c>
      <c r="Y41" s="186">
        <f t="shared" si="134"/>
        <v>0</v>
      </c>
      <c r="Z41" s="149">
        <f t="shared" si="135"/>
        <v>0</v>
      </c>
      <c r="AA41" s="186">
        <f t="shared" si="136"/>
        <v>0</v>
      </c>
      <c r="AB41" s="186">
        <f t="shared" si="136"/>
        <v>0</v>
      </c>
      <c r="AC41" s="186">
        <f t="shared" si="136"/>
        <v>0</v>
      </c>
      <c r="AD41" s="186">
        <f t="shared" si="136"/>
        <v>0</v>
      </c>
      <c r="AE41" s="186">
        <f t="shared" si="136"/>
        <v>0</v>
      </c>
      <c r="AF41" s="147">
        <f t="shared" ca="1" si="167"/>
        <v>0</v>
      </c>
      <c r="AG41" s="186">
        <f t="shared" si="137"/>
        <v>0</v>
      </c>
      <c r="AH41" s="186">
        <f t="shared" si="137"/>
        <v>0</v>
      </c>
      <c r="AI41" s="147">
        <f t="shared" ca="1" si="168"/>
        <v>0</v>
      </c>
      <c r="AK41" s="155" t="s">
        <v>27</v>
      </c>
      <c r="AL41" s="155" t="s">
        <v>27</v>
      </c>
      <c r="AM41" s="186">
        <f t="shared" si="138"/>
        <v>0</v>
      </c>
      <c r="AN41" s="186">
        <f t="shared" si="138"/>
        <v>0</v>
      </c>
      <c r="AO41" s="187" t="s">
        <v>27</v>
      </c>
      <c r="AP41" s="187" t="s">
        <v>27</v>
      </c>
      <c r="AQ41" s="187" t="s">
        <v>27</v>
      </c>
      <c r="AR41" s="186">
        <f t="shared" si="139"/>
        <v>0</v>
      </c>
      <c r="AS41" s="186">
        <f t="shared" si="139"/>
        <v>0</v>
      </c>
      <c r="AT41" s="186">
        <f t="shared" si="139"/>
        <v>0</v>
      </c>
      <c r="AU41" s="149">
        <f t="shared" si="140"/>
        <v>0</v>
      </c>
      <c r="AV41" s="186">
        <f t="shared" si="141"/>
        <v>0</v>
      </c>
      <c r="AW41" s="186">
        <f t="shared" si="141"/>
        <v>0</v>
      </c>
      <c r="AX41" s="186">
        <f t="shared" si="141"/>
        <v>0</v>
      </c>
      <c r="AY41" s="186">
        <f t="shared" si="141"/>
        <v>0</v>
      </c>
      <c r="AZ41" s="186">
        <f t="shared" si="141"/>
        <v>0</v>
      </c>
      <c r="BA41" s="147">
        <f t="shared" ca="1" si="169"/>
        <v>0</v>
      </c>
      <c r="BB41" s="186">
        <f t="shared" si="142"/>
        <v>0</v>
      </c>
      <c r="BC41" s="186">
        <f t="shared" si="142"/>
        <v>0</v>
      </c>
      <c r="BD41" s="147">
        <f t="shared" ca="1" si="170"/>
        <v>0</v>
      </c>
      <c r="BF41" s="190" t="s">
        <v>450</v>
      </c>
      <c r="BG41" s="190" t="s">
        <v>450</v>
      </c>
      <c r="BH41" s="186">
        <f t="shared" si="143"/>
        <v>0</v>
      </c>
      <c r="BI41" s="186">
        <f t="shared" si="143"/>
        <v>0</v>
      </c>
      <c r="BJ41" s="187" t="s">
        <v>27</v>
      </c>
      <c r="BK41" s="187" t="s">
        <v>27</v>
      </c>
      <c r="BL41" s="187" t="s">
        <v>27</v>
      </c>
      <c r="BM41" s="186">
        <f t="shared" si="144"/>
        <v>0</v>
      </c>
      <c r="BN41" s="186">
        <f t="shared" si="144"/>
        <v>0</v>
      </c>
      <c r="BO41" s="186">
        <f t="shared" si="144"/>
        <v>0</v>
      </c>
      <c r="BP41" s="149">
        <f t="shared" si="145"/>
        <v>0</v>
      </c>
      <c r="BQ41" s="186">
        <f t="shared" si="146"/>
        <v>0</v>
      </c>
      <c r="BR41" s="186">
        <f t="shared" si="146"/>
        <v>0</v>
      </c>
      <c r="BS41" s="186">
        <f t="shared" si="146"/>
        <v>0</v>
      </c>
      <c r="BT41" s="186">
        <f t="shared" si="146"/>
        <v>0</v>
      </c>
      <c r="BU41" s="186">
        <f t="shared" si="146"/>
        <v>0</v>
      </c>
      <c r="BV41" s="147">
        <f t="shared" ca="1" si="171"/>
        <v>0</v>
      </c>
      <c r="BW41" s="186">
        <f t="shared" si="147"/>
        <v>0</v>
      </c>
      <c r="BX41" s="186">
        <f t="shared" si="147"/>
        <v>0</v>
      </c>
      <c r="BY41" s="147">
        <f t="shared" ca="1" si="172"/>
        <v>0</v>
      </c>
      <c r="CA41" s="155" t="s">
        <v>27</v>
      </c>
      <c r="CB41" s="155" t="s">
        <v>27</v>
      </c>
      <c r="CC41" s="186">
        <f t="shared" si="148"/>
        <v>0</v>
      </c>
      <c r="CD41" s="186">
        <f t="shared" si="148"/>
        <v>0</v>
      </c>
      <c r="CE41" s="187" t="s">
        <v>27</v>
      </c>
      <c r="CF41" s="187" t="s">
        <v>27</v>
      </c>
      <c r="CG41" s="187" t="s">
        <v>27</v>
      </c>
      <c r="CH41" s="186">
        <f t="shared" si="149"/>
        <v>0</v>
      </c>
      <c r="CI41" s="186">
        <f t="shared" si="149"/>
        <v>0</v>
      </c>
      <c r="CJ41" s="186">
        <f t="shared" si="149"/>
        <v>0</v>
      </c>
      <c r="CK41" s="149">
        <f t="shared" si="150"/>
        <v>0</v>
      </c>
      <c r="CL41" s="186">
        <f t="shared" si="151"/>
        <v>0</v>
      </c>
      <c r="CM41" s="186">
        <f t="shared" si="151"/>
        <v>0</v>
      </c>
      <c r="CN41" s="147">
        <f t="shared" ca="1" si="173"/>
        <v>0</v>
      </c>
      <c r="CO41" s="186">
        <f t="shared" si="152"/>
        <v>0</v>
      </c>
      <c r="CP41" s="186">
        <f t="shared" si="152"/>
        <v>0</v>
      </c>
      <c r="CQ41" s="147">
        <f t="shared" ca="1" si="174"/>
        <v>0</v>
      </c>
      <c r="CR41" s="186">
        <f t="shared" si="153"/>
        <v>0</v>
      </c>
      <c r="CS41" s="186">
        <f t="shared" si="153"/>
        <v>0</v>
      </c>
      <c r="CT41" s="147">
        <f t="shared" ca="1" si="175"/>
        <v>0</v>
      </c>
      <c r="CV41" s="155" t="s">
        <v>27</v>
      </c>
      <c r="CW41" s="155" t="s">
        <v>27</v>
      </c>
      <c r="CX41" s="186">
        <f t="shared" si="154"/>
        <v>0</v>
      </c>
      <c r="CY41" s="186">
        <f t="shared" si="154"/>
        <v>0</v>
      </c>
      <c r="CZ41" s="187" t="s">
        <v>27</v>
      </c>
      <c r="DA41" s="187" t="s">
        <v>27</v>
      </c>
      <c r="DB41" s="187" t="s">
        <v>27</v>
      </c>
      <c r="DC41" s="186">
        <f t="shared" si="155"/>
        <v>0</v>
      </c>
      <c r="DD41" s="186">
        <f t="shared" si="155"/>
        <v>0</v>
      </c>
      <c r="DE41" s="186">
        <f t="shared" si="155"/>
        <v>0</v>
      </c>
      <c r="DF41" s="149">
        <f t="shared" si="156"/>
        <v>0</v>
      </c>
      <c r="DG41" s="186">
        <f t="shared" si="157"/>
        <v>0</v>
      </c>
      <c r="DH41" s="186">
        <f t="shared" si="157"/>
        <v>0</v>
      </c>
      <c r="DI41" s="186">
        <f t="shared" si="157"/>
        <v>0</v>
      </c>
      <c r="DJ41" s="186">
        <f t="shared" si="157"/>
        <v>0</v>
      </c>
      <c r="DK41" s="186">
        <f t="shared" si="157"/>
        <v>0</v>
      </c>
      <c r="DL41" s="147">
        <f t="shared" ca="1" si="176"/>
        <v>0</v>
      </c>
      <c r="DM41" s="186">
        <f t="shared" si="158"/>
        <v>0</v>
      </c>
      <c r="DN41" s="186">
        <f t="shared" si="158"/>
        <v>0</v>
      </c>
      <c r="DO41" s="147">
        <f t="shared" ca="1" si="177"/>
        <v>0</v>
      </c>
      <c r="DQ41" s="155" t="s">
        <v>27</v>
      </c>
      <c r="DR41" s="155" t="s">
        <v>27</v>
      </c>
      <c r="DS41" s="186">
        <f t="shared" si="159"/>
        <v>0</v>
      </c>
      <c r="DT41" s="186">
        <f t="shared" si="159"/>
        <v>0</v>
      </c>
      <c r="DU41" s="187" t="s">
        <v>27</v>
      </c>
      <c r="DV41" s="187" t="s">
        <v>27</v>
      </c>
      <c r="DW41" s="187" t="s">
        <v>27</v>
      </c>
      <c r="DX41" s="186">
        <f t="shared" si="160"/>
        <v>0</v>
      </c>
      <c r="DY41" s="186">
        <f t="shared" si="160"/>
        <v>0</v>
      </c>
      <c r="DZ41" s="186">
        <f t="shared" si="160"/>
        <v>0</v>
      </c>
      <c r="EA41" s="149">
        <f t="shared" si="161"/>
        <v>0</v>
      </c>
      <c r="EB41" s="186">
        <f t="shared" si="162"/>
        <v>0</v>
      </c>
      <c r="EC41" s="186">
        <f t="shared" si="162"/>
        <v>0</v>
      </c>
      <c r="ED41" s="186">
        <f t="shared" si="162"/>
        <v>0</v>
      </c>
      <c r="EE41" s="186">
        <f t="shared" si="162"/>
        <v>0</v>
      </c>
      <c r="EF41" s="186">
        <f t="shared" si="162"/>
        <v>0</v>
      </c>
      <c r="EG41" s="147">
        <f t="shared" ca="1" si="178"/>
        <v>0</v>
      </c>
      <c r="EH41" s="186">
        <f t="shared" si="163"/>
        <v>0</v>
      </c>
      <c r="EI41" s="186">
        <f t="shared" si="163"/>
        <v>0</v>
      </c>
      <c r="EJ41" s="147">
        <f t="shared" ca="1" si="179"/>
        <v>0</v>
      </c>
      <c r="FF41" s="146">
        <f ca="1">OFFSET($G41,0,IF($FF$4=$G$4,1,12)+MATCH($FF$4,$G$4:$FC$4,0))</f>
        <v>0</v>
      </c>
      <c r="FG41" s="146">
        <f ca="1">OFFSET($G41,0,IF($FF$4=$G$4,2,13)+MATCH($FF$4,$G$4:$FC$4,0))</f>
        <v>0</v>
      </c>
      <c r="FH41" s="146">
        <f ca="1">OFFSET($G41,0,IF($FF$4=$G$4,5,17)+MATCH($FF$4,$G$4:$FC$4,0))</f>
        <v>0</v>
      </c>
      <c r="FK41" s="174" t="str">
        <f t="shared" ca="1" si="164"/>
        <v>na</v>
      </c>
      <c r="FL41" s="174" t="str">
        <f t="shared" ca="1" si="164"/>
        <v>na</v>
      </c>
      <c r="FM41" s="174" t="str">
        <f ca="1">IFERROR(OFFSET($G41,0,IF($FK$4=$G$4,5,17)+MATCH($FK$4,$G$4:$FC$4,0)),"na")</f>
        <v>na</v>
      </c>
    </row>
    <row r="42" spans="2:169">
      <c r="B42" s="145" t="s">
        <v>452</v>
      </c>
      <c r="D42" s="177" t="s">
        <v>27</v>
      </c>
      <c r="E42" s="177" t="s">
        <v>27</v>
      </c>
      <c r="G42" s="155" t="s">
        <v>27</v>
      </c>
      <c r="H42" s="155" t="s">
        <v>27</v>
      </c>
      <c r="I42" s="186">
        <f t="shared" si="132"/>
        <v>0</v>
      </c>
      <c r="J42" s="186">
        <f t="shared" si="132"/>
        <v>0</v>
      </c>
      <c r="K42" s="186">
        <f t="shared" si="132"/>
        <v>0</v>
      </c>
      <c r="L42" s="147">
        <f t="shared" si="165"/>
        <v>0</v>
      </c>
      <c r="M42" s="186">
        <f>SUMIFS(M$6:M$28,$H$6:$H$28,$B42)</f>
        <v>0</v>
      </c>
      <c r="N42" s="147">
        <f t="shared" si="166"/>
        <v>0</v>
      </c>
      <c r="P42" s="155" t="s">
        <v>27</v>
      </c>
      <c r="Q42" s="155" t="s">
        <v>27</v>
      </c>
      <c r="R42" s="186">
        <f t="shared" si="133"/>
        <v>0</v>
      </c>
      <c r="S42" s="186">
        <f t="shared" si="133"/>
        <v>0</v>
      </c>
      <c r="T42" s="187" t="s">
        <v>27</v>
      </c>
      <c r="U42" s="187" t="s">
        <v>27</v>
      </c>
      <c r="V42" s="187" t="s">
        <v>27</v>
      </c>
      <c r="W42" s="186">
        <f t="shared" si="134"/>
        <v>0</v>
      </c>
      <c r="X42" s="186">
        <f t="shared" si="134"/>
        <v>0</v>
      </c>
      <c r="Y42" s="186">
        <f t="shared" si="134"/>
        <v>0</v>
      </c>
      <c r="Z42" s="149">
        <f t="shared" si="135"/>
        <v>0</v>
      </c>
      <c r="AA42" s="186">
        <f t="shared" si="136"/>
        <v>0</v>
      </c>
      <c r="AB42" s="186">
        <f t="shared" si="136"/>
        <v>0</v>
      </c>
      <c r="AC42" s="186">
        <f t="shared" si="136"/>
        <v>0</v>
      </c>
      <c r="AD42" s="186">
        <f t="shared" si="136"/>
        <v>0</v>
      </c>
      <c r="AE42" s="186">
        <f t="shared" si="136"/>
        <v>0</v>
      </c>
      <c r="AF42" s="147">
        <f t="shared" ca="1" si="167"/>
        <v>0</v>
      </c>
      <c r="AG42" s="186">
        <f t="shared" si="137"/>
        <v>0</v>
      </c>
      <c r="AH42" s="186">
        <f t="shared" si="137"/>
        <v>0</v>
      </c>
      <c r="AI42" s="147">
        <f t="shared" ca="1" si="168"/>
        <v>0</v>
      </c>
      <c r="AK42" s="155" t="s">
        <v>27</v>
      </c>
      <c r="AL42" s="155" t="s">
        <v>27</v>
      </c>
      <c r="AM42" s="186">
        <f t="shared" si="138"/>
        <v>0</v>
      </c>
      <c r="AN42" s="186">
        <f t="shared" si="138"/>
        <v>0</v>
      </c>
      <c r="AO42" s="187" t="s">
        <v>27</v>
      </c>
      <c r="AP42" s="187" t="s">
        <v>27</v>
      </c>
      <c r="AQ42" s="187" t="s">
        <v>27</v>
      </c>
      <c r="AR42" s="186">
        <f t="shared" si="139"/>
        <v>0</v>
      </c>
      <c r="AS42" s="186">
        <f t="shared" si="139"/>
        <v>0</v>
      </c>
      <c r="AT42" s="186">
        <f t="shared" si="139"/>
        <v>0</v>
      </c>
      <c r="AU42" s="149">
        <f t="shared" si="140"/>
        <v>0</v>
      </c>
      <c r="AV42" s="186">
        <f t="shared" si="141"/>
        <v>0</v>
      </c>
      <c r="AW42" s="186">
        <f t="shared" si="141"/>
        <v>0</v>
      </c>
      <c r="AX42" s="186">
        <f t="shared" si="141"/>
        <v>0</v>
      </c>
      <c r="AY42" s="186">
        <f t="shared" si="141"/>
        <v>0</v>
      </c>
      <c r="AZ42" s="186">
        <f t="shared" si="141"/>
        <v>0</v>
      </c>
      <c r="BA42" s="147">
        <f t="shared" ca="1" si="169"/>
        <v>0</v>
      </c>
      <c r="BB42" s="186">
        <f t="shared" si="142"/>
        <v>0</v>
      </c>
      <c r="BC42" s="186">
        <f t="shared" si="142"/>
        <v>0</v>
      </c>
      <c r="BD42" s="147">
        <f t="shared" ca="1" si="170"/>
        <v>0</v>
      </c>
      <c r="BF42" s="190" t="s">
        <v>450</v>
      </c>
      <c r="BG42" s="190" t="s">
        <v>450</v>
      </c>
      <c r="BH42" s="186">
        <f t="shared" si="143"/>
        <v>0</v>
      </c>
      <c r="BI42" s="186">
        <f t="shared" si="143"/>
        <v>0</v>
      </c>
      <c r="BJ42" s="187" t="s">
        <v>27</v>
      </c>
      <c r="BK42" s="187" t="s">
        <v>27</v>
      </c>
      <c r="BL42" s="187" t="s">
        <v>27</v>
      </c>
      <c r="BM42" s="186">
        <f t="shared" si="144"/>
        <v>0</v>
      </c>
      <c r="BN42" s="186">
        <f t="shared" si="144"/>
        <v>0</v>
      </c>
      <c r="BO42" s="186">
        <f t="shared" si="144"/>
        <v>0</v>
      </c>
      <c r="BP42" s="149">
        <f t="shared" si="145"/>
        <v>0</v>
      </c>
      <c r="BQ42" s="186">
        <f t="shared" si="146"/>
        <v>0</v>
      </c>
      <c r="BR42" s="186">
        <f t="shared" si="146"/>
        <v>0</v>
      </c>
      <c r="BS42" s="186">
        <f t="shared" si="146"/>
        <v>0</v>
      </c>
      <c r="BT42" s="186">
        <f t="shared" si="146"/>
        <v>0</v>
      </c>
      <c r="BU42" s="186">
        <f t="shared" si="146"/>
        <v>0</v>
      </c>
      <c r="BV42" s="147">
        <f t="shared" ca="1" si="171"/>
        <v>0</v>
      </c>
      <c r="BW42" s="186">
        <f t="shared" si="147"/>
        <v>0</v>
      </c>
      <c r="BX42" s="186">
        <f t="shared" si="147"/>
        <v>0</v>
      </c>
      <c r="BY42" s="147">
        <f t="shared" ca="1" si="172"/>
        <v>0</v>
      </c>
      <c r="CA42" s="155" t="s">
        <v>27</v>
      </c>
      <c r="CB42" s="155" t="s">
        <v>27</v>
      </c>
      <c r="CC42" s="186">
        <f t="shared" si="148"/>
        <v>0</v>
      </c>
      <c r="CD42" s="186">
        <f t="shared" si="148"/>
        <v>0</v>
      </c>
      <c r="CE42" s="187" t="s">
        <v>27</v>
      </c>
      <c r="CF42" s="187" t="s">
        <v>27</v>
      </c>
      <c r="CG42" s="187" t="s">
        <v>27</v>
      </c>
      <c r="CH42" s="186">
        <f t="shared" si="149"/>
        <v>0</v>
      </c>
      <c r="CI42" s="186">
        <f t="shared" si="149"/>
        <v>0</v>
      </c>
      <c r="CJ42" s="186">
        <f t="shared" si="149"/>
        <v>0</v>
      </c>
      <c r="CK42" s="149">
        <f t="shared" si="150"/>
        <v>0</v>
      </c>
      <c r="CL42" s="186">
        <f t="shared" si="151"/>
        <v>0</v>
      </c>
      <c r="CM42" s="186">
        <f t="shared" si="151"/>
        <v>0</v>
      </c>
      <c r="CN42" s="147">
        <f t="shared" ca="1" si="173"/>
        <v>0</v>
      </c>
      <c r="CO42" s="186">
        <f t="shared" si="152"/>
        <v>0</v>
      </c>
      <c r="CP42" s="186">
        <f t="shared" si="152"/>
        <v>0</v>
      </c>
      <c r="CQ42" s="147">
        <f t="shared" ca="1" si="174"/>
        <v>0</v>
      </c>
      <c r="CR42" s="186">
        <f t="shared" si="153"/>
        <v>0</v>
      </c>
      <c r="CS42" s="186">
        <f t="shared" si="153"/>
        <v>0</v>
      </c>
      <c r="CT42" s="147">
        <f t="shared" ca="1" si="175"/>
        <v>0</v>
      </c>
      <c r="CV42" s="155" t="s">
        <v>27</v>
      </c>
      <c r="CW42" s="155" t="s">
        <v>27</v>
      </c>
      <c r="CX42" s="186">
        <f t="shared" si="154"/>
        <v>0</v>
      </c>
      <c r="CY42" s="186">
        <f t="shared" si="154"/>
        <v>0</v>
      </c>
      <c r="CZ42" s="187" t="s">
        <v>27</v>
      </c>
      <c r="DA42" s="187" t="s">
        <v>27</v>
      </c>
      <c r="DB42" s="187" t="s">
        <v>27</v>
      </c>
      <c r="DC42" s="186">
        <f t="shared" si="155"/>
        <v>0</v>
      </c>
      <c r="DD42" s="186">
        <f t="shared" si="155"/>
        <v>0</v>
      </c>
      <c r="DE42" s="186">
        <f t="shared" si="155"/>
        <v>0</v>
      </c>
      <c r="DF42" s="149">
        <f t="shared" si="156"/>
        <v>0</v>
      </c>
      <c r="DG42" s="186">
        <f t="shared" si="157"/>
        <v>0</v>
      </c>
      <c r="DH42" s="186">
        <f t="shared" si="157"/>
        <v>0</v>
      </c>
      <c r="DI42" s="186">
        <f t="shared" si="157"/>
        <v>0</v>
      </c>
      <c r="DJ42" s="186">
        <f t="shared" si="157"/>
        <v>0</v>
      </c>
      <c r="DK42" s="186">
        <f t="shared" si="157"/>
        <v>0</v>
      </c>
      <c r="DL42" s="147">
        <f t="shared" ca="1" si="176"/>
        <v>0</v>
      </c>
      <c r="DM42" s="186">
        <f t="shared" si="158"/>
        <v>0</v>
      </c>
      <c r="DN42" s="186">
        <f t="shared" si="158"/>
        <v>0</v>
      </c>
      <c r="DO42" s="147">
        <f t="shared" ca="1" si="177"/>
        <v>0</v>
      </c>
      <c r="DQ42" s="155" t="s">
        <v>27</v>
      </c>
      <c r="DR42" s="155" t="s">
        <v>27</v>
      </c>
      <c r="DS42" s="186">
        <f t="shared" si="159"/>
        <v>0</v>
      </c>
      <c r="DT42" s="186">
        <f t="shared" si="159"/>
        <v>0</v>
      </c>
      <c r="DU42" s="187" t="s">
        <v>27</v>
      </c>
      <c r="DV42" s="187" t="s">
        <v>27</v>
      </c>
      <c r="DW42" s="187" t="s">
        <v>27</v>
      </c>
      <c r="DX42" s="186">
        <f t="shared" si="160"/>
        <v>0</v>
      </c>
      <c r="DY42" s="186">
        <f t="shared" si="160"/>
        <v>0</v>
      </c>
      <c r="DZ42" s="186">
        <f t="shared" si="160"/>
        <v>0</v>
      </c>
      <c r="EA42" s="149">
        <f t="shared" si="161"/>
        <v>0</v>
      </c>
      <c r="EB42" s="186">
        <f t="shared" si="162"/>
        <v>0</v>
      </c>
      <c r="EC42" s="186">
        <f t="shared" si="162"/>
        <v>0</v>
      </c>
      <c r="ED42" s="186">
        <f t="shared" si="162"/>
        <v>0</v>
      </c>
      <c r="EE42" s="186">
        <f t="shared" si="162"/>
        <v>0</v>
      </c>
      <c r="EF42" s="186">
        <f t="shared" si="162"/>
        <v>0</v>
      </c>
      <c r="EG42" s="147">
        <f t="shared" ca="1" si="178"/>
        <v>0</v>
      </c>
      <c r="EH42" s="186">
        <f t="shared" si="163"/>
        <v>0</v>
      </c>
      <c r="EI42" s="186">
        <f t="shared" si="163"/>
        <v>0</v>
      </c>
      <c r="EJ42" s="147">
        <f t="shared" ca="1" si="179"/>
        <v>0</v>
      </c>
      <c r="FF42" s="146">
        <f ca="1">OFFSET($G42,0,IF($FF$4=$G$4,1,12)+MATCH($FF$4,$G$4:$FC$4,0))</f>
        <v>0</v>
      </c>
      <c r="FG42" s="146">
        <f ca="1">OFFSET($G42,0,IF($FF$4=$G$4,2,13)+MATCH($FF$4,$G$4:$FC$4,0))</f>
        <v>0</v>
      </c>
      <c r="FH42" s="146">
        <f ca="1">OFFSET($G42,0,IF($FF$4=$G$4,5,17)+MATCH($FF$4,$G$4:$FC$4,0))</f>
        <v>0</v>
      </c>
      <c r="FK42" s="174" t="str">
        <f t="shared" ca="1" si="164"/>
        <v>na</v>
      </c>
      <c r="FL42" s="174" t="str">
        <f t="shared" ca="1" si="164"/>
        <v>na</v>
      </c>
      <c r="FM42" s="174" t="str">
        <f ca="1">IFERROR(OFFSET($G42,0,IF($FK$4=$G$4,5,17)+MATCH($FK$4,$G$4:$FC$4,0)),"na")</f>
        <v>na</v>
      </c>
    </row>
    <row r="43" spans="2:169">
      <c r="B43" s="145" t="s">
        <v>27</v>
      </c>
      <c r="D43" s="177" t="s">
        <v>27</v>
      </c>
      <c r="E43" s="177" t="s">
        <v>27</v>
      </c>
      <c r="G43" s="155" t="s">
        <v>27</v>
      </c>
      <c r="H43" s="155" t="s">
        <v>27</v>
      </c>
      <c r="I43" s="186">
        <f t="shared" si="132"/>
        <v>0</v>
      </c>
      <c r="J43" s="186">
        <f t="shared" si="132"/>
        <v>0</v>
      </c>
      <c r="K43" s="186">
        <f t="shared" si="132"/>
        <v>0</v>
      </c>
      <c r="L43" s="147">
        <f t="shared" si="165"/>
        <v>0</v>
      </c>
      <c r="M43" s="186">
        <f>SUMIFS(M$6:M$28,$H$6:$H$28,$B43)</f>
        <v>0</v>
      </c>
      <c r="N43" s="147">
        <f t="shared" si="166"/>
        <v>0</v>
      </c>
      <c r="P43" s="155" t="s">
        <v>27</v>
      </c>
      <c r="Q43" s="155" t="s">
        <v>27</v>
      </c>
      <c r="R43" s="186">
        <f t="shared" si="133"/>
        <v>0</v>
      </c>
      <c r="S43" s="186">
        <f t="shared" si="133"/>
        <v>0</v>
      </c>
      <c r="T43" s="187" t="s">
        <v>27</v>
      </c>
      <c r="U43" s="187" t="s">
        <v>27</v>
      </c>
      <c r="V43" s="187" t="s">
        <v>27</v>
      </c>
      <c r="W43" s="186">
        <f t="shared" si="134"/>
        <v>0</v>
      </c>
      <c r="X43" s="186">
        <f t="shared" si="134"/>
        <v>0</v>
      </c>
      <c r="Y43" s="186">
        <f t="shared" si="134"/>
        <v>0</v>
      </c>
      <c r="Z43" s="149">
        <f t="shared" si="135"/>
        <v>0</v>
      </c>
      <c r="AA43" s="186">
        <f t="shared" si="136"/>
        <v>0</v>
      </c>
      <c r="AB43" s="186">
        <f t="shared" si="136"/>
        <v>0</v>
      </c>
      <c r="AC43" s="186">
        <f t="shared" si="136"/>
        <v>0</v>
      </c>
      <c r="AD43" s="186">
        <f t="shared" si="136"/>
        <v>0</v>
      </c>
      <c r="AE43" s="186">
        <f t="shared" si="136"/>
        <v>0</v>
      </c>
      <c r="AF43" s="147">
        <f t="shared" ca="1" si="167"/>
        <v>0</v>
      </c>
      <c r="AG43" s="186">
        <f t="shared" si="137"/>
        <v>0</v>
      </c>
      <c r="AH43" s="186">
        <f t="shared" si="137"/>
        <v>0</v>
      </c>
      <c r="AI43" s="147">
        <f t="shared" ca="1" si="168"/>
        <v>0</v>
      </c>
      <c r="AK43" s="155" t="s">
        <v>27</v>
      </c>
      <c r="AL43" s="155" t="s">
        <v>27</v>
      </c>
      <c r="AM43" s="186">
        <f t="shared" si="138"/>
        <v>0</v>
      </c>
      <c r="AN43" s="186">
        <f t="shared" si="138"/>
        <v>0</v>
      </c>
      <c r="AO43" s="187" t="s">
        <v>27</v>
      </c>
      <c r="AP43" s="187" t="s">
        <v>27</v>
      </c>
      <c r="AQ43" s="187" t="s">
        <v>27</v>
      </c>
      <c r="AR43" s="186">
        <f t="shared" si="139"/>
        <v>0</v>
      </c>
      <c r="AS43" s="186">
        <f t="shared" si="139"/>
        <v>0</v>
      </c>
      <c r="AT43" s="186">
        <f t="shared" si="139"/>
        <v>0</v>
      </c>
      <c r="AU43" s="149">
        <f t="shared" si="140"/>
        <v>0</v>
      </c>
      <c r="AV43" s="186">
        <f t="shared" si="141"/>
        <v>0</v>
      </c>
      <c r="AW43" s="186">
        <f t="shared" si="141"/>
        <v>0</v>
      </c>
      <c r="AX43" s="186">
        <f t="shared" si="141"/>
        <v>0</v>
      </c>
      <c r="AY43" s="186">
        <f t="shared" si="141"/>
        <v>0</v>
      </c>
      <c r="AZ43" s="186">
        <f t="shared" si="141"/>
        <v>0</v>
      </c>
      <c r="BA43" s="147">
        <f t="shared" ca="1" si="169"/>
        <v>0</v>
      </c>
      <c r="BB43" s="186">
        <f t="shared" si="142"/>
        <v>0</v>
      </c>
      <c r="BC43" s="186">
        <f t="shared" si="142"/>
        <v>0</v>
      </c>
      <c r="BD43" s="147">
        <f t="shared" ca="1" si="170"/>
        <v>0</v>
      </c>
      <c r="BF43" s="190" t="s">
        <v>450</v>
      </c>
      <c r="BG43" s="190" t="s">
        <v>450</v>
      </c>
      <c r="BH43" s="186">
        <f t="shared" si="143"/>
        <v>0</v>
      </c>
      <c r="BI43" s="186">
        <f t="shared" si="143"/>
        <v>0</v>
      </c>
      <c r="BJ43" s="187" t="s">
        <v>27</v>
      </c>
      <c r="BK43" s="187" t="s">
        <v>27</v>
      </c>
      <c r="BL43" s="187" t="s">
        <v>27</v>
      </c>
      <c r="BM43" s="186">
        <f t="shared" si="144"/>
        <v>0</v>
      </c>
      <c r="BN43" s="186">
        <f t="shared" si="144"/>
        <v>0</v>
      </c>
      <c r="BO43" s="186">
        <f t="shared" si="144"/>
        <v>0</v>
      </c>
      <c r="BP43" s="149">
        <f t="shared" si="145"/>
        <v>0</v>
      </c>
      <c r="BQ43" s="186">
        <f t="shared" si="146"/>
        <v>0</v>
      </c>
      <c r="BR43" s="186">
        <f t="shared" si="146"/>
        <v>0</v>
      </c>
      <c r="BS43" s="186">
        <f t="shared" si="146"/>
        <v>0</v>
      </c>
      <c r="BT43" s="186">
        <f t="shared" si="146"/>
        <v>0</v>
      </c>
      <c r="BU43" s="186">
        <f t="shared" si="146"/>
        <v>0</v>
      </c>
      <c r="BV43" s="147">
        <f t="shared" ca="1" si="171"/>
        <v>0</v>
      </c>
      <c r="BW43" s="186">
        <f t="shared" si="147"/>
        <v>0</v>
      </c>
      <c r="BX43" s="186">
        <f t="shared" si="147"/>
        <v>0</v>
      </c>
      <c r="BY43" s="147">
        <f t="shared" ca="1" si="172"/>
        <v>0</v>
      </c>
      <c r="CA43" s="155" t="s">
        <v>27</v>
      </c>
      <c r="CB43" s="155" t="s">
        <v>27</v>
      </c>
      <c r="CC43" s="186">
        <f t="shared" si="148"/>
        <v>0</v>
      </c>
      <c r="CD43" s="186">
        <f t="shared" si="148"/>
        <v>0</v>
      </c>
      <c r="CE43" s="187" t="s">
        <v>27</v>
      </c>
      <c r="CF43" s="187" t="s">
        <v>27</v>
      </c>
      <c r="CG43" s="187" t="s">
        <v>27</v>
      </c>
      <c r="CH43" s="186">
        <f t="shared" si="149"/>
        <v>0</v>
      </c>
      <c r="CI43" s="186">
        <f t="shared" si="149"/>
        <v>0</v>
      </c>
      <c r="CJ43" s="186">
        <f t="shared" si="149"/>
        <v>0</v>
      </c>
      <c r="CK43" s="149">
        <f t="shared" si="150"/>
        <v>0</v>
      </c>
      <c r="CL43" s="186">
        <f t="shared" si="151"/>
        <v>0</v>
      </c>
      <c r="CM43" s="186">
        <f t="shared" si="151"/>
        <v>0</v>
      </c>
      <c r="CN43" s="147">
        <f t="shared" ca="1" si="173"/>
        <v>0</v>
      </c>
      <c r="CO43" s="186">
        <f t="shared" si="152"/>
        <v>0</v>
      </c>
      <c r="CP43" s="186">
        <f t="shared" si="152"/>
        <v>0</v>
      </c>
      <c r="CQ43" s="147">
        <f t="shared" ca="1" si="174"/>
        <v>0</v>
      </c>
      <c r="CR43" s="186">
        <f t="shared" si="153"/>
        <v>0</v>
      </c>
      <c r="CS43" s="186">
        <f t="shared" si="153"/>
        <v>0</v>
      </c>
      <c r="CT43" s="147">
        <f t="shared" ca="1" si="175"/>
        <v>0</v>
      </c>
      <c r="CV43" s="155" t="s">
        <v>27</v>
      </c>
      <c r="CW43" s="155" t="s">
        <v>27</v>
      </c>
      <c r="CX43" s="186">
        <f t="shared" si="154"/>
        <v>0</v>
      </c>
      <c r="CY43" s="186">
        <f t="shared" si="154"/>
        <v>0</v>
      </c>
      <c r="CZ43" s="187" t="s">
        <v>27</v>
      </c>
      <c r="DA43" s="187" t="s">
        <v>27</v>
      </c>
      <c r="DB43" s="187" t="s">
        <v>27</v>
      </c>
      <c r="DC43" s="186">
        <f t="shared" si="155"/>
        <v>0</v>
      </c>
      <c r="DD43" s="186">
        <f t="shared" si="155"/>
        <v>0</v>
      </c>
      <c r="DE43" s="186">
        <f t="shared" si="155"/>
        <v>0</v>
      </c>
      <c r="DF43" s="149">
        <f t="shared" si="156"/>
        <v>0</v>
      </c>
      <c r="DG43" s="186">
        <f t="shared" si="157"/>
        <v>0</v>
      </c>
      <c r="DH43" s="186">
        <f t="shared" si="157"/>
        <v>0</v>
      </c>
      <c r="DI43" s="186">
        <f t="shared" si="157"/>
        <v>0</v>
      </c>
      <c r="DJ43" s="186">
        <f t="shared" si="157"/>
        <v>0</v>
      </c>
      <c r="DK43" s="186">
        <f t="shared" si="157"/>
        <v>0</v>
      </c>
      <c r="DL43" s="147">
        <f t="shared" ca="1" si="176"/>
        <v>0</v>
      </c>
      <c r="DM43" s="186">
        <f t="shared" si="158"/>
        <v>0</v>
      </c>
      <c r="DN43" s="186">
        <f t="shared" si="158"/>
        <v>0</v>
      </c>
      <c r="DO43" s="147">
        <f t="shared" ca="1" si="177"/>
        <v>0</v>
      </c>
      <c r="DQ43" s="155" t="s">
        <v>27</v>
      </c>
      <c r="DR43" s="155" t="s">
        <v>27</v>
      </c>
      <c r="DS43" s="186">
        <f t="shared" si="159"/>
        <v>0</v>
      </c>
      <c r="DT43" s="186">
        <f t="shared" si="159"/>
        <v>0</v>
      </c>
      <c r="DU43" s="187" t="s">
        <v>27</v>
      </c>
      <c r="DV43" s="187" t="s">
        <v>27</v>
      </c>
      <c r="DW43" s="187" t="s">
        <v>27</v>
      </c>
      <c r="DX43" s="186">
        <f t="shared" si="160"/>
        <v>0</v>
      </c>
      <c r="DY43" s="186">
        <f t="shared" si="160"/>
        <v>0</v>
      </c>
      <c r="DZ43" s="186">
        <f t="shared" si="160"/>
        <v>0</v>
      </c>
      <c r="EA43" s="149">
        <f t="shared" si="161"/>
        <v>0</v>
      </c>
      <c r="EB43" s="186">
        <f t="shared" si="162"/>
        <v>0</v>
      </c>
      <c r="EC43" s="186">
        <f t="shared" si="162"/>
        <v>0</v>
      </c>
      <c r="ED43" s="186">
        <f t="shared" si="162"/>
        <v>0</v>
      </c>
      <c r="EE43" s="186">
        <f t="shared" si="162"/>
        <v>0</v>
      </c>
      <c r="EF43" s="186">
        <f t="shared" si="162"/>
        <v>0</v>
      </c>
      <c r="EG43" s="147">
        <f t="shared" ca="1" si="178"/>
        <v>0</v>
      </c>
      <c r="EH43" s="186">
        <f t="shared" si="163"/>
        <v>0</v>
      </c>
      <c r="EI43" s="186">
        <f t="shared" si="163"/>
        <v>0</v>
      </c>
      <c r="EJ43" s="147">
        <f t="shared" ca="1" si="179"/>
        <v>0</v>
      </c>
      <c r="FF43" s="146">
        <f ca="1">OFFSET($G43,0,IF($FF$4=$G$4,1,12)+MATCH($FF$4,$G$4:$FC$4,0))</f>
        <v>0</v>
      </c>
      <c r="FG43" s="146">
        <f ca="1">OFFSET($G43,0,IF($FF$4=$G$4,2,13)+MATCH($FF$4,$G$4:$FC$4,0))</f>
        <v>0</v>
      </c>
      <c r="FH43" s="146">
        <f ca="1">OFFSET($G43,0,IF($FF$4=$G$4,5,17)+MATCH($FF$4,$G$4:$FC$4,0))</f>
        <v>0</v>
      </c>
      <c r="FK43" s="174" t="str">
        <f t="shared" ca="1" si="164"/>
        <v>na</v>
      </c>
      <c r="FL43" s="174" t="str">
        <f t="shared" ca="1" si="164"/>
        <v>na</v>
      </c>
      <c r="FM43" s="174" t="str">
        <f ca="1">IFERROR(OFFSET($G43,0,IF($FK$4=$G$4,5,17)+MATCH($FK$4,$G$4:$FC$4,0)),"na")</f>
        <v>na</v>
      </c>
    </row>
    <row r="44" spans="2:169">
      <c r="B44" s="149" t="s">
        <v>20</v>
      </c>
      <c r="I44" s="188">
        <f>SUM(I39:I43)</f>
        <v>0</v>
      </c>
      <c r="J44" s="188">
        <f>SUM(J39:J43)</f>
        <v>0</v>
      </c>
      <c r="K44" s="188">
        <f>SUM(K39:K43)</f>
        <v>0</v>
      </c>
      <c r="L44" s="152">
        <f t="shared" si="165"/>
        <v>0</v>
      </c>
      <c r="M44" s="188">
        <f>SUM(M39:M43)</f>
        <v>0</v>
      </c>
      <c r="N44" s="152">
        <f t="shared" si="166"/>
        <v>0</v>
      </c>
      <c r="P44" s="182"/>
      <c r="Q44" s="182"/>
      <c r="R44" s="188">
        <f>SUM(R39:R43)</f>
        <v>0</v>
      </c>
      <c r="S44" s="188">
        <f>SUM(S39:S43)</f>
        <v>0</v>
      </c>
      <c r="T44" s="151"/>
      <c r="U44" s="151"/>
      <c r="V44" s="151"/>
      <c r="W44" s="188">
        <f ca="1">SUM(W39:W43)</f>
        <v>0</v>
      </c>
      <c r="X44" s="188">
        <f ca="1">SUM(X39:X43)</f>
        <v>0</v>
      </c>
      <c r="Y44" s="188">
        <f ca="1">SUM(Y39:Y43)</f>
        <v>0</v>
      </c>
      <c r="Z44" s="151"/>
      <c r="AA44" s="188">
        <f ca="1">SUM(AA39:AA43)</f>
        <v>0</v>
      </c>
      <c r="AB44" s="188">
        <f ca="1">SUM(AB39:AB43)</f>
        <v>0</v>
      </c>
      <c r="AC44" s="188">
        <f ca="1">SUM(AC39:AC43)</f>
        <v>0</v>
      </c>
      <c r="AD44" s="188">
        <f ca="1">SUM(AD39:AD43)</f>
        <v>0</v>
      </c>
      <c r="AE44" s="188">
        <f ca="1">SUM(AE39:AE43)</f>
        <v>0</v>
      </c>
      <c r="AF44" s="152">
        <f t="shared" ca="1" si="167"/>
        <v>0</v>
      </c>
      <c r="AG44" s="188">
        <f ca="1">SUM(AG39:AG43)</f>
        <v>0</v>
      </c>
      <c r="AH44" s="188">
        <f ca="1">SUM(AH39:AH43)</f>
        <v>0</v>
      </c>
      <c r="AI44" s="152">
        <f t="shared" ca="1" si="168"/>
        <v>0</v>
      </c>
      <c r="AK44" s="182"/>
      <c r="AL44" s="182"/>
      <c r="AM44" s="188">
        <f t="shared" si="138"/>
        <v>0</v>
      </c>
      <c r="AN44" s="188">
        <f t="shared" si="138"/>
        <v>0</v>
      </c>
      <c r="AO44" s="151"/>
      <c r="AP44" s="151"/>
      <c r="AQ44" s="151"/>
      <c r="AR44" s="188">
        <f t="shared" si="139"/>
        <v>0</v>
      </c>
      <c r="AS44" s="188">
        <f t="shared" si="139"/>
        <v>0</v>
      </c>
      <c r="AT44" s="188">
        <f t="shared" si="139"/>
        <v>0</v>
      </c>
      <c r="AU44" s="188">
        <f>SUMIFS(AU$6:AU$28,$AL$6:$AL$28,$B44)</f>
        <v>0</v>
      </c>
      <c r="AV44" s="188">
        <f t="shared" si="141"/>
        <v>0</v>
      </c>
      <c r="AW44" s="188">
        <f t="shared" si="141"/>
        <v>0</v>
      </c>
      <c r="AX44" s="188">
        <f t="shared" si="141"/>
        <v>0</v>
      </c>
      <c r="AY44" s="188">
        <f t="shared" si="141"/>
        <v>0</v>
      </c>
      <c r="AZ44" s="188">
        <f t="shared" si="141"/>
        <v>0</v>
      </c>
      <c r="BA44" s="152">
        <f t="shared" ca="1" si="169"/>
        <v>0</v>
      </c>
      <c r="BB44" s="188">
        <f t="shared" si="142"/>
        <v>0</v>
      </c>
      <c r="BC44" s="188">
        <f t="shared" si="142"/>
        <v>0</v>
      </c>
      <c r="BD44" s="152">
        <f t="shared" ca="1" si="170"/>
        <v>0</v>
      </c>
      <c r="BF44" s="191"/>
      <c r="BG44" s="191"/>
      <c r="BH44" s="188">
        <f>SUMIFS(BH$6:BH$28,$AL$6:$AL$28,$B44)</f>
        <v>0</v>
      </c>
      <c r="BI44" s="188">
        <f>SUMIFS(BI$6:BI$28,$AL$6:$AL$28,$B44)</f>
        <v>0</v>
      </c>
      <c r="BJ44" s="151"/>
      <c r="BK44" s="151"/>
      <c r="BL44" s="151"/>
      <c r="BM44" s="188">
        <f>SUMIFS(BM$6:BM$28,$AL$6:$AL$28,$B44)</f>
        <v>0</v>
      </c>
      <c r="BN44" s="188">
        <f>SUMIFS(BN$6:BN$28,$AL$6:$AL$28,$B44)</f>
        <v>0</v>
      </c>
      <c r="BO44" s="188">
        <f>SUMIFS(BO$6:BO$28,$AL$6:$AL$28,$B44)</f>
        <v>0</v>
      </c>
      <c r="BP44" s="151"/>
      <c r="BQ44" s="188">
        <f>SUMIFS(BQ$6:BQ$28,$AL$6:$AL$28,$B44)</f>
        <v>0</v>
      </c>
      <c r="BR44" s="188">
        <f>SUMIFS(BR$6:BR$28,$AL$6:$AL$28,$B44)</f>
        <v>0</v>
      </c>
      <c r="BS44" s="188">
        <f>SUMIFS(BS$6:BS$28,$AL$6:$AL$28,$B44)</f>
        <v>0</v>
      </c>
      <c r="BT44" s="188">
        <f>SUMIFS(BT$6:BT$28,$AL$6:$AL$28,$B44)</f>
        <v>0</v>
      </c>
      <c r="BU44" s="188">
        <f>SUMIFS(BU$6:BU$28,$AL$6:$AL$28,$B44)</f>
        <v>0</v>
      </c>
      <c r="BV44" s="152">
        <f t="shared" ca="1" si="171"/>
        <v>0</v>
      </c>
      <c r="BW44" s="188">
        <f>SUMIFS(BW$6:BW$28,$AL$6:$AL$28,$B44)</f>
        <v>0</v>
      </c>
      <c r="BX44" s="188">
        <f>SUMIFS(BX$6:BX$28,$AL$6:$AL$28,$B44)</f>
        <v>0</v>
      </c>
      <c r="BY44" s="152">
        <f t="shared" ca="1" si="172"/>
        <v>0</v>
      </c>
      <c r="CA44" s="182"/>
      <c r="CB44" s="182"/>
      <c r="CC44" s="188">
        <f t="shared" si="148"/>
        <v>0</v>
      </c>
      <c r="CD44" s="188">
        <f t="shared" si="148"/>
        <v>0</v>
      </c>
      <c r="CE44" s="151"/>
      <c r="CF44" s="151"/>
      <c r="CG44" s="151"/>
      <c r="CH44" s="188">
        <f t="shared" si="149"/>
        <v>0</v>
      </c>
      <c r="CI44" s="188">
        <f t="shared" si="149"/>
        <v>0</v>
      </c>
      <c r="CJ44" s="188">
        <f t="shared" si="149"/>
        <v>0</v>
      </c>
      <c r="CL44" s="188">
        <f t="shared" si="151"/>
        <v>0</v>
      </c>
      <c r="CM44" s="188">
        <f t="shared" si="151"/>
        <v>0</v>
      </c>
      <c r="CN44" s="152">
        <f t="shared" ca="1" si="173"/>
        <v>0</v>
      </c>
      <c r="CO44" s="188">
        <f t="shared" si="152"/>
        <v>0</v>
      </c>
      <c r="CP44" s="188">
        <f t="shared" si="152"/>
        <v>0</v>
      </c>
      <c r="CQ44" s="152">
        <f t="shared" ca="1" si="174"/>
        <v>0</v>
      </c>
      <c r="CR44" s="188">
        <f t="shared" si="153"/>
        <v>0</v>
      </c>
      <c r="CS44" s="188">
        <f t="shared" si="153"/>
        <v>0</v>
      </c>
      <c r="CT44" s="152">
        <f t="shared" ca="1" si="175"/>
        <v>0</v>
      </c>
      <c r="CV44" s="182"/>
      <c r="CW44" s="182"/>
      <c r="CX44" s="188">
        <f>SUMIFS(CX$6:CX$28,$CW$6:$CW$28,$B44)</f>
        <v>0</v>
      </c>
      <c r="CY44" s="151"/>
      <c r="CZ44" s="151"/>
      <c r="DA44" s="151"/>
      <c r="DB44" s="151"/>
      <c r="DC44" s="151"/>
      <c r="DD44" s="151"/>
      <c r="DE44" s="151"/>
      <c r="DF44" s="151"/>
      <c r="DG44" s="151"/>
      <c r="DH44" s="151"/>
      <c r="DI44" s="151"/>
      <c r="DJ44" s="151"/>
      <c r="DK44" s="151"/>
      <c r="DL44" s="152">
        <f t="shared" ca="1" si="176"/>
        <v>0</v>
      </c>
      <c r="DM44" s="151"/>
      <c r="DN44" s="151"/>
      <c r="DO44" s="152">
        <f t="shared" ca="1" si="177"/>
        <v>0</v>
      </c>
      <c r="DQ44" s="182"/>
      <c r="DR44" s="182"/>
      <c r="DS44" s="151"/>
      <c r="DT44" s="151"/>
      <c r="DU44" s="151"/>
      <c r="DV44" s="151"/>
      <c r="DW44" s="151"/>
      <c r="DX44" s="151"/>
      <c r="DY44" s="151"/>
      <c r="DZ44" s="151"/>
      <c r="EA44" s="151"/>
      <c r="EB44" s="151"/>
      <c r="EC44" s="151"/>
      <c r="ED44" s="151"/>
      <c r="EE44" s="151"/>
      <c r="EF44" s="151"/>
      <c r="EG44" s="152">
        <f t="shared" ca="1" si="178"/>
        <v>0</v>
      </c>
      <c r="EH44" s="151"/>
      <c r="EI44" s="151"/>
      <c r="EJ44" s="152">
        <f t="shared" ca="1" si="179"/>
        <v>0</v>
      </c>
    </row>
    <row r="45" spans="2:169">
      <c r="BF45" s="155"/>
      <c r="BG45" s="155"/>
      <c r="CA45" s="155"/>
      <c r="CB45" s="155"/>
      <c r="CV45" s="155"/>
      <c r="CW45" s="155"/>
      <c r="DQ45" s="155"/>
      <c r="DR45" s="155"/>
    </row>
    <row r="46" spans="2:169">
      <c r="B46" s="189" t="s">
        <v>453</v>
      </c>
      <c r="BF46" s="155"/>
      <c r="BG46" s="155"/>
      <c r="CA46" s="155"/>
      <c r="CB46" s="155"/>
      <c r="CV46" s="155"/>
      <c r="CW46" s="155"/>
      <c r="DQ46" s="155"/>
      <c r="DR46" s="155"/>
    </row>
    <row r="47" spans="2:169">
      <c r="B47" s="149" t="str">
        <f>I59</f>
        <v>Founding</v>
      </c>
      <c r="D47" s="155" t="str">
        <f>B47</f>
        <v>Founding</v>
      </c>
      <c r="E47" s="177" t="s">
        <v>27</v>
      </c>
      <c r="G47" s="155" t="s">
        <v>27</v>
      </c>
      <c r="H47" s="155" t="s">
        <v>27</v>
      </c>
      <c r="I47" s="186">
        <f>SUMIFS(I$6:I$28,$D$6:$D$28,$B47)</f>
        <v>0</v>
      </c>
      <c r="J47" s="186">
        <f>SUMIFS(J$6:J$28,$D$6:$D$28,$B47)</f>
        <v>0</v>
      </c>
      <c r="K47" s="186">
        <f>SUMIFS(K$6:K$28,$D$6:$D$28,$B47)</f>
        <v>0</v>
      </c>
      <c r="L47" s="148">
        <f>IFERROR(K47/K$29,0)</f>
        <v>0</v>
      </c>
      <c r="M47" s="186">
        <f>SUMIFS(M$6:M$28,$D$6:$D$28,$B47)</f>
        <v>0</v>
      </c>
      <c r="N47" s="148">
        <f>IFERROR(M47/M$29,0)</f>
        <v>0</v>
      </c>
      <c r="P47" s="155" t="s">
        <v>27</v>
      </c>
      <c r="Q47" s="155" t="s">
        <v>27</v>
      </c>
      <c r="R47" s="186">
        <f>SUMIFS(R$6:R$28,$D$6:$D$28,$B47)</f>
        <v>0</v>
      </c>
      <c r="S47" s="186">
        <f>SUMIFS(S$6:S$28,$D$6:$D$28,$B47)</f>
        <v>0</v>
      </c>
      <c r="T47" s="187" t="s">
        <v>27</v>
      </c>
      <c r="U47" s="187" t="s">
        <v>27</v>
      </c>
      <c r="V47" s="187" t="s">
        <v>27</v>
      </c>
      <c r="W47" s="186">
        <f ca="1">SUMIFS(W$6:W$28,$D$6:$D$28,$B47)</f>
        <v>0</v>
      </c>
      <c r="X47" s="186">
        <f ca="1">SUMIFS(X$6:X$28,$D$6:$D$28,$B47)</f>
        <v>0</v>
      </c>
      <c r="Y47" s="186">
        <f ca="1">SUMIFS(Y$6:Y$28,$D$6:$D$28,$B47)</f>
        <v>0</v>
      </c>
      <c r="Z47" s="149">
        <f ca="1">IFERROR(Y47/AA47,0)</f>
        <v>0</v>
      </c>
      <c r="AA47" s="186">
        <f ca="1">SUMIFS(AA$6:AA$28,$D$6:$D$28,$B47)</f>
        <v>0</v>
      </c>
      <c r="AB47" s="186">
        <f>SUMIFS(AB$6:AB$28,$D$6:$D$28,$B47)</f>
        <v>0</v>
      </c>
      <c r="AC47" s="186">
        <f ca="1">SUMIFS(AC$6:AC$28,$D$6:$D$28,$B47)</f>
        <v>0</v>
      </c>
      <c r="AD47" s="186">
        <f>SUMIFS(AD$6:AD$28,$D$6:$D$28,$B47)</f>
        <v>0</v>
      </c>
      <c r="AE47" s="186">
        <f ca="1">SUMIFS(AE$6:AE$28,$D$6:$D$28,$B47)</f>
        <v>0</v>
      </c>
      <c r="AF47" s="148">
        <f ca="1">IFERROR(AE47/AE$29,0)</f>
        <v>0</v>
      </c>
      <c r="AG47" s="186">
        <f ca="1">SUMIFS(AG$6:AG$28,$D$6:$D$28,$B47)</f>
        <v>0</v>
      </c>
      <c r="AH47" s="186">
        <f ca="1">SUMIFS(AH$6:AH$28,$D$6:$D$28,$B47)</f>
        <v>0</v>
      </c>
      <c r="AI47" s="148">
        <f ca="1">IFERROR(AH47/AH$29,0)</f>
        <v>0</v>
      </c>
      <c r="AK47" s="155" t="s">
        <v>27</v>
      </c>
      <c r="AL47" s="155" t="s">
        <v>27</v>
      </c>
      <c r="AM47" s="186">
        <f>SUMIFS(AM$6:AM$28,$D$6:$D$28,$B47)</f>
        <v>0</v>
      </c>
      <c r="AN47" s="186">
        <f>SUMIFS(AN$6:AN$28,$D$6:$D$28,$B47)</f>
        <v>0</v>
      </c>
      <c r="AO47" s="187" t="s">
        <v>27</v>
      </c>
      <c r="AP47" s="187" t="s">
        <v>27</v>
      </c>
      <c r="AQ47" s="187" t="s">
        <v>27</v>
      </c>
      <c r="AR47" s="186">
        <f ca="1">SUMIFS(AR$6:AR$28,$D$6:$D$28,$B47)</f>
        <v>0</v>
      </c>
      <c r="AS47" s="186">
        <f ca="1">SUMIFS(AS$6:AS$28,$D$6:$D$28,$B47)</f>
        <v>0</v>
      </c>
      <c r="AT47" s="186">
        <f ca="1">SUMIFS(AT$6:AT$28,$D$6:$D$28,$B47)</f>
        <v>0</v>
      </c>
      <c r="AU47" s="149">
        <f ca="1">IFERROR(AT47/AV47,0)</f>
        <v>0</v>
      </c>
      <c r="AV47" s="186">
        <f ca="1">SUMIFS(AV$6:AV$28,$D$6:$D$28,$B47)</f>
        <v>0</v>
      </c>
      <c r="AW47" s="186">
        <f>SUMIFS(AW$6:AW$28,$D$6:$D$28,$B47)</f>
        <v>0</v>
      </c>
      <c r="AX47" s="186">
        <f ca="1">SUMIFS(AX$6:AX$28,$D$6:$D$28,$B47)</f>
        <v>0</v>
      </c>
      <c r="AY47" s="186">
        <f>SUMIFS(AY$6:AY$28,$D$6:$D$28,$B47)</f>
        <v>0</v>
      </c>
      <c r="AZ47" s="186">
        <f ca="1">SUMIFS(AZ$6:AZ$28,$D$6:$D$28,$B47)</f>
        <v>0</v>
      </c>
      <c r="BA47" s="148">
        <f ca="1">IFERROR(AZ47/AZ$29,0)</f>
        <v>0</v>
      </c>
      <c r="BB47" s="186">
        <f ca="1">SUMIFS(BB$6:BB$28,$D$6:$D$28,$B47)</f>
        <v>0</v>
      </c>
      <c r="BC47" s="186">
        <f ca="1">SUMIFS(BC$6:BC$28,$D$6:$D$28,$B47)</f>
        <v>0</v>
      </c>
      <c r="BD47" s="148">
        <f ca="1">IFERROR(BC47/BC$29,0)</f>
        <v>0</v>
      </c>
      <c r="BF47" s="155" t="s">
        <v>27</v>
      </c>
      <c r="BG47" s="155" t="s">
        <v>27</v>
      </c>
      <c r="BH47" s="186">
        <f>SUMIFS(BH$6:BH$28,$D$6:$D$28,$B47)</f>
        <v>0</v>
      </c>
      <c r="BI47" s="186">
        <f>SUMIFS(BI$6:BI$28,$D$6:$D$28,$B47)</f>
        <v>0</v>
      </c>
      <c r="BJ47" s="187" t="s">
        <v>27</v>
      </c>
      <c r="BK47" s="187" t="s">
        <v>27</v>
      </c>
      <c r="BL47" s="187" t="s">
        <v>27</v>
      </c>
      <c r="BM47" s="186">
        <f ca="1">SUMIFS(BM$6:BM$28,$D$6:$D$28,$B47)</f>
        <v>0</v>
      </c>
      <c r="BN47" s="186">
        <f ca="1">SUMIFS(BN$6:BN$28,$D$6:$D$28,$B47)</f>
        <v>0</v>
      </c>
      <c r="BO47" s="186">
        <f ca="1">SUMIFS(BO$6:BO$28,$D$6:$D$28,$B47)</f>
        <v>0</v>
      </c>
      <c r="BP47" s="149">
        <f ca="1">IFERROR(BO47/BQ47,0)</f>
        <v>0</v>
      </c>
      <c r="BQ47" s="186">
        <f ca="1">SUMIFS(BQ$6:BQ$28,$D$6:$D$28,$B47)</f>
        <v>0</v>
      </c>
      <c r="BR47" s="186">
        <f>SUMIFS(BR$6:BR$28,$D$6:$D$28,$B47)</f>
        <v>0</v>
      </c>
      <c r="BS47" s="186">
        <f ca="1">SUMIFS(BS$6:BS$28,$D$6:$D$28,$B47)</f>
        <v>0</v>
      </c>
      <c r="BT47" s="186">
        <f>SUMIFS(BT$6:BT$28,$D$6:$D$28,$B47)</f>
        <v>0</v>
      </c>
      <c r="BU47" s="186">
        <f ca="1">SUMIFS(BU$6:BU$28,$D$6:$D$28,$B47)</f>
        <v>0</v>
      </c>
      <c r="BV47" s="148">
        <f ca="1">IFERROR(BU47/BU$29,0)</f>
        <v>0</v>
      </c>
      <c r="BW47" s="186">
        <f ca="1">SUMIFS(BW$6:BW$28,$D$6:$D$28,$B47)</f>
        <v>0</v>
      </c>
      <c r="BX47" s="186">
        <f ca="1">SUMIFS(BX$6:BX$28,$D$6:$D$28,$B47)</f>
        <v>0</v>
      </c>
      <c r="BY47" s="148">
        <f ca="1">IFERROR(BX47/BX$29,0)</f>
        <v>0</v>
      </c>
      <c r="CA47" s="155" t="s">
        <v>27</v>
      </c>
      <c r="CB47" s="155" t="s">
        <v>27</v>
      </c>
      <c r="CC47" s="186">
        <f>SUMIFS(CC$6:CC$28,$D$6:$D$28,$B47)</f>
        <v>0</v>
      </c>
      <c r="CD47" s="186">
        <f>SUMIFS(CD$6:CD$28,$D$6:$D$28,$B47)</f>
        <v>0</v>
      </c>
      <c r="CE47" s="187" t="s">
        <v>27</v>
      </c>
      <c r="CF47" s="187" t="s">
        <v>27</v>
      </c>
      <c r="CG47" s="187" t="s">
        <v>27</v>
      </c>
      <c r="CH47" s="186">
        <f ca="1">SUMIFS(CH$6:CH$28,$D$6:$D$28,$B47)</f>
        <v>0</v>
      </c>
      <c r="CI47" s="186">
        <f ca="1">SUMIFS(CI$6:CI$28,$D$6:$D$28,$B47)</f>
        <v>0</v>
      </c>
      <c r="CJ47" s="186">
        <f ca="1">SUMIFS(CJ$6:CJ$28,$D$6:$D$28,$B47)</f>
        <v>0</v>
      </c>
      <c r="CK47" s="149">
        <f ca="1">IFERROR(CJ47/CL47,0)</f>
        <v>0</v>
      </c>
      <c r="CL47" s="186">
        <f ca="1">SUMIFS(CL$6:CL$28,$D$6:$D$28,$B47)</f>
        <v>0</v>
      </c>
      <c r="CM47" s="186">
        <f>SUMIFS(CM$6:CM$28,$D$6:$D$28,$B47)</f>
        <v>0</v>
      </c>
      <c r="CN47" s="186">
        <f ca="1">SUMIFS(CN$6:CN$28,$D$6:$D$28,$B47)</f>
        <v>0</v>
      </c>
      <c r="CO47" s="186">
        <f>SUMIFS(CO$6:CO$28,$D$6:$D$28,$B47)</f>
        <v>0</v>
      </c>
      <c r="CP47" s="186">
        <f ca="1">SUMIFS(CP$6:CP$28,$D$6:$D$28,$B47)</f>
        <v>0</v>
      </c>
      <c r="CQ47" s="148">
        <f ca="1">IFERROR(CP47/CP$29,0)</f>
        <v>0</v>
      </c>
      <c r="CR47" s="186">
        <f ca="1">SUMIFS(CR$6:CR$28,$D$6:$D$28,$B47)</f>
        <v>0</v>
      </c>
      <c r="CS47" s="186">
        <f ca="1">SUMIFS(CS$6:CS$28,$D$6:$D$28,$B47)</f>
        <v>0</v>
      </c>
      <c r="CT47" s="148">
        <f ca="1">IFERROR(CS47/CS$29,0)</f>
        <v>0</v>
      </c>
      <c r="CV47" s="155" t="s">
        <v>27</v>
      </c>
      <c r="CW47" s="155" t="s">
        <v>27</v>
      </c>
      <c r="CX47" s="186">
        <f>SUMIFS(CX$6:CX$28,$D$6:$D$28,$B47)</f>
        <v>0</v>
      </c>
      <c r="CY47" s="186">
        <f>SUMIFS(CY$6:CY$28,$D$6:$D$28,$B47)</f>
        <v>0</v>
      </c>
      <c r="CZ47" s="187" t="s">
        <v>27</v>
      </c>
      <c r="DA47" s="187" t="s">
        <v>27</v>
      </c>
      <c r="DB47" s="187" t="s">
        <v>27</v>
      </c>
      <c r="DC47" s="186">
        <f ca="1">SUMIFS(DC$6:DC$28,$D$6:$D$28,$B47)</f>
        <v>0</v>
      </c>
      <c r="DD47" s="186">
        <f ca="1">SUMIFS(DD$6:DD$28,$D$6:$D$28,$B47)</f>
        <v>0</v>
      </c>
      <c r="DE47" s="186">
        <f ca="1">SUMIFS(DE$6:DE$28,$D$6:$D$28,$B47)</f>
        <v>0</v>
      </c>
      <c r="DF47" s="149">
        <f ca="1">IFERROR(DE47/DG47,0)</f>
        <v>0</v>
      </c>
      <c r="DG47" s="186">
        <f ca="1">SUMIFS(DG$6:DG$28,$D$6:$D$28,$B47)</f>
        <v>0</v>
      </c>
      <c r="DH47" s="186">
        <f>SUMIFS(DH$6:DH$28,$D$6:$D$28,$B47)</f>
        <v>0</v>
      </c>
      <c r="DI47" s="186">
        <f ca="1">SUMIFS(DI$6:DI$28,$D$6:$D$28,$B47)</f>
        <v>0</v>
      </c>
      <c r="DJ47" s="186">
        <f>SUMIFS(DJ$6:DJ$28,$D$6:$D$28,$B47)</f>
        <v>0</v>
      </c>
      <c r="DK47" s="186">
        <f ca="1">SUMIFS(DK$6:DK$28,$D$6:$D$28,$B47)</f>
        <v>0</v>
      </c>
      <c r="DL47" s="148">
        <f ca="1">IFERROR(DK47/DK$29,0)</f>
        <v>0</v>
      </c>
      <c r="DM47" s="186">
        <f ca="1">SUMIFS(DM$6:DM$28,$D$6:$D$28,$B47)</f>
        <v>0</v>
      </c>
      <c r="DN47" s="186">
        <f ca="1">SUMIFS(DN$6:DN$28,$D$6:$D$28,$B47)</f>
        <v>0</v>
      </c>
      <c r="DO47" s="148">
        <f ca="1">IFERROR(DN47/DN$29,0)</f>
        <v>0</v>
      </c>
      <c r="DQ47" s="155" t="s">
        <v>27</v>
      </c>
      <c r="DR47" s="155" t="s">
        <v>27</v>
      </c>
      <c r="DS47" s="186">
        <f>SUMIFS(DS$6:DS$28,$D$6:$D$28,$B47)</f>
        <v>0</v>
      </c>
      <c r="DT47" s="186">
        <f>SUMIFS(DT$6:DT$28,$D$6:$D$28,$B47)</f>
        <v>0</v>
      </c>
      <c r="DU47" s="187" t="s">
        <v>27</v>
      </c>
      <c r="DV47" s="187" t="s">
        <v>27</v>
      </c>
      <c r="DW47" s="187" t="s">
        <v>27</v>
      </c>
      <c r="DX47" s="186">
        <f ca="1">SUMIFS(DX$6:DX$28,$D$6:$D$28,$B47)</f>
        <v>0</v>
      </c>
      <c r="DY47" s="186">
        <f ca="1">SUMIFS(DY$6:DY$28,$D$6:$D$28,$B47)</f>
        <v>0</v>
      </c>
      <c r="DZ47" s="186">
        <f ca="1">SUMIFS(DZ$6:DZ$28,$D$6:$D$28,$B47)</f>
        <v>0</v>
      </c>
      <c r="EA47" s="149">
        <f ca="1">IFERROR(DZ47/EB47,0)</f>
        <v>0</v>
      </c>
      <c r="EB47" s="186">
        <f ca="1">SUMIFS(EB$6:EB$28,$D$6:$D$28,$B47)</f>
        <v>0</v>
      </c>
      <c r="EC47" s="186">
        <f>SUMIFS(EC$6:EC$28,$D$6:$D$28,$B47)</f>
        <v>0</v>
      </c>
      <c r="ED47" s="186">
        <f ca="1">SUMIFS(ED$6:ED$28,$D$6:$D$28,$B47)</f>
        <v>0</v>
      </c>
      <c r="EE47" s="186">
        <f>SUMIFS(EE$6:EE$28,$D$6:$D$28,$B47)</f>
        <v>0</v>
      </c>
      <c r="EF47" s="186">
        <f ca="1">SUMIFS(EF$6:EF$28,$D$6:$D$28,$B47)</f>
        <v>0</v>
      </c>
      <c r="EG47" s="148">
        <f ca="1">IFERROR(EF47/EF$29,0)</f>
        <v>0</v>
      </c>
      <c r="EH47" s="186">
        <f ca="1">SUMIFS(EH$6:EH$28,$D$6:$D$28,$B47)</f>
        <v>0</v>
      </c>
      <c r="EI47" s="186">
        <f ca="1">SUMIFS(EI$6:EI$28,$D$6:$D$28,$B47)</f>
        <v>0</v>
      </c>
      <c r="EJ47" s="148">
        <f ca="1">IFERROR(EI47/EI$29,0)</f>
        <v>0</v>
      </c>
      <c r="EL47" s="186">
        <f>SUMIFS(EL$6:EL$28,$D$6:$D$28,$B47)</f>
        <v>0</v>
      </c>
      <c r="EM47" s="186">
        <f>SUMIFS(EM$6:EM$28,$D$6:$D$28,$B47)</f>
        <v>0</v>
      </c>
      <c r="EN47" s="174" t="s">
        <v>27</v>
      </c>
      <c r="EO47" s="174" t="s">
        <v>27</v>
      </c>
      <c r="EP47" s="174" t="s">
        <v>27</v>
      </c>
      <c r="EQ47" s="186">
        <f ca="1">SUMIFS(EQ$6:EQ$28,$D$6:$D$28,$B47)</f>
        <v>0</v>
      </c>
      <c r="ER47" s="186">
        <f ca="1">SUMIFS(ER$6:ER$28,$D$6:$D$28,$B47)</f>
        <v>0</v>
      </c>
      <c r="ES47" s="186">
        <f ca="1">SUMIFS(ES$6:ES$28,$D$6:$D$28,$B47)</f>
        <v>0</v>
      </c>
      <c r="ET47" s="149">
        <f ca="1">IFERROR(ES47/EU47,0)</f>
        <v>0</v>
      </c>
      <c r="EU47" s="186">
        <f ca="1">SUMIFS(EU$6:EU$28,$D$6:$D$28,$B47)</f>
        <v>0</v>
      </c>
      <c r="EV47" s="186">
        <f>SUMIFS(EV$6:EV$28,$D$6:$D$28,$B47)</f>
        <v>0</v>
      </c>
      <c r="EW47" s="186">
        <f ca="1">SUMIFS(EW$6:EW$28,$D$6:$D$28,$B47)</f>
        <v>0</v>
      </c>
      <c r="EX47" s="186">
        <f>SUMIFS(EX$6:EX$28,$D$6:$D$28,$B47)</f>
        <v>0</v>
      </c>
      <c r="EY47" s="186">
        <f ca="1">SUMIFS(EY$6:EY$28,$D$6:$D$28,$B47)</f>
        <v>0</v>
      </c>
      <c r="EZ47" s="148">
        <f ca="1">IFERROR(EY47/EY$29,0)</f>
        <v>0</v>
      </c>
      <c r="FA47" s="186">
        <f ca="1">SUMIFS(FA$6:FA$28,$D$6:$D$28,$B47)</f>
        <v>0</v>
      </c>
      <c r="FB47" s="186">
        <f ca="1">SUMIFS(FB$6:FB$28,$D$6:$D$28,$B47)</f>
        <v>0</v>
      </c>
      <c r="FC47" s="148">
        <f ca="1">IFERROR(FB47/FB$29,0)</f>
        <v>0</v>
      </c>
      <c r="FF47" s="146">
        <f t="shared" ref="FF47:FF55" ca="1" si="180">OFFSET($G47,0,IF($FF$4=$G$4,1,12)+MATCH($FF$4,$G$4:$FC$4,0))</f>
        <v>0</v>
      </c>
      <c r="FG47" s="146">
        <f t="shared" ref="FG47:FG55" ca="1" si="181">OFFSET($G47,0,IF($FF$4=$G$4,2,13)+MATCH($FF$4,$G$4:$FC$4,0))</f>
        <v>0</v>
      </c>
      <c r="FH47" s="146">
        <f t="shared" ref="FH47:FH55" ca="1" si="182">OFFSET($G47,0,IF($FF$4=$G$4,5,17)+MATCH($FF$4,$G$4:$FC$4,0))</f>
        <v>0</v>
      </c>
      <c r="FK47" s="174" t="str">
        <f t="shared" ref="FK47:FL55" ca="1" si="183">IFERROR(OFFSET($G47,0,IF($FK$4=$G$4,1,12)+MATCH($FK$4,$G$4:$FC$4,0)),"na")</f>
        <v>na</v>
      </c>
      <c r="FL47" s="174" t="str">
        <f t="shared" ca="1" si="183"/>
        <v>na</v>
      </c>
      <c r="FM47" s="174" t="str">
        <f t="shared" ref="FM47:FM55" ca="1" si="184">IFERROR(OFFSET($G47,0,IF($FK$4=$G$4,5,17)+MATCH($FK$4,$G$4:$FC$4,0)),"na")</f>
        <v>na</v>
      </c>
    </row>
    <row r="48" spans="2:169">
      <c r="B48" s="149" t="str">
        <f>R59</f>
        <v>Seed</v>
      </c>
      <c r="D48" s="155" t="str">
        <f t="shared" ref="D48:D54" si="185">B48</f>
        <v>Seed</v>
      </c>
      <c r="E48" s="177" t="s">
        <v>27</v>
      </c>
      <c r="G48" s="155" t="s">
        <v>27</v>
      </c>
      <c r="H48" s="155" t="s">
        <v>27</v>
      </c>
      <c r="I48" s="186">
        <f t="shared" ref="I48:K54" si="186">SUMIFS(I$6:I$28,$D$6:$D$28,$B48)</f>
        <v>0</v>
      </c>
      <c r="J48" s="186">
        <f t="shared" si="186"/>
        <v>0</v>
      </c>
      <c r="K48" s="186">
        <f t="shared" si="186"/>
        <v>0</v>
      </c>
      <c r="L48" s="148">
        <f t="shared" ref="L48:L54" si="187">IFERROR(K48/K$29,0)</f>
        <v>0</v>
      </c>
      <c r="M48" s="186">
        <f t="shared" ref="M48:M54" si="188">SUMIFS(M$6:M$28,$D$6:$D$28,$B48)</f>
        <v>0</v>
      </c>
      <c r="N48" s="148">
        <f t="shared" ref="N48:N54" si="189">IFERROR(M48/M$29,0)</f>
        <v>0</v>
      </c>
      <c r="P48" s="155" t="s">
        <v>27</v>
      </c>
      <c r="Q48" s="155" t="s">
        <v>27</v>
      </c>
      <c r="R48" s="186">
        <f t="shared" ref="R48:S54" si="190">SUMIFS(R$6:R$28,$D$6:$D$28,$B48)</f>
        <v>0</v>
      </c>
      <c r="S48" s="186">
        <f t="shared" si="190"/>
        <v>0</v>
      </c>
      <c r="T48" s="187" t="s">
        <v>27</v>
      </c>
      <c r="U48" s="187" t="s">
        <v>27</v>
      </c>
      <c r="V48" s="187" t="s">
        <v>27</v>
      </c>
      <c r="W48" s="186">
        <f t="shared" ref="W48:Y54" ca="1" si="191">SUMIFS(W$6:W$28,$D$6:$D$28,$B48)</f>
        <v>0</v>
      </c>
      <c r="X48" s="186">
        <f t="shared" ca="1" si="191"/>
        <v>0</v>
      </c>
      <c r="Y48" s="186">
        <f t="shared" ca="1" si="191"/>
        <v>0</v>
      </c>
      <c r="Z48" s="149">
        <f t="shared" ref="Z48:Z55" ca="1" si="192">IFERROR(Y48/AA48,0)</f>
        <v>0</v>
      </c>
      <c r="AA48" s="186">
        <f t="shared" ref="AA48:AE54" ca="1" si="193">SUMIFS(AA$6:AA$28,$D$6:$D$28,$B48)</f>
        <v>0</v>
      </c>
      <c r="AB48" s="186">
        <f t="shared" si="193"/>
        <v>0</v>
      </c>
      <c r="AC48" s="186">
        <f t="shared" ca="1" si="193"/>
        <v>0</v>
      </c>
      <c r="AD48" s="186">
        <f t="shared" si="193"/>
        <v>0</v>
      </c>
      <c r="AE48" s="186">
        <f t="shared" ca="1" si="193"/>
        <v>0</v>
      </c>
      <c r="AF48" s="148">
        <f t="shared" ref="AF48:AF54" ca="1" si="194">IFERROR(AE48/AE$29,0)</f>
        <v>0</v>
      </c>
      <c r="AG48" s="186">
        <f t="shared" ref="AG48:AH54" ca="1" si="195">SUMIFS(AG$6:AG$28,$D$6:$D$28,$B48)</f>
        <v>0</v>
      </c>
      <c r="AH48" s="186">
        <f t="shared" ca="1" si="195"/>
        <v>0</v>
      </c>
      <c r="AI48" s="148">
        <f t="shared" ref="AI48:AI54" ca="1" si="196">IFERROR(AH48/AH$29,0)</f>
        <v>0</v>
      </c>
      <c r="AK48" s="155" t="s">
        <v>27</v>
      </c>
      <c r="AL48" s="155" t="s">
        <v>27</v>
      </c>
      <c r="AM48" s="186">
        <f t="shared" ref="AM48:AN54" si="197">SUMIFS(AM$6:AM$28,$D$6:$D$28,$B48)</f>
        <v>0</v>
      </c>
      <c r="AN48" s="186">
        <f t="shared" si="197"/>
        <v>0</v>
      </c>
      <c r="AO48" s="187" t="s">
        <v>27</v>
      </c>
      <c r="AP48" s="187" t="s">
        <v>27</v>
      </c>
      <c r="AQ48" s="187" t="s">
        <v>27</v>
      </c>
      <c r="AR48" s="186">
        <f t="shared" ref="AR48:AT54" ca="1" si="198">SUMIFS(AR$6:AR$28,$D$6:$D$28,$B48)</f>
        <v>0</v>
      </c>
      <c r="AS48" s="186">
        <f t="shared" ca="1" si="198"/>
        <v>0</v>
      </c>
      <c r="AT48" s="186">
        <f t="shared" ca="1" si="198"/>
        <v>0</v>
      </c>
      <c r="AU48" s="149">
        <f t="shared" ref="AU48:AU55" ca="1" si="199">IFERROR(AT48/AV48,0)</f>
        <v>0</v>
      </c>
      <c r="AV48" s="186">
        <f t="shared" ref="AV48:AZ54" ca="1" si="200">SUMIFS(AV$6:AV$28,$D$6:$D$28,$B48)</f>
        <v>0</v>
      </c>
      <c r="AW48" s="186">
        <f t="shared" si="200"/>
        <v>0</v>
      </c>
      <c r="AX48" s="186">
        <f t="shared" ca="1" si="200"/>
        <v>0</v>
      </c>
      <c r="AY48" s="186">
        <f t="shared" si="200"/>
        <v>0</v>
      </c>
      <c r="AZ48" s="186">
        <f t="shared" ca="1" si="200"/>
        <v>0</v>
      </c>
      <c r="BA48" s="148">
        <f t="shared" ref="BA48:BA54" ca="1" si="201">IFERROR(AZ48/AZ$29,0)</f>
        <v>0</v>
      </c>
      <c r="BB48" s="186">
        <f t="shared" ref="BB48:BC54" ca="1" si="202">SUMIFS(BB$6:BB$28,$D$6:$D$28,$B48)</f>
        <v>0</v>
      </c>
      <c r="BC48" s="186">
        <f t="shared" ca="1" si="202"/>
        <v>0</v>
      </c>
      <c r="BD48" s="148">
        <f t="shared" ref="BD48:BD54" ca="1" si="203">IFERROR(BC48/BC$29,0)</f>
        <v>0</v>
      </c>
      <c r="BF48" s="155" t="s">
        <v>27</v>
      </c>
      <c r="BG48" s="155" t="s">
        <v>27</v>
      </c>
      <c r="BH48" s="186">
        <f t="shared" ref="BH48:BI54" si="204">SUMIFS(BH$6:BH$28,$D$6:$D$28,$B48)</f>
        <v>0</v>
      </c>
      <c r="BI48" s="186">
        <f t="shared" si="204"/>
        <v>0</v>
      </c>
      <c r="BJ48" s="187" t="s">
        <v>27</v>
      </c>
      <c r="BK48" s="187" t="s">
        <v>27</v>
      </c>
      <c r="BL48" s="187" t="s">
        <v>27</v>
      </c>
      <c r="BM48" s="186">
        <f t="shared" ref="BM48:BO54" ca="1" si="205">SUMIFS(BM$6:BM$28,$D$6:$D$28,$B48)</f>
        <v>0</v>
      </c>
      <c r="BN48" s="186">
        <f t="shared" ca="1" si="205"/>
        <v>0</v>
      </c>
      <c r="BO48" s="186">
        <f t="shared" ca="1" si="205"/>
        <v>0</v>
      </c>
      <c r="BP48" s="149">
        <f t="shared" ref="BP48:BP55" ca="1" si="206">IFERROR(BO48/BQ48,0)</f>
        <v>0</v>
      </c>
      <c r="BQ48" s="186">
        <f t="shared" ref="BQ48:BU54" ca="1" si="207">SUMIFS(BQ$6:BQ$28,$D$6:$D$28,$B48)</f>
        <v>0</v>
      </c>
      <c r="BR48" s="186">
        <f t="shared" si="207"/>
        <v>0</v>
      </c>
      <c r="BS48" s="186">
        <f t="shared" ca="1" si="207"/>
        <v>0</v>
      </c>
      <c r="BT48" s="186">
        <f t="shared" si="207"/>
        <v>0</v>
      </c>
      <c r="BU48" s="186">
        <f t="shared" ca="1" si="207"/>
        <v>0</v>
      </c>
      <c r="BV48" s="148">
        <f t="shared" ref="BV48:BV54" ca="1" si="208">IFERROR(BU48/BU$29,0)</f>
        <v>0</v>
      </c>
      <c r="BW48" s="186">
        <f t="shared" ref="BW48:BX54" ca="1" si="209">SUMIFS(BW$6:BW$28,$D$6:$D$28,$B48)</f>
        <v>0</v>
      </c>
      <c r="BX48" s="186">
        <f t="shared" ca="1" si="209"/>
        <v>0</v>
      </c>
      <c r="BY48" s="148">
        <f t="shared" ref="BY48:BY54" ca="1" si="210">IFERROR(BX48/BX$29,0)</f>
        <v>0</v>
      </c>
      <c r="CA48" s="155" t="s">
        <v>27</v>
      </c>
      <c r="CB48" s="155" t="s">
        <v>27</v>
      </c>
      <c r="CC48" s="186">
        <f t="shared" ref="CC48:CD54" si="211">SUMIFS(CC$6:CC$28,$D$6:$D$28,$B48)</f>
        <v>0</v>
      </c>
      <c r="CD48" s="186">
        <f t="shared" si="211"/>
        <v>0</v>
      </c>
      <c r="CE48" s="187" t="s">
        <v>27</v>
      </c>
      <c r="CF48" s="187" t="s">
        <v>27</v>
      </c>
      <c r="CG48" s="187" t="s">
        <v>27</v>
      </c>
      <c r="CH48" s="186">
        <f t="shared" ref="CH48:CJ54" ca="1" si="212">SUMIFS(CH$6:CH$28,$D$6:$D$28,$B48)</f>
        <v>0</v>
      </c>
      <c r="CI48" s="186">
        <f t="shared" ca="1" si="212"/>
        <v>0</v>
      </c>
      <c r="CJ48" s="186">
        <f t="shared" ca="1" si="212"/>
        <v>0</v>
      </c>
      <c r="CK48" s="149">
        <f t="shared" ref="CK48:CK55" ca="1" si="213">IFERROR(CJ48/CL48,0)</f>
        <v>0</v>
      </c>
      <c r="CL48" s="186">
        <f t="shared" ref="CL48:CP54" ca="1" si="214">SUMIFS(CL$6:CL$28,$D$6:$D$28,$B48)</f>
        <v>0</v>
      </c>
      <c r="CM48" s="186">
        <f t="shared" si="214"/>
        <v>0</v>
      </c>
      <c r="CN48" s="186">
        <f t="shared" ca="1" si="214"/>
        <v>0</v>
      </c>
      <c r="CO48" s="186">
        <f t="shared" si="214"/>
        <v>0</v>
      </c>
      <c r="CP48" s="186">
        <f t="shared" ca="1" si="214"/>
        <v>0</v>
      </c>
      <c r="CQ48" s="148">
        <f t="shared" ref="CQ48:CQ54" ca="1" si="215">IFERROR(CP48/CP$29,0)</f>
        <v>0</v>
      </c>
      <c r="CR48" s="186">
        <f t="shared" ref="CR48:CS54" ca="1" si="216">SUMIFS(CR$6:CR$28,$D$6:$D$28,$B48)</f>
        <v>0</v>
      </c>
      <c r="CS48" s="186">
        <f t="shared" ca="1" si="216"/>
        <v>0</v>
      </c>
      <c r="CT48" s="148">
        <f t="shared" ref="CT48:CT54" ca="1" si="217">IFERROR(CS48/CS$29,0)</f>
        <v>0</v>
      </c>
      <c r="CV48" s="155" t="s">
        <v>27</v>
      </c>
      <c r="CW48" s="155" t="s">
        <v>27</v>
      </c>
      <c r="CX48" s="186">
        <f t="shared" ref="CX48:CY54" si="218">SUMIFS(CX$6:CX$28,$D$6:$D$28,$B48)</f>
        <v>0</v>
      </c>
      <c r="CY48" s="186">
        <f t="shared" si="218"/>
        <v>0</v>
      </c>
      <c r="CZ48" s="187" t="s">
        <v>27</v>
      </c>
      <c r="DA48" s="187" t="s">
        <v>27</v>
      </c>
      <c r="DB48" s="187" t="s">
        <v>27</v>
      </c>
      <c r="DC48" s="186">
        <f t="shared" ref="DC48:DE54" ca="1" si="219">SUMIFS(DC$6:DC$28,$D$6:$D$28,$B48)</f>
        <v>0</v>
      </c>
      <c r="DD48" s="186">
        <f t="shared" ca="1" si="219"/>
        <v>0</v>
      </c>
      <c r="DE48" s="186">
        <f t="shared" ca="1" si="219"/>
        <v>0</v>
      </c>
      <c r="DF48" s="149">
        <f t="shared" ref="DF48:DF55" ca="1" si="220">IFERROR(DE48/DG48,0)</f>
        <v>0</v>
      </c>
      <c r="DG48" s="186">
        <f t="shared" ref="DG48:DK54" ca="1" si="221">SUMIFS(DG$6:DG$28,$D$6:$D$28,$B48)</f>
        <v>0</v>
      </c>
      <c r="DH48" s="186">
        <f t="shared" si="221"/>
        <v>0</v>
      </c>
      <c r="DI48" s="186">
        <f t="shared" ca="1" si="221"/>
        <v>0</v>
      </c>
      <c r="DJ48" s="186">
        <f t="shared" si="221"/>
        <v>0</v>
      </c>
      <c r="DK48" s="186">
        <f t="shared" ca="1" si="221"/>
        <v>0</v>
      </c>
      <c r="DL48" s="148">
        <f t="shared" ref="DL48:DL54" ca="1" si="222">IFERROR(DK48/DK$29,0)</f>
        <v>0</v>
      </c>
      <c r="DM48" s="186">
        <f t="shared" ref="DM48:DN54" ca="1" si="223">SUMIFS(DM$6:DM$28,$D$6:$D$28,$B48)</f>
        <v>0</v>
      </c>
      <c r="DN48" s="186">
        <f t="shared" ca="1" si="223"/>
        <v>0</v>
      </c>
      <c r="DO48" s="148">
        <f t="shared" ref="DO48:DO54" ca="1" si="224">IFERROR(DN48/DN$29,0)</f>
        <v>0</v>
      </c>
      <c r="DQ48" s="155" t="s">
        <v>27</v>
      </c>
      <c r="DR48" s="155" t="s">
        <v>27</v>
      </c>
      <c r="DS48" s="186">
        <f t="shared" ref="DS48:DT54" si="225">SUMIFS(DS$6:DS$28,$D$6:$D$28,$B48)</f>
        <v>0</v>
      </c>
      <c r="DT48" s="186">
        <f t="shared" si="225"/>
        <v>0</v>
      </c>
      <c r="DU48" s="187" t="s">
        <v>27</v>
      </c>
      <c r="DV48" s="187" t="s">
        <v>27</v>
      </c>
      <c r="DW48" s="187" t="s">
        <v>27</v>
      </c>
      <c r="DX48" s="186">
        <f t="shared" ref="DX48:DZ54" ca="1" si="226">SUMIFS(DX$6:DX$28,$D$6:$D$28,$B48)</f>
        <v>0</v>
      </c>
      <c r="DY48" s="186">
        <f t="shared" ca="1" si="226"/>
        <v>0</v>
      </c>
      <c r="DZ48" s="186">
        <f t="shared" ca="1" si="226"/>
        <v>0</v>
      </c>
      <c r="EA48" s="149">
        <f t="shared" ref="EA48:EA55" ca="1" si="227">IFERROR(DZ48/EB48,0)</f>
        <v>0</v>
      </c>
      <c r="EB48" s="186">
        <f t="shared" ref="EB48:EF54" ca="1" si="228">SUMIFS(EB$6:EB$28,$D$6:$D$28,$B48)</f>
        <v>0</v>
      </c>
      <c r="EC48" s="186">
        <f t="shared" si="228"/>
        <v>0</v>
      </c>
      <c r="ED48" s="186">
        <f t="shared" ca="1" si="228"/>
        <v>0</v>
      </c>
      <c r="EE48" s="186">
        <f t="shared" si="228"/>
        <v>0</v>
      </c>
      <c r="EF48" s="186">
        <f t="shared" ca="1" si="228"/>
        <v>0</v>
      </c>
      <c r="EG48" s="148">
        <f t="shared" ref="EG48:EG54" ca="1" si="229">IFERROR(EF48/EF$29,0)</f>
        <v>0</v>
      </c>
      <c r="EH48" s="186">
        <f t="shared" ref="EH48:EI54" ca="1" si="230">SUMIFS(EH$6:EH$28,$D$6:$D$28,$B48)</f>
        <v>0</v>
      </c>
      <c r="EI48" s="186">
        <f t="shared" ca="1" si="230"/>
        <v>0</v>
      </c>
      <c r="EJ48" s="148">
        <f t="shared" ref="EJ48:EJ54" ca="1" si="231">IFERROR(EI48/EI$29,0)</f>
        <v>0</v>
      </c>
      <c r="EL48" s="186">
        <f t="shared" ref="EL48:EM54" si="232">SUMIFS(EL$6:EL$28,$D$6:$D$28,$B48)</f>
        <v>0</v>
      </c>
      <c r="EM48" s="186">
        <f t="shared" si="232"/>
        <v>0</v>
      </c>
      <c r="EN48" s="174" t="s">
        <v>27</v>
      </c>
      <c r="EO48" s="174" t="s">
        <v>27</v>
      </c>
      <c r="EP48" s="174" t="s">
        <v>27</v>
      </c>
      <c r="EQ48" s="186">
        <f t="shared" ref="EQ48:ES54" ca="1" si="233">SUMIFS(EQ$6:EQ$28,$D$6:$D$28,$B48)</f>
        <v>0</v>
      </c>
      <c r="ER48" s="186">
        <f t="shared" ca="1" si="233"/>
        <v>0</v>
      </c>
      <c r="ES48" s="186">
        <f t="shared" ca="1" si="233"/>
        <v>0</v>
      </c>
      <c r="ET48" s="149">
        <f t="shared" ref="ET48:ET55" ca="1" si="234">IFERROR(ES48/EU48,0)</f>
        <v>0</v>
      </c>
      <c r="EU48" s="186">
        <f t="shared" ref="EU48:EY54" ca="1" si="235">SUMIFS(EU$6:EU$28,$D$6:$D$28,$B48)</f>
        <v>0</v>
      </c>
      <c r="EV48" s="186">
        <f t="shared" si="235"/>
        <v>0</v>
      </c>
      <c r="EW48" s="186">
        <f t="shared" ca="1" si="235"/>
        <v>0</v>
      </c>
      <c r="EX48" s="186">
        <f t="shared" si="235"/>
        <v>0</v>
      </c>
      <c r="EY48" s="186">
        <f t="shared" ca="1" si="235"/>
        <v>0</v>
      </c>
      <c r="EZ48" s="148">
        <f t="shared" ref="EZ48:EZ54" ca="1" si="236">IFERROR(EY48/EY$29,0)</f>
        <v>0</v>
      </c>
      <c r="FA48" s="186">
        <f t="shared" ref="FA48:FB54" ca="1" si="237">SUMIFS(FA$6:FA$28,$D$6:$D$28,$B48)</f>
        <v>0</v>
      </c>
      <c r="FB48" s="186">
        <f t="shared" ca="1" si="237"/>
        <v>0</v>
      </c>
      <c r="FC48" s="148">
        <f t="shared" ref="FC48:FC54" ca="1" si="238">IFERROR(FB48/FB$29,0)</f>
        <v>0</v>
      </c>
      <c r="FF48" s="146">
        <f t="shared" ca="1" si="180"/>
        <v>0</v>
      </c>
      <c r="FG48" s="146">
        <f t="shared" ca="1" si="181"/>
        <v>0</v>
      </c>
      <c r="FH48" s="146">
        <f t="shared" ca="1" si="182"/>
        <v>0</v>
      </c>
      <c r="FK48" s="174" t="str">
        <f t="shared" ca="1" si="183"/>
        <v>na</v>
      </c>
      <c r="FL48" s="174" t="str">
        <f t="shared" ca="1" si="183"/>
        <v>na</v>
      </c>
      <c r="FM48" s="174" t="str">
        <f t="shared" ca="1" si="184"/>
        <v>na</v>
      </c>
    </row>
    <row r="49" spans="2:169">
      <c r="B49" s="149" t="str">
        <f>AM59</f>
        <v>A</v>
      </c>
      <c r="D49" s="155" t="str">
        <f t="shared" si="185"/>
        <v>A</v>
      </c>
      <c r="E49" s="177" t="s">
        <v>27</v>
      </c>
      <c r="G49" s="155" t="s">
        <v>27</v>
      </c>
      <c r="H49" s="155" t="s">
        <v>27</v>
      </c>
      <c r="I49" s="186">
        <f t="shared" si="186"/>
        <v>0</v>
      </c>
      <c r="J49" s="186">
        <f t="shared" si="186"/>
        <v>0</v>
      </c>
      <c r="K49" s="186">
        <f t="shared" si="186"/>
        <v>0</v>
      </c>
      <c r="L49" s="148">
        <f t="shared" si="187"/>
        <v>0</v>
      </c>
      <c r="M49" s="186">
        <f t="shared" si="188"/>
        <v>0</v>
      </c>
      <c r="N49" s="148">
        <f t="shared" si="189"/>
        <v>0</v>
      </c>
      <c r="P49" s="155" t="s">
        <v>27</v>
      </c>
      <c r="Q49" s="155" t="s">
        <v>27</v>
      </c>
      <c r="R49" s="186">
        <f t="shared" si="190"/>
        <v>0</v>
      </c>
      <c r="S49" s="186">
        <f t="shared" si="190"/>
        <v>0</v>
      </c>
      <c r="T49" s="187" t="s">
        <v>27</v>
      </c>
      <c r="U49" s="187" t="s">
        <v>27</v>
      </c>
      <c r="V49" s="187" t="s">
        <v>27</v>
      </c>
      <c r="W49" s="186">
        <f t="shared" ca="1" si="191"/>
        <v>0</v>
      </c>
      <c r="X49" s="186">
        <f t="shared" ca="1" si="191"/>
        <v>0</v>
      </c>
      <c r="Y49" s="186">
        <f t="shared" ca="1" si="191"/>
        <v>0</v>
      </c>
      <c r="Z49" s="149">
        <f t="shared" ca="1" si="192"/>
        <v>0</v>
      </c>
      <c r="AA49" s="186">
        <f t="shared" ca="1" si="193"/>
        <v>0</v>
      </c>
      <c r="AB49" s="186">
        <f t="shared" si="193"/>
        <v>0</v>
      </c>
      <c r="AC49" s="186">
        <f t="shared" ca="1" si="193"/>
        <v>0</v>
      </c>
      <c r="AD49" s="186">
        <f t="shared" si="193"/>
        <v>0</v>
      </c>
      <c r="AE49" s="186">
        <f t="shared" ca="1" si="193"/>
        <v>0</v>
      </c>
      <c r="AF49" s="148">
        <f t="shared" ca="1" si="194"/>
        <v>0</v>
      </c>
      <c r="AG49" s="186">
        <f t="shared" ca="1" si="195"/>
        <v>0</v>
      </c>
      <c r="AH49" s="186">
        <f t="shared" ca="1" si="195"/>
        <v>0</v>
      </c>
      <c r="AI49" s="148">
        <f t="shared" ca="1" si="196"/>
        <v>0</v>
      </c>
      <c r="AK49" s="155" t="s">
        <v>27</v>
      </c>
      <c r="AL49" s="155" t="s">
        <v>27</v>
      </c>
      <c r="AM49" s="186">
        <f t="shared" si="197"/>
        <v>0</v>
      </c>
      <c r="AN49" s="186">
        <f t="shared" si="197"/>
        <v>0</v>
      </c>
      <c r="AO49" s="187" t="s">
        <v>27</v>
      </c>
      <c r="AP49" s="187" t="s">
        <v>27</v>
      </c>
      <c r="AQ49" s="187" t="s">
        <v>27</v>
      </c>
      <c r="AR49" s="186">
        <f t="shared" ca="1" si="198"/>
        <v>0</v>
      </c>
      <c r="AS49" s="186">
        <f t="shared" ca="1" si="198"/>
        <v>0</v>
      </c>
      <c r="AT49" s="186">
        <f t="shared" ca="1" si="198"/>
        <v>0</v>
      </c>
      <c r="AU49" s="149">
        <f t="shared" ca="1" si="199"/>
        <v>0</v>
      </c>
      <c r="AV49" s="186">
        <f t="shared" ca="1" si="200"/>
        <v>0</v>
      </c>
      <c r="AW49" s="186">
        <f t="shared" si="200"/>
        <v>0</v>
      </c>
      <c r="AX49" s="186">
        <f t="shared" ca="1" si="200"/>
        <v>0</v>
      </c>
      <c r="AY49" s="186">
        <f t="shared" si="200"/>
        <v>0</v>
      </c>
      <c r="AZ49" s="186">
        <f t="shared" ca="1" si="200"/>
        <v>0</v>
      </c>
      <c r="BA49" s="148">
        <f t="shared" ca="1" si="201"/>
        <v>0</v>
      </c>
      <c r="BB49" s="186">
        <f t="shared" ca="1" si="202"/>
        <v>0</v>
      </c>
      <c r="BC49" s="186">
        <f t="shared" ca="1" si="202"/>
        <v>0</v>
      </c>
      <c r="BD49" s="148">
        <f t="shared" ca="1" si="203"/>
        <v>0</v>
      </c>
      <c r="BF49" s="155" t="s">
        <v>27</v>
      </c>
      <c r="BG49" s="155" t="s">
        <v>27</v>
      </c>
      <c r="BH49" s="186">
        <f t="shared" si="204"/>
        <v>0</v>
      </c>
      <c r="BI49" s="186">
        <f t="shared" si="204"/>
        <v>0</v>
      </c>
      <c r="BJ49" s="187" t="s">
        <v>27</v>
      </c>
      <c r="BK49" s="187" t="s">
        <v>27</v>
      </c>
      <c r="BL49" s="187" t="s">
        <v>27</v>
      </c>
      <c r="BM49" s="186">
        <f t="shared" ca="1" si="205"/>
        <v>0</v>
      </c>
      <c r="BN49" s="186">
        <f t="shared" ca="1" si="205"/>
        <v>0</v>
      </c>
      <c r="BO49" s="186">
        <f t="shared" ca="1" si="205"/>
        <v>0</v>
      </c>
      <c r="BP49" s="149">
        <f t="shared" ca="1" si="206"/>
        <v>0</v>
      </c>
      <c r="BQ49" s="186">
        <f t="shared" ca="1" si="207"/>
        <v>0</v>
      </c>
      <c r="BR49" s="186">
        <f t="shared" si="207"/>
        <v>0</v>
      </c>
      <c r="BS49" s="186">
        <f t="shared" ca="1" si="207"/>
        <v>0</v>
      </c>
      <c r="BT49" s="186">
        <f t="shared" si="207"/>
        <v>0</v>
      </c>
      <c r="BU49" s="186">
        <f t="shared" ca="1" si="207"/>
        <v>0</v>
      </c>
      <c r="BV49" s="148">
        <f t="shared" ca="1" si="208"/>
        <v>0</v>
      </c>
      <c r="BW49" s="186">
        <f t="shared" ca="1" si="209"/>
        <v>0</v>
      </c>
      <c r="BX49" s="186">
        <f t="shared" ca="1" si="209"/>
        <v>0</v>
      </c>
      <c r="BY49" s="148">
        <f t="shared" ca="1" si="210"/>
        <v>0</v>
      </c>
      <c r="CA49" s="155" t="s">
        <v>27</v>
      </c>
      <c r="CB49" s="155" t="s">
        <v>27</v>
      </c>
      <c r="CC49" s="186">
        <f t="shared" si="211"/>
        <v>0</v>
      </c>
      <c r="CD49" s="186">
        <f t="shared" si="211"/>
        <v>0</v>
      </c>
      <c r="CE49" s="187" t="s">
        <v>27</v>
      </c>
      <c r="CF49" s="187" t="s">
        <v>27</v>
      </c>
      <c r="CG49" s="187" t="s">
        <v>27</v>
      </c>
      <c r="CH49" s="186">
        <f t="shared" ca="1" si="212"/>
        <v>0</v>
      </c>
      <c r="CI49" s="186">
        <f t="shared" ca="1" si="212"/>
        <v>0</v>
      </c>
      <c r="CJ49" s="186">
        <f t="shared" ca="1" si="212"/>
        <v>0</v>
      </c>
      <c r="CK49" s="149">
        <f t="shared" ca="1" si="213"/>
        <v>0</v>
      </c>
      <c r="CL49" s="186">
        <f t="shared" ca="1" si="214"/>
        <v>0</v>
      </c>
      <c r="CM49" s="186">
        <f t="shared" si="214"/>
        <v>0</v>
      </c>
      <c r="CN49" s="186">
        <f t="shared" ca="1" si="214"/>
        <v>0</v>
      </c>
      <c r="CO49" s="186">
        <f t="shared" si="214"/>
        <v>0</v>
      </c>
      <c r="CP49" s="186">
        <f t="shared" ca="1" si="214"/>
        <v>0</v>
      </c>
      <c r="CQ49" s="148">
        <f t="shared" ca="1" si="215"/>
        <v>0</v>
      </c>
      <c r="CR49" s="186">
        <f t="shared" ca="1" si="216"/>
        <v>0</v>
      </c>
      <c r="CS49" s="186">
        <f t="shared" ca="1" si="216"/>
        <v>0</v>
      </c>
      <c r="CT49" s="148">
        <f t="shared" ca="1" si="217"/>
        <v>0</v>
      </c>
      <c r="CV49" s="155" t="s">
        <v>27</v>
      </c>
      <c r="CW49" s="155" t="s">
        <v>27</v>
      </c>
      <c r="CX49" s="186">
        <f t="shared" si="218"/>
        <v>0</v>
      </c>
      <c r="CY49" s="186">
        <f t="shared" si="218"/>
        <v>0</v>
      </c>
      <c r="CZ49" s="187" t="s">
        <v>27</v>
      </c>
      <c r="DA49" s="187" t="s">
        <v>27</v>
      </c>
      <c r="DB49" s="187" t="s">
        <v>27</v>
      </c>
      <c r="DC49" s="186">
        <f t="shared" ca="1" si="219"/>
        <v>0</v>
      </c>
      <c r="DD49" s="186">
        <f t="shared" ca="1" si="219"/>
        <v>0</v>
      </c>
      <c r="DE49" s="186">
        <f t="shared" ca="1" si="219"/>
        <v>0</v>
      </c>
      <c r="DF49" s="149">
        <f t="shared" ca="1" si="220"/>
        <v>0</v>
      </c>
      <c r="DG49" s="186">
        <f t="shared" ca="1" si="221"/>
        <v>0</v>
      </c>
      <c r="DH49" s="186">
        <f t="shared" si="221"/>
        <v>0</v>
      </c>
      <c r="DI49" s="186">
        <f t="shared" ca="1" si="221"/>
        <v>0</v>
      </c>
      <c r="DJ49" s="186">
        <f t="shared" si="221"/>
        <v>0</v>
      </c>
      <c r="DK49" s="186">
        <f t="shared" ca="1" si="221"/>
        <v>0</v>
      </c>
      <c r="DL49" s="148">
        <f t="shared" ca="1" si="222"/>
        <v>0</v>
      </c>
      <c r="DM49" s="186">
        <f t="shared" ca="1" si="223"/>
        <v>0</v>
      </c>
      <c r="DN49" s="186">
        <f t="shared" ca="1" si="223"/>
        <v>0</v>
      </c>
      <c r="DO49" s="148">
        <f t="shared" ca="1" si="224"/>
        <v>0</v>
      </c>
      <c r="DQ49" s="155" t="s">
        <v>27</v>
      </c>
      <c r="DR49" s="155" t="s">
        <v>27</v>
      </c>
      <c r="DS49" s="186">
        <f t="shared" si="225"/>
        <v>0</v>
      </c>
      <c r="DT49" s="186">
        <f t="shared" si="225"/>
        <v>0</v>
      </c>
      <c r="DU49" s="187" t="s">
        <v>27</v>
      </c>
      <c r="DV49" s="187" t="s">
        <v>27</v>
      </c>
      <c r="DW49" s="187" t="s">
        <v>27</v>
      </c>
      <c r="DX49" s="186">
        <f t="shared" ca="1" si="226"/>
        <v>0</v>
      </c>
      <c r="DY49" s="186">
        <f t="shared" ca="1" si="226"/>
        <v>0</v>
      </c>
      <c r="DZ49" s="186">
        <f t="shared" ca="1" si="226"/>
        <v>0</v>
      </c>
      <c r="EA49" s="149">
        <f t="shared" ca="1" si="227"/>
        <v>0</v>
      </c>
      <c r="EB49" s="186">
        <f t="shared" ca="1" si="228"/>
        <v>0</v>
      </c>
      <c r="EC49" s="186">
        <f t="shared" si="228"/>
        <v>0</v>
      </c>
      <c r="ED49" s="186">
        <f t="shared" ca="1" si="228"/>
        <v>0</v>
      </c>
      <c r="EE49" s="186">
        <f t="shared" si="228"/>
        <v>0</v>
      </c>
      <c r="EF49" s="186">
        <f t="shared" ca="1" si="228"/>
        <v>0</v>
      </c>
      <c r="EG49" s="148">
        <f t="shared" ca="1" si="229"/>
        <v>0</v>
      </c>
      <c r="EH49" s="186">
        <f t="shared" ca="1" si="230"/>
        <v>0</v>
      </c>
      <c r="EI49" s="186">
        <f t="shared" ca="1" si="230"/>
        <v>0</v>
      </c>
      <c r="EJ49" s="148">
        <f t="shared" ca="1" si="231"/>
        <v>0</v>
      </c>
      <c r="EL49" s="186">
        <f t="shared" si="232"/>
        <v>0</v>
      </c>
      <c r="EM49" s="186">
        <f t="shared" si="232"/>
        <v>0</v>
      </c>
      <c r="EN49" s="174" t="s">
        <v>27</v>
      </c>
      <c r="EO49" s="174" t="s">
        <v>27</v>
      </c>
      <c r="EP49" s="174" t="s">
        <v>27</v>
      </c>
      <c r="EQ49" s="186">
        <f t="shared" ca="1" si="233"/>
        <v>0</v>
      </c>
      <c r="ER49" s="186">
        <f t="shared" ca="1" si="233"/>
        <v>0</v>
      </c>
      <c r="ES49" s="186">
        <f t="shared" ca="1" si="233"/>
        <v>0</v>
      </c>
      <c r="ET49" s="149">
        <f t="shared" ca="1" si="234"/>
        <v>0</v>
      </c>
      <c r="EU49" s="186">
        <f t="shared" ca="1" si="235"/>
        <v>0</v>
      </c>
      <c r="EV49" s="186">
        <f t="shared" si="235"/>
        <v>0</v>
      </c>
      <c r="EW49" s="186">
        <f t="shared" ca="1" si="235"/>
        <v>0</v>
      </c>
      <c r="EX49" s="186">
        <f t="shared" si="235"/>
        <v>0</v>
      </c>
      <c r="EY49" s="186">
        <f t="shared" ca="1" si="235"/>
        <v>0</v>
      </c>
      <c r="EZ49" s="148">
        <f t="shared" ca="1" si="236"/>
        <v>0</v>
      </c>
      <c r="FA49" s="186">
        <f t="shared" ca="1" si="237"/>
        <v>0</v>
      </c>
      <c r="FB49" s="186">
        <f t="shared" ca="1" si="237"/>
        <v>0</v>
      </c>
      <c r="FC49" s="148">
        <f t="shared" ca="1" si="238"/>
        <v>0</v>
      </c>
      <c r="FF49" s="146">
        <f t="shared" ca="1" si="180"/>
        <v>0</v>
      </c>
      <c r="FG49" s="146">
        <f t="shared" ca="1" si="181"/>
        <v>0</v>
      </c>
      <c r="FH49" s="146">
        <f t="shared" ca="1" si="182"/>
        <v>0</v>
      </c>
      <c r="FK49" s="174" t="str">
        <f t="shared" ca="1" si="183"/>
        <v>na</v>
      </c>
      <c r="FL49" s="174" t="str">
        <f t="shared" ca="1" si="183"/>
        <v>na</v>
      </c>
      <c r="FM49" s="174" t="str">
        <f t="shared" ca="1" si="184"/>
        <v>na</v>
      </c>
    </row>
    <row r="50" spans="2:169">
      <c r="B50" s="149" t="str">
        <f>BH59</f>
        <v>B</v>
      </c>
      <c r="D50" s="155" t="str">
        <f t="shared" si="185"/>
        <v>B</v>
      </c>
      <c r="E50" s="177" t="s">
        <v>27</v>
      </c>
      <c r="G50" s="155" t="s">
        <v>27</v>
      </c>
      <c r="H50" s="155" t="s">
        <v>27</v>
      </c>
      <c r="I50" s="186">
        <f t="shared" si="186"/>
        <v>0</v>
      </c>
      <c r="J50" s="186">
        <f t="shared" si="186"/>
        <v>0</v>
      </c>
      <c r="K50" s="186">
        <f t="shared" si="186"/>
        <v>0</v>
      </c>
      <c r="L50" s="148">
        <f t="shared" si="187"/>
        <v>0</v>
      </c>
      <c r="M50" s="186">
        <f t="shared" si="188"/>
        <v>0</v>
      </c>
      <c r="N50" s="148">
        <f t="shared" si="189"/>
        <v>0</v>
      </c>
      <c r="P50" s="155" t="s">
        <v>27</v>
      </c>
      <c r="Q50" s="155" t="s">
        <v>27</v>
      </c>
      <c r="R50" s="186">
        <f t="shared" si="190"/>
        <v>0</v>
      </c>
      <c r="S50" s="186">
        <f t="shared" si="190"/>
        <v>0</v>
      </c>
      <c r="T50" s="187" t="s">
        <v>27</v>
      </c>
      <c r="U50" s="187" t="s">
        <v>27</v>
      </c>
      <c r="V50" s="187" t="s">
        <v>27</v>
      </c>
      <c r="W50" s="186">
        <f t="shared" si="191"/>
        <v>0</v>
      </c>
      <c r="X50" s="186">
        <f t="shared" si="191"/>
        <v>0</v>
      </c>
      <c r="Y50" s="186">
        <f t="shared" si="191"/>
        <v>0</v>
      </c>
      <c r="Z50" s="149">
        <f t="shared" si="192"/>
        <v>0</v>
      </c>
      <c r="AA50" s="186">
        <f t="shared" si="193"/>
        <v>0</v>
      </c>
      <c r="AB50" s="186">
        <f t="shared" si="193"/>
        <v>0</v>
      </c>
      <c r="AC50" s="186">
        <f t="shared" si="193"/>
        <v>0</v>
      </c>
      <c r="AD50" s="186">
        <f t="shared" si="193"/>
        <v>0</v>
      </c>
      <c r="AE50" s="186">
        <f t="shared" si="193"/>
        <v>0</v>
      </c>
      <c r="AF50" s="148">
        <f t="shared" ca="1" si="194"/>
        <v>0</v>
      </c>
      <c r="AG50" s="186">
        <f t="shared" si="195"/>
        <v>0</v>
      </c>
      <c r="AH50" s="186">
        <f t="shared" si="195"/>
        <v>0</v>
      </c>
      <c r="AI50" s="148">
        <f t="shared" ca="1" si="196"/>
        <v>0</v>
      </c>
      <c r="AK50" s="155" t="s">
        <v>27</v>
      </c>
      <c r="AL50" s="155" t="s">
        <v>27</v>
      </c>
      <c r="AM50" s="186">
        <f t="shared" si="197"/>
        <v>0</v>
      </c>
      <c r="AN50" s="186">
        <f t="shared" si="197"/>
        <v>0</v>
      </c>
      <c r="AO50" s="187" t="s">
        <v>27</v>
      </c>
      <c r="AP50" s="187" t="s">
        <v>27</v>
      </c>
      <c r="AQ50" s="187" t="s">
        <v>27</v>
      </c>
      <c r="AR50" s="186">
        <f t="shared" si="198"/>
        <v>0</v>
      </c>
      <c r="AS50" s="186">
        <f t="shared" si="198"/>
        <v>0</v>
      </c>
      <c r="AT50" s="186">
        <f t="shared" si="198"/>
        <v>0</v>
      </c>
      <c r="AU50" s="149">
        <f t="shared" si="199"/>
        <v>0</v>
      </c>
      <c r="AV50" s="186">
        <f t="shared" si="200"/>
        <v>0</v>
      </c>
      <c r="AW50" s="186">
        <f t="shared" si="200"/>
        <v>0</v>
      </c>
      <c r="AX50" s="186">
        <f t="shared" si="200"/>
        <v>0</v>
      </c>
      <c r="AY50" s="186">
        <f t="shared" si="200"/>
        <v>0</v>
      </c>
      <c r="AZ50" s="186">
        <f t="shared" si="200"/>
        <v>0</v>
      </c>
      <c r="BA50" s="148">
        <f t="shared" ca="1" si="201"/>
        <v>0</v>
      </c>
      <c r="BB50" s="186">
        <f t="shared" si="202"/>
        <v>0</v>
      </c>
      <c r="BC50" s="186">
        <f t="shared" si="202"/>
        <v>0</v>
      </c>
      <c r="BD50" s="148">
        <f t="shared" ca="1" si="203"/>
        <v>0</v>
      </c>
      <c r="BF50" s="155" t="s">
        <v>27</v>
      </c>
      <c r="BG50" s="155" t="s">
        <v>27</v>
      </c>
      <c r="BH50" s="186">
        <f t="shared" si="204"/>
        <v>0</v>
      </c>
      <c r="BI50" s="186">
        <f t="shared" si="204"/>
        <v>0</v>
      </c>
      <c r="BJ50" s="187" t="s">
        <v>27</v>
      </c>
      <c r="BK50" s="187" t="s">
        <v>27</v>
      </c>
      <c r="BL50" s="187" t="s">
        <v>27</v>
      </c>
      <c r="BM50" s="186">
        <f t="shared" si="205"/>
        <v>0</v>
      </c>
      <c r="BN50" s="186">
        <f t="shared" si="205"/>
        <v>0</v>
      </c>
      <c r="BO50" s="186">
        <f t="shared" si="205"/>
        <v>0</v>
      </c>
      <c r="BP50" s="149">
        <f t="shared" si="206"/>
        <v>0</v>
      </c>
      <c r="BQ50" s="186">
        <f t="shared" si="207"/>
        <v>0</v>
      </c>
      <c r="BR50" s="186">
        <f t="shared" si="207"/>
        <v>0</v>
      </c>
      <c r="BS50" s="186">
        <f t="shared" si="207"/>
        <v>0</v>
      </c>
      <c r="BT50" s="186">
        <f t="shared" si="207"/>
        <v>0</v>
      </c>
      <c r="BU50" s="186">
        <f t="shared" si="207"/>
        <v>0</v>
      </c>
      <c r="BV50" s="148">
        <f t="shared" ca="1" si="208"/>
        <v>0</v>
      </c>
      <c r="BW50" s="186">
        <f t="shared" si="209"/>
        <v>0</v>
      </c>
      <c r="BX50" s="186">
        <f t="shared" si="209"/>
        <v>0</v>
      </c>
      <c r="BY50" s="148">
        <f t="shared" ca="1" si="210"/>
        <v>0</v>
      </c>
      <c r="CA50" s="155" t="s">
        <v>27</v>
      </c>
      <c r="CB50" s="155" t="s">
        <v>27</v>
      </c>
      <c r="CC50" s="186">
        <f t="shared" si="211"/>
        <v>0</v>
      </c>
      <c r="CD50" s="186">
        <f t="shared" si="211"/>
        <v>0</v>
      </c>
      <c r="CE50" s="187" t="s">
        <v>27</v>
      </c>
      <c r="CF50" s="187" t="s">
        <v>27</v>
      </c>
      <c r="CG50" s="187" t="s">
        <v>27</v>
      </c>
      <c r="CH50" s="186">
        <f t="shared" si="212"/>
        <v>0</v>
      </c>
      <c r="CI50" s="186">
        <f t="shared" si="212"/>
        <v>0</v>
      </c>
      <c r="CJ50" s="186">
        <f t="shared" si="212"/>
        <v>0</v>
      </c>
      <c r="CK50" s="149">
        <f t="shared" si="213"/>
        <v>0</v>
      </c>
      <c r="CL50" s="186">
        <f t="shared" si="214"/>
        <v>0</v>
      </c>
      <c r="CM50" s="186">
        <f t="shared" si="214"/>
        <v>0</v>
      </c>
      <c r="CN50" s="186">
        <f t="shared" si="214"/>
        <v>0</v>
      </c>
      <c r="CO50" s="186">
        <f t="shared" si="214"/>
        <v>0</v>
      </c>
      <c r="CP50" s="186">
        <f t="shared" si="214"/>
        <v>0</v>
      </c>
      <c r="CQ50" s="148">
        <f t="shared" ca="1" si="215"/>
        <v>0</v>
      </c>
      <c r="CR50" s="186">
        <f t="shared" si="216"/>
        <v>0</v>
      </c>
      <c r="CS50" s="186">
        <f t="shared" si="216"/>
        <v>0</v>
      </c>
      <c r="CT50" s="148">
        <f t="shared" ca="1" si="217"/>
        <v>0</v>
      </c>
      <c r="CV50" s="155" t="s">
        <v>27</v>
      </c>
      <c r="CW50" s="155" t="s">
        <v>27</v>
      </c>
      <c r="CX50" s="186">
        <f t="shared" si="218"/>
        <v>0</v>
      </c>
      <c r="CY50" s="186">
        <f t="shared" si="218"/>
        <v>0</v>
      </c>
      <c r="CZ50" s="187" t="s">
        <v>27</v>
      </c>
      <c r="DA50" s="187" t="s">
        <v>27</v>
      </c>
      <c r="DB50" s="187" t="s">
        <v>27</v>
      </c>
      <c r="DC50" s="186">
        <f t="shared" si="219"/>
        <v>0</v>
      </c>
      <c r="DD50" s="186">
        <f t="shared" si="219"/>
        <v>0</v>
      </c>
      <c r="DE50" s="186">
        <f t="shared" si="219"/>
        <v>0</v>
      </c>
      <c r="DF50" s="149">
        <f t="shared" si="220"/>
        <v>0</v>
      </c>
      <c r="DG50" s="186">
        <f t="shared" si="221"/>
        <v>0</v>
      </c>
      <c r="DH50" s="186">
        <f t="shared" si="221"/>
        <v>0</v>
      </c>
      <c r="DI50" s="186">
        <f t="shared" si="221"/>
        <v>0</v>
      </c>
      <c r="DJ50" s="186">
        <f t="shared" si="221"/>
        <v>0</v>
      </c>
      <c r="DK50" s="186">
        <f t="shared" si="221"/>
        <v>0</v>
      </c>
      <c r="DL50" s="148">
        <f t="shared" ca="1" si="222"/>
        <v>0</v>
      </c>
      <c r="DM50" s="186">
        <f t="shared" si="223"/>
        <v>0</v>
      </c>
      <c r="DN50" s="186">
        <f t="shared" si="223"/>
        <v>0</v>
      </c>
      <c r="DO50" s="148">
        <f t="shared" ca="1" si="224"/>
        <v>0</v>
      </c>
      <c r="DQ50" s="155" t="s">
        <v>27</v>
      </c>
      <c r="DR50" s="155" t="s">
        <v>27</v>
      </c>
      <c r="DS50" s="186">
        <f t="shared" si="225"/>
        <v>0</v>
      </c>
      <c r="DT50" s="186">
        <f t="shared" si="225"/>
        <v>0</v>
      </c>
      <c r="DU50" s="187" t="s">
        <v>27</v>
      </c>
      <c r="DV50" s="187" t="s">
        <v>27</v>
      </c>
      <c r="DW50" s="187" t="s">
        <v>27</v>
      </c>
      <c r="DX50" s="186">
        <f t="shared" si="226"/>
        <v>0</v>
      </c>
      <c r="DY50" s="186">
        <f t="shared" si="226"/>
        <v>0</v>
      </c>
      <c r="DZ50" s="186">
        <f t="shared" si="226"/>
        <v>0</v>
      </c>
      <c r="EA50" s="149">
        <f t="shared" si="227"/>
        <v>0</v>
      </c>
      <c r="EB50" s="186">
        <f t="shared" si="228"/>
        <v>0</v>
      </c>
      <c r="EC50" s="186">
        <f t="shared" si="228"/>
        <v>0</v>
      </c>
      <c r="ED50" s="186">
        <f t="shared" si="228"/>
        <v>0</v>
      </c>
      <c r="EE50" s="186">
        <f t="shared" si="228"/>
        <v>0</v>
      </c>
      <c r="EF50" s="186">
        <f t="shared" si="228"/>
        <v>0</v>
      </c>
      <c r="EG50" s="148">
        <f t="shared" ca="1" si="229"/>
        <v>0</v>
      </c>
      <c r="EH50" s="186">
        <f t="shared" si="230"/>
        <v>0</v>
      </c>
      <c r="EI50" s="186">
        <f t="shared" si="230"/>
        <v>0</v>
      </c>
      <c r="EJ50" s="148">
        <f t="shared" ca="1" si="231"/>
        <v>0</v>
      </c>
      <c r="EL50" s="186">
        <f t="shared" si="232"/>
        <v>0</v>
      </c>
      <c r="EM50" s="186">
        <f t="shared" si="232"/>
        <v>0</v>
      </c>
      <c r="EN50" s="174" t="s">
        <v>27</v>
      </c>
      <c r="EO50" s="174" t="s">
        <v>27</v>
      </c>
      <c r="EP50" s="174" t="s">
        <v>27</v>
      </c>
      <c r="EQ50" s="186">
        <f t="shared" si="233"/>
        <v>0</v>
      </c>
      <c r="ER50" s="186">
        <f t="shared" si="233"/>
        <v>0</v>
      </c>
      <c r="ES50" s="186">
        <f t="shared" si="233"/>
        <v>0</v>
      </c>
      <c r="ET50" s="149">
        <f t="shared" si="234"/>
        <v>0</v>
      </c>
      <c r="EU50" s="186">
        <f t="shared" si="235"/>
        <v>0</v>
      </c>
      <c r="EV50" s="186">
        <f t="shared" si="235"/>
        <v>0</v>
      </c>
      <c r="EW50" s="186">
        <f t="shared" si="235"/>
        <v>0</v>
      </c>
      <c r="EX50" s="186">
        <f t="shared" si="235"/>
        <v>0</v>
      </c>
      <c r="EY50" s="186">
        <f t="shared" si="235"/>
        <v>0</v>
      </c>
      <c r="EZ50" s="148">
        <f t="shared" ca="1" si="236"/>
        <v>0</v>
      </c>
      <c r="FA50" s="186">
        <f t="shared" si="237"/>
        <v>0</v>
      </c>
      <c r="FB50" s="186">
        <f t="shared" si="237"/>
        <v>0</v>
      </c>
      <c r="FC50" s="148">
        <f t="shared" ca="1" si="238"/>
        <v>0</v>
      </c>
      <c r="FF50" s="146">
        <f t="shared" ca="1" si="180"/>
        <v>0</v>
      </c>
      <c r="FG50" s="146">
        <f t="shared" ca="1" si="181"/>
        <v>0</v>
      </c>
      <c r="FH50" s="146">
        <f t="shared" ca="1" si="182"/>
        <v>0</v>
      </c>
      <c r="FK50" s="174" t="str">
        <f t="shared" ca="1" si="183"/>
        <v>na</v>
      </c>
      <c r="FL50" s="174" t="str">
        <f t="shared" ca="1" si="183"/>
        <v>na</v>
      </c>
      <c r="FM50" s="174" t="str">
        <f t="shared" ca="1" si="184"/>
        <v>na</v>
      </c>
    </row>
    <row r="51" spans="2:169">
      <c r="B51" s="149" t="str">
        <f>CC59</f>
        <v>C</v>
      </c>
      <c r="D51" s="155" t="str">
        <f t="shared" si="185"/>
        <v>C</v>
      </c>
      <c r="E51" s="177" t="s">
        <v>27</v>
      </c>
      <c r="G51" s="155" t="s">
        <v>27</v>
      </c>
      <c r="H51" s="155" t="s">
        <v>27</v>
      </c>
      <c r="I51" s="186">
        <f t="shared" si="186"/>
        <v>0</v>
      </c>
      <c r="J51" s="186">
        <f t="shared" si="186"/>
        <v>0</v>
      </c>
      <c r="K51" s="186">
        <f t="shared" si="186"/>
        <v>0</v>
      </c>
      <c r="L51" s="148">
        <f t="shared" si="187"/>
        <v>0</v>
      </c>
      <c r="M51" s="186">
        <f t="shared" si="188"/>
        <v>0</v>
      </c>
      <c r="N51" s="148">
        <f t="shared" si="189"/>
        <v>0</v>
      </c>
      <c r="P51" s="155" t="s">
        <v>27</v>
      </c>
      <c r="Q51" s="155" t="s">
        <v>27</v>
      </c>
      <c r="R51" s="186">
        <f t="shared" si="190"/>
        <v>0</v>
      </c>
      <c r="S51" s="186">
        <f t="shared" si="190"/>
        <v>0</v>
      </c>
      <c r="T51" s="187" t="s">
        <v>27</v>
      </c>
      <c r="U51" s="187" t="s">
        <v>27</v>
      </c>
      <c r="V51" s="187" t="s">
        <v>27</v>
      </c>
      <c r="W51" s="186">
        <f t="shared" si="191"/>
        <v>0</v>
      </c>
      <c r="X51" s="186">
        <f t="shared" si="191"/>
        <v>0</v>
      </c>
      <c r="Y51" s="186">
        <f t="shared" si="191"/>
        <v>0</v>
      </c>
      <c r="Z51" s="149">
        <f t="shared" si="192"/>
        <v>0</v>
      </c>
      <c r="AA51" s="186">
        <f t="shared" si="193"/>
        <v>0</v>
      </c>
      <c r="AB51" s="186">
        <f t="shared" si="193"/>
        <v>0</v>
      </c>
      <c r="AC51" s="186">
        <f t="shared" si="193"/>
        <v>0</v>
      </c>
      <c r="AD51" s="186">
        <f t="shared" si="193"/>
        <v>0</v>
      </c>
      <c r="AE51" s="186">
        <f t="shared" si="193"/>
        <v>0</v>
      </c>
      <c r="AF51" s="148">
        <f t="shared" ca="1" si="194"/>
        <v>0</v>
      </c>
      <c r="AG51" s="186">
        <f t="shared" si="195"/>
        <v>0</v>
      </c>
      <c r="AH51" s="186">
        <f t="shared" si="195"/>
        <v>0</v>
      </c>
      <c r="AI51" s="148">
        <f t="shared" ca="1" si="196"/>
        <v>0</v>
      </c>
      <c r="AK51" s="155" t="s">
        <v>27</v>
      </c>
      <c r="AL51" s="155" t="s">
        <v>27</v>
      </c>
      <c r="AM51" s="186">
        <f t="shared" si="197"/>
        <v>0</v>
      </c>
      <c r="AN51" s="186">
        <f t="shared" si="197"/>
        <v>0</v>
      </c>
      <c r="AO51" s="187" t="s">
        <v>27</v>
      </c>
      <c r="AP51" s="187" t="s">
        <v>27</v>
      </c>
      <c r="AQ51" s="187" t="s">
        <v>27</v>
      </c>
      <c r="AR51" s="186">
        <f t="shared" si="198"/>
        <v>0</v>
      </c>
      <c r="AS51" s="186">
        <f t="shared" si="198"/>
        <v>0</v>
      </c>
      <c r="AT51" s="186">
        <f t="shared" si="198"/>
        <v>0</v>
      </c>
      <c r="AU51" s="149">
        <f t="shared" si="199"/>
        <v>0</v>
      </c>
      <c r="AV51" s="186">
        <f t="shared" si="200"/>
        <v>0</v>
      </c>
      <c r="AW51" s="186">
        <f t="shared" si="200"/>
        <v>0</v>
      </c>
      <c r="AX51" s="186">
        <f t="shared" si="200"/>
        <v>0</v>
      </c>
      <c r="AY51" s="186">
        <f t="shared" si="200"/>
        <v>0</v>
      </c>
      <c r="AZ51" s="186">
        <f t="shared" si="200"/>
        <v>0</v>
      </c>
      <c r="BA51" s="148">
        <f t="shared" ca="1" si="201"/>
        <v>0</v>
      </c>
      <c r="BB51" s="186">
        <f t="shared" si="202"/>
        <v>0</v>
      </c>
      <c r="BC51" s="186">
        <f t="shared" si="202"/>
        <v>0</v>
      </c>
      <c r="BD51" s="148">
        <f t="shared" ca="1" si="203"/>
        <v>0</v>
      </c>
      <c r="BF51" s="155" t="s">
        <v>27</v>
      </c>
      <c r="BG51" s="155" t="s">
        <v>27</v>
      </c>
      <c r="BH51" s="186">
        <f t="shared" si="204"/>
        <v>0</v>
      </c>
      <c r="BI51" s="186">
        <f t="shared" si="204"/>
        <v>0</v>
      </c>
      <c r="BJ51" s="187" t="s">
        <v>27</v>
      </c>
      <c r="BK51" s="187" t="s">
        <v>27</v>
      </c>
      <c r="BL51" s="187" t="s">
        <v>27</v>
      </c>
      <c r="BM51" s="186">
        <f t="shared" si="205"/>
        <v>0</v>
      </c>
      <c r="BN51" s="186">
        <f t="shared" si="205"/>
        <v>0</v>
      </c>
      <c r="BO51" s="186">
        <f t="shared" si="205"/>
        <v>0</v>
      </c>
      <c r="BP51" s="149">
        <f t="shared" si="206"/>
        <v>0</v>
      </c>
      <c r="BQ51" s="186">
        <f t="shared" si="207"/>
        <v>0</v>
      </c>
      <c r="BR51" s="186">
        <f t="shared" si="207"/>
        <v>0</v>
      </c>
      <c r="BS51" s="186">
        <f t="shared" si="207"/>
        <v>0</v>
      </c>
      <c r="BT51" s="186">
        <f t="shared" si="207"/>
        <v>0</v>
      </c>
      <c r="BU51" s="186">
        <f t="shared" si="207"/>
        <v>0</v>
      </c>
      <c r="BV51" s="148">
        <f t="shared" ca="1" si="208"/>
        <v>0</v>
      </c>
      <c r="BW51" s="186">
        <f t="shared" si="209"/>
        <v>0</v>
      </c>
      <c r="BX51" s="186">
        <f t="shared" si="209"/>
        <v>0</v>
      </c>
      <c r="BY51" s="148">
        <f t="shared" ca="1" si="210"/>
        <v>0</v>
      </c>
      <c r="CA51" s="155" t="s">
        <v>27</v>
      </c>
      <c r="CB51" s="155" t="s">
        <v>27</v>
      </c>
      <c r="CC51" s="186">
        <f t="shared" si="211"/>
        <v>0</v>
      </c>
      <c r="CD51" s="186">
        <f t="shared" si="211"/>
        <v>0</v>
      </c>
      <c r="CE51" s="187" t="s">
        <v>27</v>
      </c>
      <c r="CF51" s="187" t="s">
        <v>27</v>
      </c>
      <c r="CG51" s="187" t="s">
        <v>27</v>
      </c>
      <c r="CH51" s="186">
        <f t="shared" si="212"/>
        <v>0</v>
      </c>
      <c r="CI51" s="186">
        <f t="shared" si="212"/>
        <v>0</v>
      </c>
      <c r="CJ51" s="186">
        <f t="shared" si="212"/>
        <v>0</v>
      </c>
      <c r="CK51" s="149">
        <f t="shared" si="213"/>
        <v>0</v>
      </c>
      <c r="CL51" s="186">
        <f t="shared" si="214"/>
        <v>0</v>
      </c>
      <c r="CM51" s="186">
        <f t="shared" si="214"/>
        <v>0</v>
      </c>
      <c r="CN51" s="186">
        <f t="shared" si="214"/>
        <v>0</v>
      </c>
      <c r="CO51" s="186">
        <f t="shared" si="214"/>
        <v>0</v>
      </c>
      <c r="CP51" s="186">
        <f t="shared" si="214"/>
        <v>0</v>
      </c>
      <c r="CQ51" s="148">
        <f t="shared" ca="1" si="215"/>
        <v>0</v>
      </c>
      <c r="CR51" s="186">
        <f t="shared" si="216"/>
        <v>0</v>
      </c>
      <c r="CS51" s="186">
        <f t="shared" si="216"/>
        <v>0</v>
      </c>
      <c r="CT51" s="148">
        <f t="shared" ca="1" si="217"/>
        <v>0</v>
      </c>
      <c r="CV51" s="155" t="s">
        <v>27</v>
      </c>
      <c r="CW51" s="155" t="s">
        <v>27</v>
      </c>
      <c r="CX51" s="186">
        <f t="shared" si="218"/>
        <v>0</v>
      </c>
      <c r="CY51" s="186">
        <f t="shared" si="218"/>
        <v>0</v>
      </c>
      <c r="CZ51" s="187" t="s">
        <v>27</v>
      </c>
      <c r="DA51" s="187" t="s">
        <v>27</v>
      </c>
      <c r="DB51" s="187" t="s">
        <v>27</v>
      </c>
      <c r="DC51" s="186">
        <f t="shared" si="219"/>
        <v>0</v>
      </c>
      <c r="DD51" s="186">
        <f t="shared" si="219"/>
        <v>0</v>
      </c>
      <c r="DE51" s="186">
        <f t="shared" si="219"/>
        <v>0</v>
      </c>
      <c r="DF51" s="149">
        <f t="shared" si="220"/>
        <v>0</v>
      </c>
      <c r="DG51" s="186">
        <f t="shared" si="221"/>
        <v>0</v>
      </c>
      <c r="DH51" s="186">
        <f t="shared" si="221"/>
        <v>0</v>
      </c>
      <c r="DI51" s="186">
        <f t="shared" si="221"/>
        <v>0</v>
      </c>
      <c r="DJ51" s="186">
        <f t="shared" si="221"/>
        <v>0</v>
      </c>
      <c r="DK51" s="186">
        <f t="shared" si="221"/>
        <v>0</v>
      </c>
      <c r="DL51" s="148">
        <f t="shared" ca="1" si="222"/>
        <v>0</v>
      </c>
      <c r="DM51" s="186">
        <f t="shared" si="223"/>
        <v>0</v>
      </c>
      <c r="DN51" s="186">
        <f t="shared" si="223"/>
        <v>0</v>
      </c>
      <c r="DO51" s="148">
        <f t="shared" ca="1" si="224"/>
        <v>0</v>
      </c>
      <c r="DQ51" s="155" t="s">
        <v>27</v>
      </c>
      <c r="DR51" s="155" t="s">
        <v>27</v>
      </c>
      <c r="DS51" s="186">
        <f t="shared" si="225"/>
        <v>0</v>
      </c>
      <c r="DT51" s="186">
        <f t="shared" si="225"/>
        <v>0</v>
      </c>
      <c r="DU51" s="187" t="s">
        <v>27</v>
      </c>
      <c r="DV51" s="187" t="s">
        <v>27</v>
      </c>
      <c r="DW51" s="187" t="s">
        <v>27</v>
      </c>
      <c r="DX51" s="186">
        <f t="shared" si="226"/>
        <v>0</v>
      </c>
      <c r="DY51" s="186">
        <f t="shared" si="226"/>
        <v>0</v>
      </c>
      <c r="DZ51" s="186">
        <f t="shared" si="226"/>
        <v>0</v>
      </c>
      <c r="EA51" s="149">
        <f t="shared" si="227"/>
        <v>0</v>
      </c>
      <c r="EB51" s="186">
        <f t="shared" si="228"/>
        <v>0</v>
      </c>
      <c r="EC51" s="186">
        <f t="shared" si="228"/>
        <v>0</v>
      </c>
      <c r="ED51" s="186">
        <f t="shared" si="228"/>
        <v>0</v>
      </c>
      <c r="EE51" s="186">
        <f t="shared" si="228"/>
        <v>0</v>
      </c>
      <c r="EF51" s="186">
        <f t="shared" si="228"/>
        <v>0</v>
      </c>
      <c r="EG51" s="148">
        <f t="shared" ca="1" si="229"/>
        <v>0</v>
      </c>
      <c r="EH51" s="186">
        <f t="shared" si="230"/>
        <v>0</v>
      </c>
      <c r="EI51" s="186">
        <f t="shared" si="230"/>
        <v>0</v>
      </c>
      <c r="EJ51" s="148">
        <f t="shared" ca="1" si="231"/>
        <v>0</v>
      </c>
      <c r="EL51" s="186">
        <f t="shared" si="232"/>
        <v>0</v>
      </c>
      <c r="EM51" s="186">
        <f t="shared" si="232"/>
        <v>0</v>
      </c>
      <c r="EN51" s="174" t="s">
        <v>27</v>
      </c>
      <c r="EO51" s="174" t="s">
        <v>27</v>
      </c>
      <c r="EP51" s="174" t="s">
        <v>27</v>
      </c>
      <c r="EQ51" s="186">
        <f t="shared" si="233"/>
        <v>0</v>
      </c>
      <c r="ER51" s="186">
        <f t="shared" si="233"/>
        <v>0</v>
      </c>
      <c r="ES51" s="186">
        <f t="shared" si="233"/>
        <v>0</v>
      </c>
      <c r="ET51" s="149">
        <f t="shared" si="234"/>
        <v>0</v>
      </c>
      <c r="EU51" s="186">
        <f t="shared" si="235"/>
        <v>0</v>
      </c>
      <c r="EV51" s="186">
        <f t="shared" si="235"/>
        <v>0</v>
      </c>
      <c r="EW51" s="186">
        <f t="shared" si="235"/>
        <v>0</v>
      </c>
      <c r="EX51" s="186">
        <f t="shared" si="235"/>
        <v>0</v>
      </c>
      <c r="EY51" s="186">
        <f t="shared" si="235"/>
        <v>0</v>
      </c>
      <c r="EZ51" s="148">
        <f t="shared" ca="1" si="236"/>
        <v>0</v>
      </c>
      <c r="FA51" s="186">
        <f t="shared" si="237"/>
        <v>0</v>
      </c>
      <c r="FB51" s="186">
        <f t="shared" si="237"/>
        <v>0</v>
      </c>
      <c r="FC51" s="148">
        <f t="shared" ca="1" si="238"/>
        <v>0</v>
      </c>
      <c r="FF51" s="146">
        <f t="shared" ca="1" si="180"/>
        <v>0</v>
      </c>
      <c r="FG51" s="146">
        <f t="shared" ca="1" si="181"/>
        <v>0</v>
      </c>
      <c r="FH51" s="146">
        <f t="shared" ca="1" si="182"/>
        <v>0</v>
      </c>
      <c r="FK51" s="174" t="str">
        <f t="shared" ca="1" si="183"/>
        <v>na</v>
      </c>
      <c r="FL51" s="174" t="str">
        <f t="shared" ca="1" si="183"/>
        <v>na</v>
      </c>
      <c r="FM51" s="174" t="str">
        <f t="shared" ca="1" si="184"/>
        <v>na</v>
      </c>
    </row>
    <row r="52" spans="2:169">
      <c r="B52" s="149" t="str">
        <f>CX59</f>
        <v>D</v>
      </c>
      <c r="D52" s="155" t="str">
        <f t="shared" si="185"/>
        <v>D</v>
      </c>
      <c r="E52" s="177" t="s">
        <v>27</v>
      </c>
      <c r="G52" s="155" t="s">
        <v>27</v>
      </c>
      <c r="H52" s="155" t="s">
        <v>27</v>
      </c>
      <c r="I52" s="186">
        <f t="shared" si="186"/>
        <v>0</v>
      </c>
      <c r="J52" s="186">
        <f t="shared" si="186"/>
        <v>0</v>
      </c>
      <c r="K52" s="186">
        <f t="shared" si="186"/>
        <v>0</v>
      </c>
      <c r="L52" s="148">
        <f t="shared" si="187"/>
        <v>0</v>
      </c>
      <c r="M52" s="186">
        <f t="shared" si="188"/>
        <v>0</v>
      </c>
      <c r="N52" s="148">
        <f t="shared" si="189"/>
        <v>0</v>
      </c>
      <c r="P52" s="155" t="s">
        <v>27</v>
      </c>
      <c r="Q52" s="155" t="s">
        <v>27</v>
      </c>
      <c r="R52" s="186">
        <f t="shared" si="190"/>
        <v>0</v>
      </c>
      <c r="S52" s="186">
        <f t="shared" si="190"/>
        <v>0</v>
      </c>
      <c r="T52" s="187" t="s">
        <v>27</v>
      </c>
      <c r="U52" s="187" t="s">
        <v>27</v>
      </c>
      <c r="V52" s="187" t="s">
        <v>27</v>
      </c>
      <c r="W52" s="186">
        <f t="shared" si="191"/>
        <v>0</v>
      </c>
      <c r="X52" s="186">
        <f t="shared" si="191"/>
        <v>0</v>
      </c>
      <c r="Y52" s="186">
        <f t="shared" si="191"/>
        <v>0</v>
      </c>
      <c r="Z52" s="149">
        <f t="shared" si="192"/>
        <v>0</v>
      </c>
      <c r="AA52" s="186">
        <f t="shared" si="193"/>
        <v>0</v>
      </c>
      <c r="AB52" s="186">
        <f t="shared" si="193"/>
        <v>0</v>
      </c>
      <c r="AC52" s="186">
        <f t="shared" si="193"/>
        <v>0</v>
      </c>
      <c r="AD52" s="186">
        <f t="shared" si="193"/>
        <v>0</v>
      </c>
      <c r="AE52" s="186">
        <f t="shared" si="193"/>
        <v>0</v>
      </c>
      <c r="AF52" s="148">
        <f t="shared" ca="1" si="194"/>
        <v>0</v>
      </c>
      <c r="AG52" s="186">
        <f t="shared" si="195"/>
        <v>0</v>
      </c>
      <c r="AH52" s="186">
        <f t="shared" si="195"/>
        <v>0</v>
      </c>
      <c r="AI52" s="148">
        <f t="shared" ca="1" si="196"/>
        <v>0</v>
      </c>
      <c r="AK52" s="155" t="s">
        <v>27</v>
      </c>
      <c r="AL52" s="155" t="s">
        <v>27</v>
      </c>
      <c r="AM52" s="186">
        <f t="shared" si="197"/>
        <v>0</v>
      </c>
      <c r="AN52" s="186">
        <f t="shared" si="197"/>
        <v>0</v>
      </c>
      <c r="AO52" s="187" t="s">
        <v>27</v>
      </c>
      <c r="AP52" s="187" t="s">
        <v>27</v>
      </c>
      <c r="AQ52" s="187" t="s">
        <v>27</v>
      </c>
      <c r="AR52" s="186">
        <f t="shared" si="198"/>
        <v>0</v>
      </c>
      <c r="AS52" s="186">
        <f t="shared" si="198"/>
        <v>0</v>
      </c>
      <c r="AT52" s="186">
        <f t="shared" si="198"/>
        <v>0</v>
      </c>
      <c r="AU52" s="149">
        <f t="shared" si="199"/>
        <v>0</v>
      </c>
      <c r="AV52" s="186">
        <f t="shared" si="200"/>
        <v>0</v>
      </c>
      <c r="AW52" s="186">
        <f t="shared" si="200"/>
        <v>0</v>
      </c>
      <c r="AX52" s="186">
        <f t="shared" si="200"/>
        <v>0</v>
      </c>
      <c r="AY52" s="186">
        <f t="shared" si="200"/>
        <v>0</v>
      </c>
      <c r="AZ52" s="186">
        <f t="shared" si="200"/>
        <v>0</v>
      </c>
      <c r="BA52" s="148">
        <f t="shared" ca="1" si="201"/>
        <v>0</v>
      </c>
      <c r="BB52" s="186">
        <f t="shared" si="202"/>
        <v>0</v>
      </c>
      <c r="BC52" s="186">
        <f t="shared" si="202"/>
        <v>0</v>
      </c>
      <c r="BD52" s="148">
        <f t="shared" ca="1" si="203"/>
        <v>0</v>
      </c>
      <c r="BF52" s="155" t="s">
        <v>27</v>
      </c>
      <c r="BG52" s="155" t="s">
        <v>27</v>
      </c>
      <c r="BH52" s="186">
        <f t="shared" si="204"/>
        <v>0</v>
      </c>
      <c r="BI52" s="186">
        <f t="shared" si="204"/>
        <v>0</v>
      </c>
      <c r="BJ52" s="187" t="s">
        <v>27</v>
      </c>
      <c r="BK52" s="187" t="s">
        <v>27</v>
      </c>
      <c r="BL52" s="187" t="s">
        <v>27</v>
      </c>
      <c r="BM52" s="186">
        <f t="shared" si="205"/>
        <v>0</v>
      </c>
      <c r="BN52" s="186">
        <f t="shared" si="205"/>
        <v>0</v>
      </c>
      <c r="BO52" s="186">
        <f t="shared" si="205"/>
        <v>0</v>
      </c>
      <c r="BP52" s="149">
        <f t="shared" si="206"/>
        <v>0</v>
      </c>
      <c r="BQ52" s="186">
        <f t="shared" si="207"/>
        <v>0</v>
      </c>
      <c r="BR52" s="186">
        <f t="shared" si="207"/>
        <v>0</v>
      </c>
      <c r="BS52" s="186">
        <f t="shared" si="207"/>
        <v>0</v>
      </c>
      <c r="BT52" s="186">
        <f t="shared" si="207"/>
        <v>0</v>
      </c>
      <c r="BU52" s="186">
        <f t="shared" si="207"/>
        <v>0</v>
      </c>
      <c r="BV52" s="148">
        <f t="shared" ca="1" si="208"/>
        <v>0</v>
      </c>
      <c r="BW52" s="186">
        <f t="shared" si="209"/>
        <v>0</v>
      </c>
      <c r="BX52" s="186">
        <f t="shared" si="209"/>
        <v>0</v>
      </c>
      <c r="BY52" s="148">
        <f t="shared" ca="1" si="210"/>
        <v>0</v>
      </c>
      <c r="CA52" s="155" t="s">
        <v>27</v>
      </c>
      <c r="CB52" s="155" t="s">
        <v>27</v>
      </c>
      <c r="CC52" s="186">
        <f t="shared" si="211"/>
        <v>0</v>
      </c>
      <c r="CD52" s="186">
        <f t="shared" si="211"/>
        <v>0</v>
      </c>
      <c r="CE52" s="187" t="s">
        <v>27</v>
      </c>
      <c r="CF52" s="187" t="s">
        <v>27</v>
      </c>
      <c r="CG52" s="187" t="s">
        <v>27</v>
      </c>
      <c r="CH52" s="186">
        <f t="shared" si="212"/>
        <v>0</v>
      </c>
      <c r="CI52" s="186">
        <f t="shared" si="212"/>
        <v>0</v>
      </c>
      <c r="CJ52" s="186">
        <f t="shared" si="212"/>
        <v>0</v>
      </c>
      <c r="CK52" s="149">
        <f t="shared" si="213"/>
        <v>0</v>
      </c>
      <c r="CL52" s="186">
        <f t="shared" si="214"/>
        <v>0</v>
      </c>
      <c r="CM52" s="186">
        <f t="shared" si="214"/>
        <v>0</v>
      </c>
      <c r="CN52" s="186">
        <f t="shared" si="214"/>
        <v>0</v>
      </c>
      <c r="CO52" s="186">
        <f t="shared" si="214"/>
        <v>0</v>
      </c>
      <c r="CP52" s="186">
        <f t="shared" si="214"/>
        <v>0</v>
      </c>
      <c r="CQ52" s="148">
        <f t="shared" ca="1" si="215"/>
        <v>0</v>
      </c>
      <c r="CR52" s="186">
        <f t="shared" si="216"/>
        <v>0</v>
      </c>
      <c r="CS52" s="186">
        <f t="shared" si="216"/>
        <v>0</v>
      </c>
      <c r="CT52" s="148">
        <f t="shared" ca="1" si="217"/>
        <v>0</v>
      </c>
      <c r="CV52" s="155" t="s">
        <v>27</v>
      </c>
      <c r="CW52" s="155" t="s">
        <v>27</v>
      </c>
      <c r="CX52" s="186">
        <f t="shared" si="218"/>
        <v>0</v>
      </c>
      <c r="CY52" s="186">
        <f t="shared" si="218"/>
        <v>0</v>
      </c>
      <c r="CZ52" s="187" t="s">
        <v>27</v>
      </c>
      <c r="DA52" s="187" t="s">
        <v>27</v>
      </c>
      <c r="DB52" s="187" t="s">
        <v>27</v>
      </c>
      <c r="DC52" s="186">
        <f t="shared" si="219"/>
        <v>0</v>
      </c>
      <c r="DD52" s="186">
        <f t="shared" si="219"/>
        <v>0</v>
      </c>
      <c r="DE52" s="186">
        <f t="shared" si="219"/>
        <v>0</v>
      </c>
      <c r="DF52" s="149">
        <f t="shared" si="220"/>
        <v>0</v>
      </c>
      <c r="DG52" s="186">
        <f t="shared" si="221"/>
        <v>0</v>
      </c>
      <c r="DH52" s="186">
        <f t="shared" si="221"/>
        <v>0</v>
      </c>
      <c r="DI52" s="186">
        <f t="shared" si="221"/>
        <v>0</v>
      </c>
      <c r="DJ52" s="186">
        <f t="shared" si="221"/>
        <v>0</v>
      </c>
      <c r="DK52" s="186">
        <f t="shared" si="221"/>
        <v>0</v>
      </c>
      <c r="DL52" s="148">
        <f t="shared" ca="1" si="222"/>
        <v>0</v>
      </c>
      <c r="DM52" s="186">
        <f t="shared" si="223"/>
        <v>0</v>
      </c>
      <c r="DN52" s="186">
        <f t="shared" si="223"/>
        <v>0</v>
      </c>
      <c r="DO52" s="148">
        <f t="shared" ca="1" si="224"/>
        <v>0</v>
      </c>
      <c r="DQ52" s="155" t="s">
        <v>27</v>
      </c>
      <c r="DR52" s="155" t="s">
        <v>27</v>
      </c>
      <c r="DS52" s="186">
        <f t="shared" si="225"/>
        <v>0</v>
      </c>
      <c r="DT52" s="186">
        <f t="shared" si="225"/>
        <v>0</v>
      </c>
      <c r="DU52" s="187" t="s">
        <v>27</v>
      </c>
      <c r="DV52" s="187" t="s">
        <v>27</v>
      </c>
      <c r="DW52" s="187" t="s">
        <v>27</v>
      </c>
      <c r="DX52" s="186">
        <f t="shared" si="226"/>
        <v>0</v>
      </c>
      <c r="DY52" s="186">
        <f t="shared" si="226"/>
        <v>0</v>
      </c>
      <c r="DZ52" s="186">
        <f t="shared" si="226"/>
        <v>0</v>
      </c>
      <c r="EA52" s="149">
        <f t="shared" si="227"/>
        <v>0</v>
      </c>
      <c r="EB52" s="186">
        <f t="shared" si="228"/>
        <v>0</v>
      </c>
      <c r="EC52" s="186">
        <f t="shared" si="228"/>
        <v>0</v>
      </c>
      <c r="ED52" s="186">
        <f t="shared" si="228"/>
        <v>0</v>
      </c>
      <c r="EE52" s="186">
        <f t="shared" si="228"/>
        <v>0</v>
      </c>
      <c r="EF52" s="186">
        <f t="shared" si="228"/>
        <v>0</v>
      </c>
      <c r="EG52" s="148">
        <f t="shared" ca="1" si="229"/>
        <v>0</v>
      </c>
      <c r="EH52" s="186">
        <f t="shared" si="230"/>
        <v>0</v>
      </c>
      <c r="EI52" s="186">
        <f t="shared" si="230"/>
        <v>0</v>
      </c>
      <c r="EJ52" s="148">
        <f t="shared" ca="1" si="231"/>
        <v>0</v>
      </c>
      <c r="EL52" s="186">
        <f t="shared" si="232"/>
        <v>0</v>
      </c>
      <c r="EM52" s="186">
        <f t="shared" si="232"/>
        <v>0</v>
      </c>
      <c r="EN52" s="174" t="s">
        <v>27</v>
      </c>
      <c r="EO52" s="174" t="s">
        <v>27</v>
      </c>
      <c r="EP52" s="174" t="s">
        <v>27</v>
      </c>
      <c r="EQ52" s="186">
        <f t="shared" si="233"/>
        <v>0</v>
      </c>
      <c r="ER52" s="186">
        <f t="shared" si="233"/>
        <v>0</v>
      </c>
      <c r="ES52" s="186">
        <f t="shared" si="233"/>
        <v>0</v>
      </c>
      <c r="ET52" s="149">
        <f t="shared" si="234"/>
        <v>0</v>
      </c>
      <c r="EU52" s="186">
        <f t="shared" si="235"/>
        <v>0</v>
      </c>
      <c r="EV52" s="186">
        <f t="shared" si="235"/>
        <v>0</v>
      </c>
      <c r="EW52" s="186">
        <f t="shared" si="235"/>
        <v>0</v>
      </c>
      <c r="EX52" s="186">
        <f t="shared" si="235"/>
        <v>0</v>
      </c>
      <c r="EY52" s="186">
        <f t="shared" si="235"/>
        <v>0</v>
      </c>
      <c r="EZ52" s="148">
        <f t="shared" ca="1" si="236"/>
        <v>0</v>
      </c>
      <c r="FA52" s="186">
        <f t="shared" si="237"/>
        <v>0</v>
      </c>
      <c r="FB52" s="186">
        <f t="shared" si="237"/>
        <v>0</v>
      </c>
      <c r="FC52" s="148">
        <f t="shared" ca="1" si="238"/>
        <v>0</v>
      </c>
      <c r="FF52" s="146">
        <f t="shared" ca="1" si="180"/>
        <v>0</v>
      </c>
      <c r="FG52" s="146">
        <f t="shared" ca="1" si="181"/>
        <v>0</v>
      </c>
      <c r="FH52" s="146">
        <f t="shared" ca="1" si="182"/>
        <v>0</v>
      </c>
      <c r="FK52" s="174" t="str">
        <f t="shared" ca="1" si="183"/>
        <v>na</v>
      </c>
      <c r="FL52" s="174" t="str">
        <f t="shared" ca="1" si="183"/>
        <v>na</v>
      </c>
      <c r="FM52" s="174" t="str">
        <f t="shared" ca="1" si="184"/>
        <v>na</v>
      </c>
    </row>
    <row r="53" spans="2:169">
      <c r="B53" s="149" t="str">
        <f>DS59</f>
        <v>E</v>
      </c>
      <c r="D53" s="155" t="str">
        <f t="shared" si="185"/>
        <v>E</v>
      </c>
      <c r="E53" s="177" t="s">
        <v>27</v>
      </c>
      <c r="G53" s="155" t="s">
        <v>27</v>
      </c>
      <c r="H53" s="155" t="s">
        <v>27</v>
      </c>
      <c r="I53" s="186">
        <f t="shared" si="186"/>
        <v>0</v>
      </c>
      <c r="J53" s="186">
        <f t="shared" si="186"/>
        <v>0</v>
      </c>
      <c r="K53" s="186">
        <f t="shared" si="186"/>
        <v>0</v>
      </c>
      <c r="L53" s="148">
        <f t="shared" si="187"/>
        <v>0</v>
      </c>
      <c r="M53" s="186">
        <f t="shared" si="188"/>
        <v>0</v>
      </c>
      <c r="N53" s="148">
        <f t="shared" si="189"/>
        <v>0</v>
      </c>
      <c r="P53" s="155" t="s">
        <v>27</v>
      </c>
      <c r="Q53" s="155" t="s">
        <v>27</v>
      </c>
      <c r="R53" s="186">
        <f t="shared" si="190"/>
        <v>0</v>
      </c>
      <c r="S53" s="186">
        <f t="shared" si="190"/>
        <v>0</v>
      </c>
      <c r="T53" s="187" t="s">
        <v>27</v>
      </c>
      <c r="U53" s="187" t="s">
        <v>27</v>
      </c>
      <c r="V53" s="187" t="s">
        <v>27</v>
      </c>
      <c r="W53" s="186">
        <f t="shared" si="191"/>
        <v>0</v>
      </c>
      <c r="X53" s="186">
        <f t="shared" si="191"/>
        <v>0</v>
      </c>
      <c r="Y53" s="186">
        <f t="shared" si="191"/>
        <v>0</v>
      </c>
      <c r="Z53" s="149">
        <f t="shared" si="192"/>
        <v>0</v>
      </c>
      <c r="AA53" s="186">
        <f t="shared" si="193"/>
        <v>0</v>
      </c>
      <c r="AB53" s="186">
        <f t="shared" si="193"/>
        <v>0</v>
      </c>
      <c r="AC53" s="186">
        <f t="shared" si="193"/>
        <v>0</v>
      </c>
      <c r="AD53" s="186">
        <f t="shared" si="193"/>
        <v>0</v>
      </c>
      <c r="AE53" s="186">
        <f t="shared" si="193"/>
        <v>0</v>
      </c>
      <c r="AF53" s="148">
        <f t="shared" ca="1" si="194"/>
        <v>0</v>
      </c>
      <c r="AG53" s="186">
        <f t="shared" si="195"/>
        <v>0</v>
      </c>
      <c r="AH53" s="186">
        <f t="shared" si="195"/>
        <v>0</v>
      </c>
      <c r="AI53" s="148">
        <f t="shared" ca="1" si="196"/>
        <v>0</v>
      </c>
      <c r="AK53" s="155" t="s">
        <v>27</v>
      </c>
      <c r="AL53" s="155" t="s">
        <v>27</v>
      </c>
      <c r="AM53" s="186">
        <f t="shared" si="197"/>
        <v>0</v>
      </c>
      <c r="AN53" s="186">
        <f t="shared" si="197"/>
        <v>0</v>
      </c>
      <c r="AO53" s="187" t="s">
        <v>27</v>
      </c>
      <c r="AP53" s="187" t="s">
        <v>27</v>
      </c>
      <c r="AQ53" s="187" t="s">
        <v>27</v>
      </c>
      <c r="AR53" s="186">
        <f t="shared" si="198"/>
        <v>0</v>
      </c>
      <c r="AS53" s="186">
        <f t="shared" si="198"/>
        <v>0</v>
      </c>
      <c r="AT53" s="186">
        <f t="shared" si="198"/>
        <v>0</v>
      </c>
      <c r="AU53" s="149">
        <f t="shared" si="199"/>
        <v>0</v>
      </c>
      <c r="AV53" s="186">
        <f t="shared" si="200"/>
        <v>0</v>
      </c>
      <c r="AW53" s="186">
        <f t="shared" si="200"/>
        <v>0</v>
      </c>
      <c r="AX53" s="186">
        <f t="shared" si="200"/>
        <v>0</v>
      </c>
      <c r="AY53" s="186">
        <f t="shared" si="200"/>
        <v>0</v>
      </c>
      <c r="AZ53" s="186">
        <f t="shared" si="200"/>
        <v>0</v>
      </c>
      <c r="BA53" s="148">
        <f t="shared" ca="1" si="201"/>
        <v>0</v>
      </c>
      <c r="BB53" s="186">
        <f t="shared" si="202"/>
        <v>0</v>
      </c>
      <c r="BC53" s="186">
        <f t="shared" si="202"/>
        <v>0</v>
      </c>
      <c r="BD53" s="148">
        <f t="shared" ca="1" si="203"/>
        <v>0</v>
      </c>
      <c r="BF53" s="155" t="s">
        <v>27</v>
      </c>
      <c r="BG53" s="155" t="s">
        <v>27</v>
      </c>
      <c r="BH53" s="186">
        <f t="shared" si="204"/>
        <v>0</v>
      </c>
      <c r="BI53" s="186">
        <f t="shared" si="204"/>
        <v>0</v>
      </c>
      <c r="BJ53" s="187" t="s">
        <v>27</v>
      </c>
      <c r="BK53" s="187" t="s">
        <v>27</v>
      </c>
      <c r="BL53" s="187" t="s">
        <v>27</v>
      </c>
      <c r="BM53" s="186">
        <f t="shared" si="205"/>
        <v>0</v>
      </c>
      <c r="BN53" s="186">
        <f t="shared" si="205"/>
        <v>0</v>
      </c>
      <c r="BO53" s="186">
        <f t="shared" si="205"/>
        <v>0</v>
      </c>
      <c r="BP53" s="149">
        <f t="shared" si="206"/>
        <v>0</v>
      </c>
      <c r="BQ53" s="186">
        <f t="shared" si="207"/>
        <v>0</v>
      </c>
      <c r="BR53" s="186">
        <f t="shared" si="207"/>
        <v>0</v>
      </c>
      <c r="BS53" s="186">
        <f t="shared" si="207"/>
        <v>0</v>
      </c>
      <c r="BT53" s="186">
        <f t="shared" si="207"/>
        <v>0</v>
      </c>
      <c r="BU53" s="186">
        <f t="shared" si="207"/>
        <v>0</v>
      </c>
      <c r="BV53" s="148">
        <f t="shared" ca="1" si="208"/>
        <v>0</v>
      </c>
      <c r="BW53" s="186">
        <f t="shared" si="209"/>
        <v>0</v>
      </c>
      <c r="BX53" s="186">
        <f t="shared" si="209"/>
        <v>0</v>
      </c>
      <c r="BY53" s="148">
        <f t="shared" ca="1" si="210"/>
        <v>0</v>
      </c>
      <c r="CA53" s="155" t="s">
        <v>27</v>
      </c>
      <c r="CB53" s="155" t="s">
        <v>27</v>
      </c>
      <c r="CC53" s="186">
        <f t="shared" si="211"/>
        <v>0</v>
      </c>
      <c r="CD53" s="186">
        <f t="shared" si="211"/>
        <v>0</v>
      </c>
      <c r="CE53" s="187" t="s">
        <v>27</v>
      </c>
      <c r="CF53" s="187" t="s">
        <v>27</v>
      </c>
      <c r="CG53" s="187" t="s">
        <v>27</v>
      </c>
      <c r="CH53" s="186">
        <f t="shared" si="212"/>
        <v>0</v>
      </c>
      <c r="CI53" s="186">
        <f t="shared" si="212"/>
        <v>0</v>
      </c>
      <c r="CJ53" s="186">
        <f t="shared" si="212"/>
        <v>0</v>
      </c>
      <c r="CK53" s="149">
        <f t="shared" si="213"/>
        <v>0</v>
      </c>
      <c r="CL53" s="186">
        <f t="shared" si="214"/>
        <v>0</v>
      </c>
      <c r="CM53" s="186">
        <f t="shared" si="214"/>
        <v>0</v>
      </c>
      <c r="CN53" s="186">
        <f t="shared" si="214"/>
        <v>0</v>
      </c>
      <c r="CO53" s="186">
        <f t="shared" si="214"/>
        <v>0</v>
      </c>
      <c r="CP53" s="186">
        <f t="shared" si="214"/>
        <v>0</v>
      </c>
      <c r="CQ53" s="148">
        <f t="shared" ca="1" si="215"/>
        <v>0</v>
      </c>
      <c r="CR53" s="186">
        <f t="shared" si="216"/>
        <v>0</v>
      </c>
      <c r="CS53" s="186">
        <f t="shared" si="216"/>
        <v>0</v>
      </c>
      <c r="CT53" s="148">
        <f t="shared" ca="1" si="217"/>
        <v>0</v>
      </c>
      <c r="CV53" s="155" t="s">
        <v>27</v>
      </c>
      <c r="CW53" s="155" t="s">
        <v>27</v>
      </c>
      <c r="CX53" s="186">
        <f t="shared" si="218"/>
        <v>0</v>
      </c>
      <c r="CY53" s="186">
        <f t="shared" si="218"/>
        <v>0</v>
      </c>
      <c r="CZ53" s="187" t="s">
        <v>27</v>
      </c>
      <c r="DA53" s="187" t="s">
        <v>27</v>
      </c>
      <c r="DB53" s="187" t="s">
        <v>27</v>
      </c>
      <c r="DC53" s="186">
        <f t="shared" si="219"/>
        <v>0</v>
      </c>
      <c r="DD53" s="186">
        <f t="shared" si="219"/>
        <v>0</v>
      </c>
      <c r="DE53" s="186">
        <f t="shared" si="219"/>
        <v>0</v>
      </c>
      <c r="DF53" s="149">
        <f t="shared" si="220"/>
        <v>0</v>
      </c>
      <c r="DG53" s="186">
        <f t="shared" si="221"/>
        <v>0</v>
      </c>
      <c r="DH53" s="186">
        <f t="shared" si="221"/>
        <v>0</v>
      </c>
      <c r="DI53" s="186">
        <f t="shared" si="221"/>
        <v>0</v>
      </c>
      <c r="DJ53" s="186">
        <f t="shared" si="221"/>
        <v>0</v>
      </c>
      <c r="DK53" s="186">
        <f t="shared" si="221"/>
        <v>0</v>
      </c>
      <c r="DL53" s="148">
        <f t="shared" ca="1" si="222"/>
        <v>0</v>
      </c>
      <c r="DM53" s="186">
        <f t="shared" si="223"/>
        <v>0</v>
      </c>
      <c r="DN53" s="186">
        <f t="shared" si="223"/>
        <v>0</v>
      </c>
      <c r="DO53" s="148">
        <f t="shared" ca="1" si="224"/>
        <v>0</v>
      </c>
      <c r="DQ53" s="155" t="s">
        <v>27</v>
      </c>
      <c r="DR53" s="155" t="s">
        <v>27</v>
      </c>
      <c r="DS53" s="186">
        <f t="shared" si="225"/>
        <v>0</v>
      </c>
      <c r="DT53" s="186">
        <f t="shared" si="225"/>
        <v>0</v>
      </c>
      <c r="DU53" s="187" t="s">
        <v>27</v>
      </c>
      <c r="DV53" s="187" t="s">
        <v>27</v>
      </c>
      <c r="DW53" s="187" t="s">
        <v>27</v>
      </c>
      <c r="DX53" s="186">
        <f t="shared" si="226"/>
        <v>0</v>
      </c>
      <c r="DY53" s="186">
        <f t="shared" si="226"/>
        <v>0</v>
      </c>
      <c r="DZ53" s="186">
        <f t="shared" si="226"/>
        <v>0</v>
      </c>
      <c r="EA53" s="149">
        <f t="shared" si="227"/>
        <v>0</v>
      </c>
      <c r="EB53" s="186">
        <f t="shared" si="228"/>
        <v>0</v>
      </c>
      <c r="EC53" s="186">
        <f t="shared" si="228"/>
        <v>0</v>
      </c>
      <c r="ED53" s="186">
        <f t="shared" si="228"/>
        <v>0</v>
      </c>
      <c r="EE53" s="186">
        <f t="shared" si="228"/>
        <v>0</v>
      </c>
      <c r="EF53" s="186">
        <f t="shared" si="228"/>
        <v>0</v>
      </c>
      <c r="EG53" s="148">
        <f t="shared" ca="1" si="229"/>
        <v>0</v>
      </c>
      <c r="EH53" s="186">
        <f t="shared" si="230"/>
        <v>0</v>
      </c>
      <c r="EI53" s="186">
        <f t="shared" si="230"/>
        <v>0</v>
      </c>
      <c r="EJ53" s="148">
        <f t="shared" ca="1" si="231"/>
        <v>0</v>
      </c>
      <c r="EL53" s="186">
        <f t="shared" si="232"/>
        <v>0</v>
      </c>
      <c r="EM53" s="186">
        <f t="shared" si="232"/>
        <v>0</v>
      </c>
      <c r="EN53" s="174" t="s">
        <v>27</v>
      </c>
      <c r="EO53" s="174" t="s">
        <v>27</v>
      </c>
      <c r="EP53" s="174" t="s">
        <v>27</v>
      </c>
      <c r="EQ53" s="186">
        <f t="shared" si="233"/>
        <v>0</v>
      </c>
      <c r="ER53" s="186">
        <f t="shared" si="233"/>
        <v>0</v>
      </c>
      <c r="ES53" s="186">
        <f t="shared" si="233"/>
        <v>0</v>
      </c>
      <c r="ET53" s="149">
        <f t="shared" si="234"/>
        <v>0</v>
      </c>
      <c r="EU53" s="186">
        <f t="shared" si="235"/>
        <v>0</v>
      </c>
      <c r="EV53" s="186">
        <f t="shared" si="235"/>
        <v>0</v>
      </c>
      <c r="EW53" s="186">
        <f t="shared" si="235"/>
        <v>0</v>
      </c>
      <c r="EX53" s="186">
        <f t="shared" si="235"/>
        <v>0</v>
      </c>
      <c r="EY53" s="186">
        <f t="shared" si="235"/>
        <v>0</v>
      </c>
      <c r="EZ53" s="148">
        <f t="shared" ca="1" si="236"/>
        <v>0</v>
      </c>
      <c r="FA53" s="186">
        <f t="shared" si="237"/>
        <v>0</v>
      </c>
      <c r="FB53" s="186">
        <f t="shared" si="237"/>
        <v>0</v>
      </c>
      <c r="FC53" s="148">
        <f t="shared" ca="1" si="238"/>
        <v>0</v>
      </c>
      <c r="FF53" s="146">
        <f t="shared" ca="1" si="180"/>
        <v>0</v>
      </c>
      <c r="FG53" s="146">
        <f t="shared" ca="1" si="181"/>
        <v>0</v>
      </c>
      <c r="FH53" s="146">
        <f t="shared" ca="1" si="182"/>
        <v>0</v>
      </c>
      <c r="FK53" s="174" t="str">
        <f t="shared" ca="1" si="183"/>
        <v>na</v>
      </c>
      <c r="FL53" s="174" t="str">
        <f t="shared" ca="1" si="183"/>
        <v>na</v>
      </c>
      <c r="FM53" s="174" t="str">
        <f t="shared" ca="1" si="184"/>
        <v>na</v>
      </c>
    </row>
    <row r="54" spans="2:169">
      <c r="B54" s="149" t="s">
        <v>27</v>
      </c>
      <c r="D54" s="155" t="str">
        <f t="shared" si="185"/>
        <v>na</v>
      </c>
      <c r="E54" s="177" t="s">
        <v>27</v>
      </c>
      <c r="G54" s="155" t="s">
        <v>27</v>
      </c>
      <c r="H54" s="155" t="s">
        <v>27</v>
      </c>
      <c r="I54" s="186">
        <f t="shared" si="186"/>
        <v>0</v>
      </c>
      <c r="J54" s="186">
        <f t="shared" si="186"/>
        <v>0</v>
      </c>
      <c r="K54" s="186">
        <f t="shared" si="186"/>
        <v>0</v>
      </c>
      <c r="L54" s="148">
        <f t="shared" si="187"/>
        <v>0</v>
      </c>
      <c r="M54" s="186">
        <f t="shared" si="188"/>
        <v>0</v>
      </c>
      <c r="N54" s="148">
        <f t="shared" si="189"/>
        <v>0</v>
      </c>
      <c r="P54" s="155" t="s">
        <v>27</v>
      </c>
      <c r="Q54" s="155" t="s">
        <v>27</v>
      </c>
      <c r="R54" s="186">
        <f t="shared" si="190"/>
        <v>0</v>
      </c>
      <c r="S54" s="186">
        <f t="shared" si="190"/>
        <v>0</v>
      </c>
      <c r="T54" s="187" t="s">
        <v>27</v>
      </c>
      <c r="U54" s="187" t="s">
        <v>27</v>
      </c>
      <c r="V54" s="187" t="s">
        <v>27</v>
      </c>
      <c r="W54" s="186">
        <f t="shared" ca="1" si="191"/>
        <v>0</v>
      </c>
      <c r="X54" s="186">
        <f t="shared" ca="1" si="191"/>
        <v>0</v>
      </c>
      <c r="Y54" s="186">
        <f t="shared" ca="1" si="191"/>
        <v>0</v>
      </c>
      <c r="Z54" s="149">
        <f t="shared" ca="1" si="192"/>
        <v>0</v>
      </c>
      <c r="AA54" s="186">
        <f t="shared" ca="1" si="193"/>
        <v>0</v>
      </c>
      <c r="AB54" s="186">
        <f t="shared" ca="1" si="193"/>
        <v>0</v>
      </c>
      <c r="AC54" s="186">
        <f t="shared" ca="1" si="193"/>
        <v>0</v>
      </c>
      <c r="AD54" s="186">
        <f t="shared" ca="1" si="193"/>
        <v>0</v>
      </c>
      <c r="AE54" s="186">
        <f t="shared" ca="1" si="193"/>
        <v>0</v>
      </c>
      <c r="AF54" s="148">
        <f t="shared" ca="1" si="194"/>
        <v>0</v>
      </c>
      <c r="AG54" s="186">
        <f t="shared" ca="1" si="195"/>
        <v>0</v>
      </c>
      <c r="AH54" s="186">
        <f t="shared" ca="1" si="195"/>
        <v>0</v>
      </c>
      <c r="AI54" s="148">
        <f t="shared" ca="1" si="196"/>
        <v>0</v>
      </c>
      <c r="AK54" s="155" t="s">
        <v>27</v>
      </c>
      <c r="AL54" s="155" t="s">
        <v>27</v>
      </c>
      <c r="AM54" s="186">
        <f t="shared" si="197"/>
        <v>0</v>
      </c>
      <c r="AN54" s="186">
        <f t="shared" si="197"/>
        <v>0</v>
      </c>
      <c r="AO54" s="187" t="s">
        <v>27</v>
      </c>
      <c r="AP54" s="187" t="s">
        <v>27</v>
      </c>
      <c r="AQ54" s="187" t="s">
        <v>27</v>
      </c>
      <c r="AR54" s="186">
        <f t="shared" ca="1" si="198"/>
        <v>0</v>
      </c>
      <c r="AS54" s="186">
        <f t="shared" ca="1" si="198"/>
        <v>0</v>
      </c>
      <c r="AT54" s="186">
        <f t="shared" ca="1" si="198"/>
        <v>0</v>
      </c>
      <c r="AU54" s="149">
        <f t="shared" ca="1" si="199"/>
        <v>0</v>
      </c>
      <c r="AV54" s="186">
        <f t="shared" ca="1" si="200"/>
        <v>0</v>
      </c>
      <c r="AW54" s="186">
        <f t="shared" ca="1" si="200"/>
        <v>0</v>
      </c>
      <c r="AX54" s="186">
        <f t="shared" ca="1" si="200"/>
        <v>0</v>
      </c>
      <c r="AY54" s="186">
        <f t="shared" ca="1" si="200"/>
        <v>0</v>
      </c>
      <c r="AZ54" s="186">
        <f t="shared" ca="1" si="200"/>
        <v>0</v>
      </c>
      <c r="BA54" s="148">
        <f t="shared" ca="1" si="201"/>
        <v>0</v>
      </c>
      <c r="BB54" s="186">
        <f t="shared" ca="1" si="202"/>
        <v>0</v>
      </c>
      <c r="BC54" s="186">
        <f t="shared" ca="1" si="202"/>
        <v>0</v>
      </c>
      <c r="BD54" s="148">
        <f t="shared" ca="1" si="203"/>
        <v>0</v>
      </c>
      <c r="BF54" s="155" t="s">
        <v>27</v>
      </c>
      <c r="BG54" s="155" t="s">
        <v>27</v>
      </c>
      <c r="BH54" s="186">
        <f t="shared" si="204"/>
        <v>0</v>
      </c>
      <c r="BI54" s="186">
        <f t="shared" si="204"/>
        <v>0</v>
      </c>
      <c r="BJ54" s="187" t="s">
        <v>27</v>
      </c>
      <c r="BK54" s="187" t="s">
        <v>27</v>
      </c>
      <c r="BL54" s="187" t="s">
        <v>27</v>
      </c>
      <c r="BM54" s="186">
        <f t="shared" ca="1" si="205"/>
        <v>0</v>
      </c>
      <c r="BN54" s="186">
        <f t="shared" ca="1" si="205"/>
        <v>0</v>
      </c>
      <c r="BO54" s="186">
        <f t="shared" ca="1" si="205"/>
        <v>0</v>
      </c>
      <c r="BP54" s="149">
        <f t="shared" ca="1" si="206"/>
        <v>0</v>
      </c>
      <c r="BQ54" s="186">
        <f t="shared" ca="1" si="207"/>
        <v>0</v>
      </c>
      <c r="BR54" s="186">
        <f t="shared" ca="1" si="207"/>
        <v>0</v>
      </c>
      <c r="BS54" s="186">
        <f t="shared" ca="1" si="207"/>
        <v>0</v>
      </c>
      <c r="BT54" s="186">
        <f t="shared" ca="1" si="207"/>
        <v>0</v>
      </c>
      <c r="BU54" s="186">
        <f t="shared" ca="1" si="207"/>
        <v>0</v>
      </c>
      <c r="BV54" s="148">
        <f t="shared" ca="1" si="208"/>
        <v>0</v>
      </c>
      <c r="BW54" s="186">
        <f t="shared" ca="1" si="209"/>
        <v>0</v>
      </c>
      <c r="BX54" s="186">
        <f t="shared" ca="1" si="209"/>
        <v>0</v>
      </c>
      <c r="BY54" s="148">
        <f t="shared" ca="1" si="210"/>
        <v>0</v>
      </c>
      <c r="CA54" s="155" t="s">
        <v>27</v>
      </c>
      <c r="CB54" s="155" t="s">
        <v>27</v>
      </c>
      <c r="CC54" s="186">
        <f t="shared" si="211"/>
        <v>0</v>
      </c>
      <c r="CD54" s="186">
        <f t="shared" si="211"/>
        <v>0</v>
      </c>
      <c r="CE54" s="187" t="s">
        <v>27</v>
      </c>
      <c r="CF54" s="187" t="s">
        <v>27</v>
      </c>
      <c r="CG54" s="187" t="s">
        <v>27</v>
      </c>
      <c r="CH54" s="186">
        <f t="shared" ca="1" si="212"/>
        <v>0</v>
      </c>
      <c r="CI54" s="186">
        <f t="shared" ca="1" si="212"/>
        <v>0</v>
      </c>
      <c r="CJ54" s="186">
        <f t="shared" ca="1" si="212"/>
        <v>0</v>
      </c>
      <c r="CK54" s="149">
        <f t="shared" ca="1" si="213"/>
        <v>0</v>
      </c>
      <c r="CL54" s="186">
        <f t="shared" ca="1" si="214"/>
        <v>0</v>
      </c>
      <c r="CM54" s="186">
        <f t="shared" ca="1" si="214"/>
        <v>0</v>
      </c>
      <c r="CN54" s="186">
        <f t="shared" ca="1" si="214"/>
        <v>0</v>
      </c>
      <c r="CO54" s="186">
        <f t="shared" ca="1" si="214"/>
        <v>0</v>
      </c>
      <c r="CP54" s="186">
        <f t="shared" ca="1" si="214"/>
        <v>0</v>
      </c>
      <c r="CQ54" s="148">
        <f t="shared" ca="1" si="215"/>
        <v>0</v>
      </c>
      <c r="CR54" s="186">
        <f t="shared" ca="1" si="216"/>
        <v>0</v>
      </c>
      <c r="CS54" s="186">
        <f t="shared" ca="1" si="216"/>
        <v>0</v>
      </c>
      <c r="CT54" s="148">
        <f t="shared" ca="1" si="217"/>
        <v>0</v>
      </c>
      <c r="CV54" s="155" t="s">
        <v>27</v>
      </c>
      <c r="CW54" s="155" t="s">
        <v>27</v>
      </c>
      <c r="CX54" s="186">
        <f t="shared" si="218"/>
        <v>0</v>
      </c>
      <c r="CY54" s="186">
        <f t="shared" si="218"/>
        <v>0</v>
      </c>
      <c r="CZ54" s="187" t="s">
        <v>27</v>
      </c>
      <c r="DA54" s="187" t="s">
        <v>27</v>
      </c>
      <c r="DB54" s="187" t="s">
        <v>27</v>
      </c>
      <c r="DC54" s="186">
        <f t="shared" ca="1" si="219"/>
        <v>0</v>
      </c>
      <c r="DD54" s="186">
        <f t="shared" ca="1" si="219"/>
        <v>0</v>
      </c>
      <c r="DE54" s="186">
        <f t="shared" ca="1" si="219"/>
        <v>0</v>
      </c>
      <c r="DF54" s="149">
        <f t="shared" ca="1" si="220"/>
        <v>0</v>
      </c>
      <c r="DG54" s="186">
        <f t="shared" ca="1" si="221"/>
        <v>0</v>
      </c>
      <c r="DH54" s="186">
        <f t="shared" ca="1" si="221"/>
        <v>0</v>
      </c>
      <c r="DI54" s="186">
        <f t="shared" ca="1" si="221"/>
        <v>0</v>
      </c>
      <c r="DJ54" s="186">
        <f t="shared" ca="1" si="221"/>
        <v>0</v>
      </c>
      <c r="DK54" s="186">
        <f t="shared" ca="1" si="221"/>
        <v>0</v>
      </c>
      <c r="DL54" s="148">
        <f t="shared" ca="1" si="222"/>
        <v>0</v>
      </c>
      <c r="DM54" s="186">
        <f t="shared" ca="1" si="223"/>
        <v>0</v>
      </c>
      <c r="DN54" s="186">
        <f t="shared" ca="1" si="223"/>
        <v>0</v>
      </c>
      <c r="DO54" s="148">
        <f t="shared" ca="1" si="224"/>
        <v>0</v>
      </c>
      <c r="DQ54" s="155" t="s">
        <v>27</v>
      </c>
      <c r="DR54" s="155" t="s">
        <v>27</v>
      </c>
      <c r="DS54" s="186">
        <f t="shared" si="225"/>
        <v>0</v>
      </c>
      <c r="DT54" s="186">
        <f t="shared" si="225"/>
        <v>0</v>
      </c>
      <c r="DU54" s="187" t="s">
        <v>27</v>
      </c>
      <c r="DV54" s="187" t="s">
        <v>27</v>
      </c>
      <c r="DW54" s="187" t="s">
        <v>27</v>
      </c>
      <c r="DX54" s="186">
        <f t="shared" ca="1" si="226"/>
        <v>0</v>
      </c>
      <c r="DY54" s="186">
        <f t="shared" ca="1" si="226"/>
        <v>0</v>
      </c>
      <c r="DZ54" s="186">
        <f t="shared" ca="1" si="226"/>
        <v>0</v>
      </c>
      <c r="EA54" s="149">
        <f t="shared" ca="1" si="227"/>
        <v>0</v>
      </c>
      <c r="EB54" s="186">
        <f t="shared" ca="1" si="228"/>
        <v>0</v>
      </c>
      <c r="EC54" s="186">
        <f t="shared" ca="1" si="228"/>
        <v>0</v>
      </c>
      <c r="ED54" s="186">
        <f t="shared" ca="1" si="228"/>
        <v>0</v>
      </c>
      <c r="EE54" s="186">
        <f t="shared" ca="1" si="228"/>
        <v>0</v>
      </c>
      <c r="EF54" s="186">
        <f t="shared" ca="1" si="228"/>
        <v>0</v>
      </c>
      <c r="EG54" s="148">
        <f t="shared" ca="1" si="229"/>
        <v>0</v>
      </c>
      <c r="EH54" s="186">
        <f t="shared" ca="1" si="230"/>
        <v>0</v>
      </c>
      <c r="EI54" s="186">
        <f t="shared" ca="1" si="230"/>
        <v>0</v>
      </c>
      <c r="EJ54" s="148">
        <f t="shared" ca="1" si="231"/>
        <v>0</v>
      </c>
      <c r="EL54" s="186">
        <f t="shared" si="232"/>
        <v>0</v>
      </c>
      <c r="EM54" s="186">
        <f t="shared" si="232"/>
        <v>0</v>
      </c>
      <c r="EN54" s="174" t="s">
        <v>27</v>
      </c>
      <c r="EO54" s="174" t="s">
        <v>27</v>
      </c>
      <c r="EP54" s="174" t="s">
        <v>27</v>
      </c>
      <c r="EQ54" s="186">
        <f t="shared" ca="1" si="233"/>
        <v>0</v>
      </c>
      <c r="ER54" s="186">
        <f t="shared" ca="1" si="233"/>
        <v>0</v>
      </c>
      <c r="ES54" s="186">
        <f t="shared" ca="1" si="233"/>
        <v>0</v>
      </c>
      <c r="ET54" s="149">
        <f t="shared" ca="1" si="234"/>
        <v>0</v>
      </c>
      <c r="EU54" s="186">
        <f t="shared" ca="1" si="235"/>
        <v>0</v>
      </c>
      <c r="EV54" s="186">
        <f t="shared" ca="1" si="235"/>
        <v>0</v>
      </c>
      <c r="EW54" s="186">
        <f t="shared" ca="1" si="235"/>
        <v>0</v>
      </c>
      <c r="EX54" s="186">
        <f t="shared" ca="1" si="235"/>
        <v>0</v>
      </c>
      <c r="EY54" s="186">
        <f t="shared" ca="1" si="235"/>
        <v>0</v>
      </c>
      <c r="EZ54" s="148">
        <f t="shared" ca="1" si="236"/>
        <v>0</v>
      </c>
      <c r="FA54" s="186">
        <f t="shared" ca="1" si="237"/>
        <v>0</v>
      </c>
      <c r="FB54" s="186">
        <f t="shared" ca="1" si="237"/>
        <v>0</v>
      </c>
      <c r="FC54" s="148">
        <f t="shared" ca="1" si="238"/>
        <v>0</v>
      </c>
      <c r="FF54" s="146">
        <f t="shared" ca="1" si="180"/>
        <v>0</v>
      </c>
      <c r="FG54" s="146">
        <f t="shared" ca="1" si="181"/>
        <v>0</v>
      </c>
      <c r="FH54" s="146">
        <f t="shared" ca="1" si="182"/>
        <v>0</v>
      </c>
      <c r="FK54" s="174" t="str">
        <f t="shared" ca="1" si="183"/>
        <v>na</v>
      </c>
      <c r="FL54" s="174" t="str">
        <f t="shared" ca="1" si="183"/>
        <v>na</v>
      </c>
      <c r="FM54" s="174" t="str">
        <f t="shared" ca="1" si="184"/>
        <v>na</v>
      </c>
    </row>
    <row r="55" spans="2:169">
      <c r="B55" s="149" t="s">
        <v>20</v>
      </c>
      <c r="I55" s="188">
        <f>SUM(I47:I54)</f>
        <v>0</v>
      </c>
      <c r="J55" s="188">
        <f>SUM(J47:J54)</f>
        <v>0</v>
      </c>
      <c r="K55" s="188">
        <f>SUM(K47:K54)</f>
        <v>0</v>
      </c>
      <c r="L55" s="152">
        <f>IFERROR(K55/K$29,0)</f>
        <v>0</v>
      </c>
      <c r="M55" s="188">
        <f>SUM(M47:M54)</f>
        <v>0</v>
      </c>
      <c r="N55" s="152">
        <f>IFERROR(M55/M$29,0)</f>
        <v>0</v>
      </c>
      <c r="P55" s="182"/>
      <c r="Q55" s="182"/>
      <c r="R55" s="188">
        <f>SUM(R47:R54)</f>
        <v>0</v>
      </c>
      <c r="S55" s="188">
        <f>SUM(S47:S54)</f>
        <v>0</v>
      </c>
      <c r="T55" s="151"/>
      <c r="U55" s="151"/>
      <c r="V55" s="151"/>
      <c r="W55" s="188">
        <f ca="1">SUM(W47:W54)</f>
        <v>0</v>
      </c>
      <c r="X55" s="188">
        <f ca="1">SUM(X47:X54)</f>
        <v>0</v>
      </c>
      <c r="Y55" s="188">
        <f ca="1">SUM(Y47:Y54)</f>
        <v>0</v>
      </c>
      <c r="Z55" s="151">
        <f t="shared" ca="1" si="192"/>
        <v>0</v>
      </c>
      <c r="AA55" s="188">
        <f ca="1">SUM(AA47:AA54)</f>
        <v>0</v>
      </c>
      <c r="AB55" s="188">
        <f ca="1">SUM(AB47:AB54)</f>
        <v>0</v>
      </c>
      <c r="AC55" s="188">
        <f ca="1">SUM(AC47:AC54)</f>
        <v>0</v>
      </c>
      <c r="AD55" s="188">
        <f ca="1">SUM(AD47:AD54)</f>
        <v>0</v>
      </c>
      <c r="AE55" s="188">
        <f ca="1">SUM(AE47:AE54)</f>
        <v>0</v>
      </c>
      <c r="AF55" s="152">
        <f ca="1">IFERROR(AE55/AE$29,0)</f>
        <v>0</v>
      </c>
      <c r="AG55" s="188">
        <f ca="1">SUM(AG47:AG54)</f>
        <v>0</v>
      </c>
      <c r="AH55" s="188">
        <f ca="1">SUM(AH47:AH54)</f>
        <v>0</v>
      </c>
      <c r="AI55" s="152">
        <f ca="1">IFERROR(AH55/AH$29,0)</f>
        <v>0</v>
      </c>
      <c r="AK55" s="182"/>
      <c r="AL55" s="182"/>
      <c r="AM55" s="188">
        <f>SUM(AM47:AM54)</f>
        <v>0</v>
      </c>
      <c r="AN55" s="188">
        <f>SUM(AN47:AN54)</f>
        <v>0</v>
      </c>
      <c r="AO55" s="151"/>
      <c r="AP55" s="151"/>
      <c r="AQ55" s="151"/>
      <c r="AR55" s="188">
        <f ca="1">SUM(AR47:AR54)</f>
        <v>0</v>
      </c>
      <c r="AS55" s="188">
        <f ca="1">SUM(AS47:AS54)</f>
        <v>0</v>
      </c>
      <c r="AT55" s="188">
        <f ca="1">SUM(AT47:AT54)</f>
        <v>0</v>
      </c>
      <c r="AU55" s="151">
        <f t="shared" ca="1" si="199"/>
        <v>0</v>
      </c>
      <c r="AV55" s="188">
        <f ca="1">SUM(AV47:AV54)</f>
        <v>0</v>
      </c>
      <c r="AW55" s="188">
        <f ca="1">SUM(AW47:AW54)</f>
        <v>0</v>
      </c>
      <c r="AX55" s="188">
        <f ca="1">SUM(AX47:AX54)</f>
        <v>0</v>
      </c>
      <c r="AY55" s="188">
        <f ca="1">SUM(AY47:AY54)</f>
        <v>0</v>
      </c>
      <c r="AZ55" s="188">
        <f ca="1">SUM(AZ47:AZ54)</f>
        <v>0</v>
      </c>
      <c r="BA55" s="152">
        <f ca="1">IFERROR(AZ55/AZ$29,0)</f>
        <v>0</v>
      </c>
      <c r="BB55" s="188">
        <f ca="1">SUM(BB47:BB54)</f>
        <v>0</v>
      </c>
      <c r="BC55" s="188">
        <f ca="1">SUM(BC47:BC54)</f>
        <v>0</v>
      </c>
      <c r="BD55" s="152">
        <f ca="1">IFERROR(BC55/BC$29,0)</f>
        <v>0</v>
      </c>
      <c r="BF55" s="182"/>
      <c r="BG55" s="182"/>
      <c r="BH55" s="188">
        <f>SUM(BH47:BH54)</f>
        <v>0</v>
      </c>
      <c r="BI55" s="188">
        <f>SUM(BI47:BI54)</f>
        <v>0</v>
      </c>
      <c r="BJ55" s="151"/>
      <c r="BK55" s="151"/>
      <c r="BL55" s="151"/>
      <c r="BM55" s="188">
        <f ca="1">SUM(BM47:BM54)</f>
        <v>0</v>
      </c>
      <c r="BN55" s="188">
        <f ca="1">SUM(BN47:BN54)</f>
        <v>0</v>
      </c>
      <c r="BO55" s="188">
        <f ca="1">SUM(BO47:BO54)</f>
        <v>0</v>
      </c>
      <c r="BP55" s="151">
        <f t="shared" ca="1" si="206"/>
        <v>0</v>
      </c>
      <c r="BQ55" s="188">
        <f ca="1">SUM(BQ47:BQ54)</f>
        <v>0</v>
      </c>
      <c r="BR55" s="188">
        <f ca="1">SUM(BR47:BR54)</f>
        <v>0</v>
      </c>
      <c r="BS55" s="188">
        <f ca="1">SUM(BS47:BS54)</f>
        <v>0</v>
      </c>
      <c r="BT55" s="188">
        <f ca="1">SUM(BT47:BT54)</f>
        <v>0</v>
      </c>
      <c r="BU55" s="188">
        <f ca="1">SUM(BU47:BU54)</f>
        <v>0</v>
      </c>
      <c r="BV55" s="152">
        <f ca="1">IFERROR(BU55/BU$29,0)</f>
        <v>0</v>
      </c>
      <c r="BW55" s="188">
        <f ca="1">SUM(BW47:BW54)</f>
        <v>0</v>
      </c>
      <c r="BX55" s="188">
        <f ca="1">SUM(BX47:BX54)</f>
        <v>0</v>
      </c>
      <c r="BY55" s="152">
        <f ca="1">IFERROR(BX55/BX$29,0)</f>
        <v>0</v>
      </c>
      <c r="CA55" s="182"/>
      <c r="CB55" s="182"/>
      <c r="CC55" s="188">
        <f>SUM(CC47:CC54)</f>
        <v>0</v>
      </c>
      <c r="CD55" s="188">
        <f>SUM(CD47:CD54)</f>
        <v>0</v>
      </c>
      <c r="CE55" s="151"/>
      <c r="CF55" s="151"/>
      <c r="CG55" s="151"/>
      <c r="CH55" s="188">
        <f ca="1">SUM(CH47:CH54)</f>
        <v>0</v>
      </c>
      <c r="CI55" s="188">
        <f ca="1">SUM(CI47:CI54)</f>
        <v>0</v>
      </c>
      <c r="CJ55" s="188">
        <f ca="1">SUM(CJ47:CJ54)</f>
        <v>0</v>
      </c>
      <c r="CK55" s="151">
        <f t="shared" ca="1" si="213"/>
        <v>0</v>
      </c>
      <c r="CL55" s="188">
        <f ca="1">SUM(CL47:CL54)</f>
        <v>0</v>
      </c>
      <c r="CM55" s="188">
        <f ca="1">SUM(CM47:CM54)</f>
        <v>0</v>
      </c>
      <c r="CN55" s="188">
        <f ca="1">SUM(CN47:CN54)</f>
        <v>0</v>
      </c>
      <c r="CO55" s="188">
        <f ca="1">SUM(CO47:CO54)</f>
        <v>0</v>
      </c>
      <c r="CP55" s="188">
        <f ca="1">SUM(CP47:CP54)</f>
        <v>0</v>
      </c>
      <c r="CQ55" s="152">
        <f ca="1">IFERROR(CP55/CP$29,0)</f>
        <v>0</v>
      </c>
      <c r="CR55" s="188">
        <f ca="1">SUM(CR47:CR54)</f>
        <v>0</v>
      </c>
      <c r="CS55" s="188">
        <f ca="1">SUM(CS47:CS54)</f>
        <v>0</v>
      </c>
      <c r="CT55" s="152">
        <f ca="1">IFERROR(CS55/CS$29,0)</f>
        <v>0</v>
      </c>
      <c r="CV55" s="182"/>
      <c r="CW55" s="182"/>
      <c r="CX55" s="188">
        <f>SUM(CX47:CX54)</f>
        <v>0</v>
      </c>
      <c r="CY55" s="188">
        <f>SUM(CY47:CY54)</f>
        <v>0</v>
      </c>
      <c r="CZ55" s="151"/>
      <c r="DA55" s="151"/>
      <c r="DB55" s="151"/>
      <c r="DC55" s="188">
        <f ca="1">SUM(DC47:DC54)</f>
        <v>0</v>
      </c>
      <c r="DD55" s="188">
        <f ca="1">SUM(DD47:DD54)</f>
        <v>0</v>
      </c>
      <c r="DE55" s="188">
        <f ca="1">SUM(DE47:DE54)</f>
        <v>0</v>
      </c>
      <c r="DF55" s="151">
        <f t="shared" ca="1" si="220"/>
        <v>0</v>
      </c>
      <c r="DG55" s="188">
        <f ca="1">SUM(DG47:DG54)</f>
        <v>0</v>
      </c>
      <c r="DH55" s="188">
        <f ca="1">SUM(DH47:DH54)</f>
        <v>0</v>
      </c>
      <c r="DI55" s="188">
        <f ca="1">SUM(DI47:DI54)</f>
        <v>0</v>
      </c>
      <c r="DJ55" s="188">
        <f ca="1">SUM(DJ47:DJ54)</f>
        <v>0</v>
      </c>
      <c r="DK55" s="188">
        <f ca="1">SUM(DK47:DK54)</f>
        <v>0</v>
      </c>
      <c r="DL55" s="152">
        <f ca="1">IFERROR(DK55/DK$29,0)</f>
        <v>0</v>
      </c>
      <c r="DM55" s="188">
        <f ca="1">SUM(DM47:DM54)</f>
        <v>0</v>
      </c>
      <c r="DN55" s="188">
        <f ca="1">SUM(DN47:DN54)</f>
        <v>0</v>
      </c>
      <c r="DO55" s="152">
        <f ca="1">IFERROR(DN55/DN$29,0)</f>
        <v>0</v>
      </c>
      <c r="DQ55" s="182"/>
      <c r="DR55" s="182"/>
      <c r="DS55" s="188">
        <f>SUM(DS47:DS54)</f>
        <v>0</v>
      </c>
      <c r="DT55" s="188">
        <f>SUM(DT47:DT54)</f>
        <v>0</v>
      </c>
      <c r="DU55" s="151"/>
      <c r="DV55" s="151"/>
      <c r="DW55" s="151"/>
      <c r="DX55" s="188">
        <f ca="1">SUM(DX47:DX54)</f>
        <v>0</v>
      </c>
      <c r="DY55" s="188">
        <f ca="1">SUM(DY47:DY54)</f>
        <v>0</v>
      </c>
      <c r="DZ55" s="188">
        <f ca="1">SUM(DZ47:DZ54)</f>
        <v>0</v>
      </c>
      <c r="EA55" s="151">
        <f t="shared" ca="1" si="227"/>
        <v>0</v>
      </c>
      <c r="EB55" s="188">
        <f ca="1">SUM(EB47:EB54)</f>
        <v>0</v>
      </c>
      <c r="EC55" s="188">
        <f ca="1">SUM(EC47:EC54)</f>
        <v>0</v>
      </c>
      <c r="ED55" s="188">
        <f ca="1">SUM(ED47:ED54)</f>
        <v>0</v>
      </c>
      <c r="EE55" s="188">
        <f ca="1">SUM(EE47:EE54)</f>
        <v>0</v>
      </c>
      <c r="EF55" s="188">
        <f ca="1">SUM(EF47:EF54)</f>
        <v>0</v>
      </c>
      <c r="EG55" s="152">
        <f ca="1">IFERROR(EF55/EF$29,0)</f>
        <v>0</v>
      </c>
      <c r="EH55" s="188">
        <f ca="1">SUM(EH47:EH54)</f>
        <v>0</v>
      </c>
      <c r="EI55" s="188">
        <f ca="1">SUM(EI47:EI54)</f>
        <v>0</v>
      </c>
      <c r="EJ55" s="152">
        <f ca="1">IFERROR(EI55/EI$29,0)</f>
        <v>0</v>
      </c>
      <c r="EL55" s="188">
        <f>SUM(EL47:EL54)</f>
        <v>0</v>
      </c>
      <c r="EM55" s="188">
        <f>SUM(EM47:EM54)</f>
        <v>0</v>
      </c>
      <c r="EN55" s="151"/>
      <c r="EO55" s="151"/>
      <c r="EP55" s="151"/>
      <c r="EQ55" s="188">
        <f ca="1">SUM(EQ47:EQ54)</f>
        <v>0</v>
      </c>
      <c r="ER55" s="188">
        <f ca="1">SUM(ER47:ER54)</f>
        <v>0</v>
      </c>
      <c r="ES55" s="188">
        <f ca="1">SUM(ES47:ES54)</f>
        <v>0</v>
      </c>
      <c r="ET55" s="151">
        <f t="shared" ca="1" si="234"/>
        <v>0</v>
      </c>
      <c r="EU55" s="188">
        <f ca="1">SUM(EU47:EU54)</f>
        <v>0</v>
      </c>
      <c r="EV55" s="188">
        <f ca="1">SUM(EV47:EV54)</f>
        <v>0</v>
      </c>
      <c r="EW55" s="188">
        <f ca="1">SUM(EW47:EW54)</f>
        <v>0</v>
      </c>
      <c r="EX55" s="188">
        <f ca="1">SUM(EX47:EX54)</f>
        <v>0</v>
      </c>
      <c r="EY55" s="188">
        <f ca="1">SUM(EY47:EY54)</f>
        <v>0</v>
      </c>
      <c r="EZ55" s="152">
        <f ca="1">IFERROR(EY55/EY$29,0)</f>
        <v>0</v>
      </c>
      <c r="FA55" s="188">
        <f ca="1">SUM(FA47:FA54)</f>
        <v>0</v>
      </c>
      <c r="FB55" s="188">
        <f ca="1">SUM(FB47:FB54)</f>
        <v>0</v>
      </c>
      <c r="FC55" s="152">
        <f ca="1">IFERROR(FB55/FB$29,0)</f>
        <v>0</v>
      </c>
      <c r="FF55" s="146">
        <f t="shared" ca="1" si="180"/>
        <v>0</v>
      </c>
      <c r="FG55" s="146">
        <f t="shared" ca="1" si="181"/>
        <v>0</v>
      </c>
      <c r="FH55" s="146">
        <f t="shared" ca="1" si="182"/>
        <v>0</v>
      </c>
      <c r="FK55" s="174" t="str">
        <f t="shared" ca="1" si="183"/>
        <v>na</v>
      </c>
      <c r="FL55" s="174" t="str">
        <f t="shared" ca="1" si="183"/>
        <v>na</v>
      </c>
      <c r="FM55" s="174" t="str">
        <f t="shared" ca="1" si="184"/>
        <v>na</v>
      </c>
    </row>
    <row r="56" spans="2:169">
      <c r="BF56" s="155"/>
      <c r="BG56" s="155"/>
      <c r="CA56" s="155"/>
      <c r="CB56" s="155"/>
      <c r="CV56" s="155"/>
      <c r="CW56" s="155"/>
      <c r="DQ56" s="155"/>
      <c r="DR56" s="155"/>
    </row>
    <row r="57" spans="2:169">
      <c r="BF57" s="155"/>
      <c r="BG57" s="155"/>
      <c r="CA57" s="155"/>
      <c r="CB57" s="155"/>
      <c r="CV57" s="155"/>
      <c r="CW57" s="155"/>
      <c r="DQ57" s="155"/>
      <c r="DR57" s="155"/>
    </row>
    <row r="58" spans="2:169">
      <c r="BF58" s="155"/>
      <c r="BG58" s="155"/>
      <c r="CA58" s="155"/>
      <c r="CB58" s="155"/>
      <c r="CV58" s="155"/>
      <c r="CW58" s="155"/>
      <c r="DQ58" s="155"/>
      <c r="DR58" s="155"/>
    </row>
    <row r="59" spans="2:169">
      <c r="B59" s="176" t="s">
        <v>454</v>
      </c>
      <c r="C59" s="176"/>
      <c r="G59" s="176" t="s">
        <v>453</v>
      </c>
      <c r="H59" s="176"/>
      <c r="I59" s="192" t="s">
        <v>25</v>
      </c>
      <c r="J59" s="193" t="s">
        <v>81</v>
      </c>
      <c r="P59" s="176" t="s">
        <v>453</v>
      </c>
      <c r="R59" s="192" t="s">
        <v>26</v>
      </c>
      <c r="S59" s="193" t="s">
        <v>81</v>
      </c>
      <c r="AK59" s="176" t="s">
        <v>453</v>
      </c>
      <c r="AM59" s="192" t="s">
        <v>33</v>
      </c>
      <c r="AN59" s="193" t="s">
        <v>81</v>
      </c>
      <c r="BF59" s="176" t="s">
        <v>453</v>
      </c>
      <c r="BH59" s="192" t="s">
        <v>34</v>
      </c>
      <c r="BI59" s="193" t="s">
        <v>81</v>
      </c>
      <c r="CA59" s="176" t="s">
        <v>453</v>
      </c>
      <c r="CC59" s="192" t="s">
        <v>35</v>
      </c>
      <c r="CD59" s="193" t="s">
        <v>81</v>
      </c>
      <c r="CV59" s="176" t="s">
        <v>453</v>
      </c>
      <c r="CX59" s="192" t="s">
        <v>36</v>
      </c>
      <c r="CY59" s="193" t="s">
        <v>81</v>
      </c>
      <c r="DQ59" s="176" t="s">
        <v>453</v>
      </c>
      <c r="DS59" s="192" t="s">
        <v>37</v>
      </c>
      <c r="DT59" s="193" t="s">
        <v>81</v>
      </c>
    </row>
    <row r="60" spans="2:169">
      <c r="B60" s="149" t="s">
        <v>169</v>
      </c>
      <c r="D60" s="192" t="s">
        <v>156</v>
      </c>
      <c r="G60" s="149" t="s">
        <v>40</v>
      </c>
      <c r="H60" s="149"/>
      <c r="I60" s="194">
        <f ca="1">TODAY()</f>
        <v>43538</v>
      </c>
      <c r="J60" s="193" t="s">
        <v>80</v>
      </c>
      <c r="P60" s="149" t="s">
        <v>40</v>
      </c>
      <c r="R60" s="195">
        <f ca="1">EDATE(I60,12)</f>
        <v>43904</v>
      </c>
      <c r="S60" s="193" t="s">
        <v>80</v>
      </c>
      <c r="AK60" s="149" t="s">
        <v>40</v>
      </c>
      <c r="AM60" s="195">
        <f ca="1">EDATE(R60,12)</f>
        <v>44269</v>
      </c>
      <c r="AN60" s="193" t="s">
        <v>80</v>
      </c>
      <c r="BF60" s="149" t="s">
        <v>40</v>
      </c>
      <c r="BH60" s="195">
        <f ca="1">EDATE(AM60,12)</f>
        <v>44634</v>
      </c>
      <c r="BI60" s="193" t="s">
        <v>80</v>
      </c>
      <c r="CA60" s="149" t="s">
        <v>40</v>
      </c>
      <c r="CC60" s="195">
        <f ca="1">EDATE(BH60,12)</f>
        <v>44999</v>
      </c>
      <c r="CD60" s="193" t="s">
        <v>80</v>
      </c>
      <c r="CV60" s="149" t="s">
        <v>40</v>
      </c>
      <c r="CX60" s="195">
        <f ca="1">EDATE(CC60,12)</f>
        <v>45365</v>
      </c>
      <c r="CY60" s="193" t="s">
        <v>80</v>
      </c>
      <c r="DQ60" s="149" t="s">
        <v>40</v>
      </c>
      <c r="DS60" s="195">
        <f ca="1">EDATE(CX60,12)</f>
        <v>45730</v>
      </c>
      <c r="DT60" s="193" t="s">
        <v>80</v>
      </c>
    </row>
    <row r="61" spans="2:169">
      <c r="B61" s="149" t="s">
        <v>52</v>
      </c>
      <c r="D61" s="192" t="s">
        <v>38</v>
      </c>
      <c r="G61" s="149" t="str">
        <f>"# of Issued and Outstanding "&amp;'Cap Table'!D61&amp;"s and Options, before round"</f>
        <v># of Issued and Outstanding Shares and Options, before round</v>
      </c>
      <c r="H61" s="149"/>
      <c r="I61" s="155">
        <v>0</v>
      </c>
      <c r="J61" s="193" t="s">
        <v>79</v>
      </c>
      <c r="P61" s="149" t="str">
        <f>"# of Issued and Outstanding "&amp;'Cap Table'!$D$61&amp;"s and Options, before round"</f>
        <v># of Issued and Outstanding Shares and Options, before round</v>
      </c>
      <c r="R61" s="196">
        <f>'Cap Table'!K29</f>
        <v>0</v>
      </c>
      <c r="S61" s="193" t="s">
        <v>79</v>
      </c>
      <c r="AK61" s="149" t="str">
        <f>"# of Issued and Outstanding "&amp;'Cap Table'!$D$61&amp;"s and Options, before round"</f>
        <v># of Issued and Outstanding Shares and Options, before round</v>
      </c>
      <c r="AM61" s="196">
        <f ca="1">'Cap Table'!AE29</f>
        <v>0</v>
      </c>
      <c r="AN61" s="193" t="s">
        <v>79</v>
      </c>
      <c r="BF61" s="149" t="str">
        <f>"# of Issued and Outstanding "&amp;'Cap Table'!$D$61&amp;"s and Options, before round"</f>
        <v># of Issued and Outstanding Shares and Options, before round</v>
      </c>
      <c r="BH61" s="196">
        <f ca="1">'Cap Table'!AZ29</f>
        <v>0</v>
      </c>
      <c r="BI61" s="193" t="s">
        <v>79</v>
      </c>
      <c r="CA61" s="149" t="str">
        <f>"# of Issued and Outstanding "&amp;'Cap Table'!$D$61&amp;"s and Options, before round"</f>
        <v># of Issued and Outstanding Shares and Options, before round</v>
      </c>
      <c r="CC61" s="196">
        <f ca="1">'Cap Table'!BU29</f>
        <v>0</v>
      </c>
      <c r="CD61" s="193" t="s">
        <v>79</v>
      </c>
      <c r="CV61" s="149" t="str">
        <f>"# of Issued and Outstanding "&amp;'Cap Table'!$D$61&amp;"s and Options, before round"</f>
        <v># of Issued and Outstanding Shares and Options, before round</v>
      </c>
      <c r="CX61" s="196">
        <f ca="1">'Cap Table'!CP29</f>
        <v>0</v>
      </c>
      <c r="CY61" s="193" t="s">
        <v>79</v>
      </c>
      <c r="DQ61" s="149" t="str">
        <f>"# of Issued and Outstanding "&amp;'Cap Table'!$D$61&amp;"s and Options, before round"</f>
        <v># of Issued and Outstanding Shares and Options, before round</v>
      </c>
      <c r="DS61" s="196">
        <f ca="1">'Cap Table'!DK29</f>
        <v>0</v>
      </c>
      <c r="DT61" s="193" t="s">
        <v>79</v>
      </c>
    </row>
    <row r="62" spans="2:169">
      <c r="B62" s="133" t="s">
        <v>423</v>
      </c>
      <c r="C62" s="132"/>
      <c r="D62" s="135" t="s">
        <v>422</v>
      </c>
      <c r="E62" s="131" t="s">
        <v>601</v>
      </c>
      <c r="F62" s="134"/>
      <c r="G62" s="149" t="s">
        <v>455</v>
      </c>
      <c r="H62" s="149"/>
      <c r="I62" s="155">
        <v>0</v>
      </c>
      <c r="J62" s="193" t="s">
        <v>83</v>
      </c>
      <c r="P62" s="149" t="s">
        <v>455</v>
      </c>
      <c r="R62" s="149">
        <f>IFERROR(R74/R61,0)</f>
        <v>0</v>
      </c>
      <c r="S62" s="193" t="s">
        <v>83</v>
      </c>
      <c r="AK62" s="149" t="s">
        <v>455</v>
      </c>
      <c r="AM62" s="149">
        <f ca="1">IFERROR(AM74/AM61,0)</f>
        <v>0</v>
      </c>
      <c r="AN62" s="193" t="s">
        <v>83</v>
      </c>
      <c r="BF62" s="149" t="s">
        <v>455</v>
      </c>
      <c r="BH62" s="149">
        <f ca="1">IFERROR(BH74/BH61,0)</f>
        <v>0</v>
      </c>
      <c r="BI62" s="193" t="s">
        <v>83</v>
      </c>
      <c r="CA62" s="149" t="s">
        <v>455</v>
      </c>
      <c r="CC62" s="149">
        <f ca="1">IFERROR(CC74/CC61,0)</f>
        <v>0</v>
      </c>
      <c r="CD62" s="193" t="s">
        <v>83</v>
      </c>
      <c r="CV62" s="149" t="s">
        <v>455</v>
      </c>
      <c r="CX62" s="149">
        <f ca="1">IFERROR(CX74/CX61,0)</f>
        <v>0</v>
      </c>
      <c r="CY62" s="193" t="s">
        <v>83</v>
      </c>
      <c r="DQ62" s="149" t="s">
        <v>455</v>
      </c>
      <c r="DS62" s="149">
        <f ca="1">IFERROR(DS74/DS61,0)</f>
        <v>0</v>
      </c>
      <c r="DT62" s="193" t="s">
        <v>83</v>
      </c>
    </row>
    <row r="63" spans="2:169">
      <c r="G63" s="149"/>
      <c r="H63" s="149"/>
      <c r="J63" s="193"/>
      <c r="P63" s="149"/>
      <c r="S63" s="193"/>
      <c r="AK63" s="149"/>
      <c r="AN63" s="193"/>
      <c r="BI63" s="193"/>
      <c r="CD63" s="193"/>
      <c r="CY63" s="193"/>
      <c r="DT63" s="193"/>
    </row>
    <row r="64" spans="2:169">
      <c r="C64" s="189"/>
      <c r="D64" s="189"/>
      <c r="G64" s="189" t="s">
        <v>456</v>
      </c>
      <c r="H64" s="189"/>
      <c r="J64" s="193"/>
      <c r="P64" s="189" t="s">
        <v>456</v>
      </c>
      <c r="S64" s="193"/>
      <c r="AK64" s="189" t="s">
        <v>456</v>
      </c>
      <c r="AN64" s="193"/>
      <c r="BF64" s="189" t="s">
        <v>456</v>
      </c>
      <c r="BI64" s="193"/>
      <c r="CA64" s="189" t="s">
        <v>456</v>
      </c>
      <c r="CD64" s="193"/>
      <c r="CV64" s="189" t="s">
        <v>456</v>
      </c>
      <c r="CY64" s="193"/>
      <c r="DQ64" s="189" t="s">
        <v>456</v>
      </c>
      <c r="DT64" s="193"/>
    </row>
    <row r="65" spans="7:124">
      <c r="G65" s="149" t="str">
        <f>'Cap Table'!$D$60&amp;" Total Invested"</f>
        <v>$ Total Invested</v>
      </c>
      <c r="H65" s="149"/>
      <c r="I65" s="187" t="s">
        <v>27</v>
      </c>
      <c r="J65" s="193" t="s">
        <v>87</v>
      </c>
      <c r="P65" s="149" t="str">
        <f>'Cap Table'!$D$60&amp;" Total Invested"</f>
        <v>$ Total Invested</v>
      </c>
      <c r="R65" s="146">
        <f>'Cap Table'!R29</f>
        <v>0</v>
      </c>
      <c r="S65" s="193" t="s">
        <v>87</v>
      </c>
      <c r="AK65" s="149" t="str">
        <f>'Cap Table'!$D$60&amp;" Total Invested"</f>
        <v>$ Total Invested</v>
      </c>
      <c r="AM65" s="146">
        <f>'Cap Table'!AM29</f>
        <v>0</v>
      </c>
      <c r="AN65" s="193" t="s">
        <v>87</v>
      </c>
      <c r="BF65" s="149" t="str">
        <f>'Cap Table'!$D$60&amp;" Total Invested"</f>
        <v>$ Total Invested</v>
      </c>
      <c r="BH65" s="146">
        <f>'Cap Table'!BH29</f>
        <v>0</v>
      </c>
      <c r="BI65" s="193" t="s">
        <v>87</v>
      </c>
      <c r="CA65" s="149" t="str">
        <f>'Cap Table'!$D$60&amp;" Total Invested"</f>
        <v>$ Total Invested</v>
      </c>
      <c r="CC65" s="146">
        <f>'Cap Table'!CC29</f>
        <v>0</v>
      </c>
      <c r="CD65" s="193" t="s">
        <v>87</v>
      </c>
      <c r="CV65" s="149" t="str">
        <f>'Cap Table'!$D$60&amp;" Total Invested"</f>
        <v>$ Total Invested</v>
      </c>
      <c r="CX65" s="146">
        <f>'Cap Table'!CX29</f>
        <v>0</v>
      </c>
      <c r="CY65" s="193" t="s">
        <v>87</v>
      </c>
      <c r="DQ65" s="149" t="str">
        <f>'Cap Table'!$D$60&amp;" Total Invested"</f>
        <v>$ Total Invested</v>
      </c>
      <c r="DS65" s="146">
        <f>'Cap Table'!DS29</f>
        <v>0</v>
      </c>
      <c r="DT65" s="193" t="s">
        <v>87</v>
      </c>
    </row>
    <row r="66" spans="7:124">
      <c r="G66" s="149" t="str">
        <f>'Cap Table'!$D$60&amp;" Total Converted"</f>
        <v>$ Total Converted</v>
      </c>
      <c r="H66" s="149"/>
      <c r="I66" s="187" t="s">
        <v>27</v>
      </c>
      <c r="J66" s="193" t="s">
        <v>457</v>
      </c>
      <c r="P66" s="149" t="str">
        <f>'Cap Table'!$D$60&amp;" Total Converted"</f>
        <v>$ Total Converted</v>
      </c>
      <c r="R66" s="146">
        <f ca="1">R67-'Cap Table'!S29</f>
        <v>0</v>
      </c>
      <c r="S66" s="193" t="s">
        <v>457</v>
      </c>
      <c r="AK66" s="149" t="str">
        <f>'Cap Table'!$D$60&amp;" Total Converted"</f>
        <v>$ Total Converted</v>
      </c>
      <c r="AM66" s="146">
        <f ca="1">AM67-'Cap Table'!AN29</f>
        <v>0</v>
      </c>
      <c r="AN66" s="193" t="s">
        <v>457</v>
      </c>
      <c r="BF66" s="149" t="str">
        <f>'Cap Table'!$D$60&amp;" Total Converted"</f>
        <v>$ Total Converted</v>
      </c>
      <c r="BH66" s="146">
        <f ca="1">BH67-'Cap Table'!BM29</f>
        <v>0</v>
      </c>
      <c r="BI66" s="193" t="s">
        <v>457</v>
      </c>
      <c r="CA66" s="149" t="str">
        <f>'Cap Table'!$D$60&amp;" Total Converted"</f>
        <v>$ Total Converted</v>
      </c>
      <c r="CC66" s="146">
        <f ca="1">CC67-'Cap Table'!CD29</f>
        <v>0</v>
      </c>
      <c r="CD66" s="193" t="s">
        <v>457</v>
      </c>
      <c r="CV66" s="149" t="str">
        <f>'Cap Table'!$D$60&amp;" Total Converted"</f>
        <v>$ Total Converted</v>
      </c>
      <c r="CX66" s="146">
        <f ca="1">CX67-'Cap Table'!CY29</f>
        <v>0</v>
      </c>
      <c r="CY66" s="193" t="s">
        <v>457</v>
      </c>
      <c r="DQ66" s="149" t="str">
        <f>'Cap Table'!$D$60&amp;" Total Converted"</f>
        <v>$ Total Converted</v>
      </c>
      <c r="DS66" s="146">
        <f ca="1">DS67-'Cap Table'!DT29</f>
        <v>0</v>
      </c>
      <c r="DT66" s="193" t="s">
        <v>457</v>
      </c>
    </row>
    <row r="67" spans="7:124">
      <c r="G67" s="149" t="str">
        <f>'Cap Table'!$D$60&amp;" Total Invested and Converted"</f>
        <v>$ Total Invested and Converted</v>
      </c>
      <c r="H67" s="149"/>
      <c r="I67" s="187" t="s">
        <v>27</v>
      </c>
      <c r="J67" s="193" t="s">
        <v>458</v>
      </c>
      <c r="P67" s="149" t="str">
        <f>'Cap Table'!$D$60&amp;" Total Invested and Converted"</f>
        <v>$ Total Invested and Converted</v>
      </c>
      <c r="R67" s="146">
        <f ca="1">'Cap Table'!W29</f>
        <v>0</v>
      </c>
      <c r="S67" s="193" t="s">
        <v>458</v>
      </c>
      <c r="AK67" s="149" t="str">
        <f>'Cap Table'!$D$60&amp;" Total Invested and Converted"</f>
        <v>$ Total Invested and Converted</v>
      </c>
      <c r="AM67" s="146">
        <f ca="1">'Cap Table'!AR29</f>
        <v>0</v>
      </c>
      <c r="AN67" s="193" t="s">
        <v>458</v>
      </c>
      <c r="BF67" s="149" t="str">
        <f>'Cap Table'!$D$60&amp;" Total Invested and Converted"</f>
        <v>$ Total Invested and Converted</v>
      </c>
      <c r="BH67" s="146">
        <f ca="1">'Cap Table'!BM29</f>
        <v>0</v>
      </c>
      <c r="BI67" s="193" t="s">
        <v>458</v>
      </c>
      <c r="CA67" s="149" t="str">
        <f>'Cap Table'!$D$60&amp;" Total Invested and Converted"</f>
        <v>$ Total Invested and Converted</v>
      </c>
      <c r="CC67" s="146">
        <f ca="1">'Cap Table'!CH29</f>
        <v>0</v>
      </c>
      <c r="CD67" s="193" t="s">
        <v>458</v>
      </c>
      <c r="CV67" s="149" t="str">
        <f>'Cap Table'!$D$60&amp;" Total Invested and Converted"</f>
        <v>$ Total Invested and Converted</v>
      </c>
      <c r="CX67" s="146">
        <f ca="1">'Cap Table'!DC29</f>
        <v>0</v>
      </c>
      <c r="CY67" s="193" t="s">
        <v>458</v>
      </c>
      <c r="DQ67" s="149" t="str">
        <f>'Cap Table'!$D$60&amp;" Total Invested and Converted"</f>
        <v>$ Total Invested and Converted</v>
      </c>
      <c r="DS67" s="146">
        <f ca="1">'Cap Table'!DX29</f>
        <v>0</v>
      </c>
      <c r="DT67" s="193" t="s">
        <v>458</v>
      </c>
    </row>
    <row r="68" spans="7:124">
      <c r="G68" s="149" t="str">
        <f>'Cap Table'!$D$60&amp;" Value of Converted, after adjusted share price for conversion"</f>
        <v>$ Value of Converted, after adjusted share price for conversion</v>
      </c>
      <c r="H68" s="149"/>
      <c r="I68" s="187" t="s">
        <v>27</v>
      </c>
      <c r="J68" s="193" t="s">
        <v>146</v>
      </c>
      <c r="P68" s="149" t="str">
        <f>'Cap Table'!$D$60&amp;" Value of Converted, after adjusted share price for conversion"</f>
        <v>$ Value of Converted, after adjusted share price for conversion</v>
      </c>
      <c r="R68" s="146">
        <f ca="1">'Cap Table'!X29</f>
        <v>0</v>
      </c>
      <c r="S68" s="193" t="s">
        <v>146</v>
      </c>
      <c r="AK68" s="149" t="str">
        <f>'Cap Table'!$D$60&amp;" Value of Converted, after adjusted share price for conversion"</f>
        <v>$ Value of Converted, after adjusted share price for conversion</v>
      </c>
      <c r="AM68" s="146">
        <f ca="1">'Cap Table'!AS29</f>
        <v>0</v>
      </c>
      <c r="AN68" s="193" t="s">
        <v>146</v>
      </c>
      <c r="BF68" s="149" t="str">
        <f>'Cap Table'!$D$60&amp;" Value of Converted, after adjusted share price for conversion"</f>
        <v>$ Value of Converted, after adjusted share price for conversion</v>
      </c>
      <c r="BH68" s="146">
        <f ca="1">'Cap Table'!BN29</f>
        <v>0</v>
      </c>
      <c r="BI68" s="193" t="s">
        <v>146</v>
      </c>
      <c r="CA68" s="149" t="str">
        <f>'Cap Table'!$D$60&amp;" Value of Converted, after adjusted share price for conversion"</f>
        <v>$ Value of Converted, after adjusted share price for conversion</v>
      </c>
      <c r="CC68" s="146">
        <f ca="1">'Cap Table'!CI29</f>
        <v>0</v>
      </c>
      <c r="CD68" s="193" t="s">
        <v>146</v>
      </c>
      <c r="CV68" s="149" t="str">
        <f>'Cap Table'!$D$60&amp;" Value of Converted, after adjusted share price for conversion"</f>
        <v>$ Value of Converted, after adjusted share price for conversion</v>
      </c>
      <c r="CX68" s="146">
        <f ca="1">'Cap Table'!DD29</f>
        <v>0</v>
      </c>
      <c r="CY68" s="193" t="s">
        <v>146</v>
      </c>
      <c r="DQ68" s="149" t="str">
        <f>'Cap Table'!$D$60&amp;" Value of Converted, after adjusted share price for conversion"</f>
        <v>$ Value of Converted, after adjusted share price for conversion</v>
      </c>
      <c r="DS68" s="146">
        <f ca="1">'Cap Table'!DY29</f>
        <v>0</v>
      </c>
      <c r="DT68" s="193" t="s">
        <v>146</v>
      </c>
    </row>
    <row r="69" spans="7:124">
      <c r="G69" s="149" t="str">
        <f>'Cap Table'!$D$60&amp;" Value of Options Created"</f>
        <v>$ Value of Options Created</v>
      </c>
      <c r="H69" s="149"/>
      <c r="I69" s="187" t="s">
        <v>27</v>
      </c>
      <c r="J69" s="193" t="s">
        <v>151</v>
      </c>
      <c r="P69" s="149" t="str">
        <f>'Cap Table'!$D$60&amp;" Value of Options Created"</f>
        <v>$ Value of Options Created</v>
      </c>
      <c r="R69" s="146">
        <f ca="1">(R85+R86)*R62</f>
        <v>0</v>
      </c>
      <c r="S69" s="193" t="s">
        <v>151</v>
      </c>
      <c r="AK69" s="149" t="str">
        <f>'Cap Table'!$D$60&amp;" Value of Options Created"</f>
        <v>$ Value of Options Created</v>
      </c>
      <c r="AM69" s="146">
        <f ca="1">(AM85+AM86)*AM62</f>
        <v>0</v>
      </c>
      <c r="AN69" s="193" t="s">
        <v>151</v>
      </c>
      <c r="BF69" s="149" t="str">
        <f>'Cap Table'!$D$60&amp;" Value of Options Created"</f>
        <v>$ Value of Options Created</v>
      </c>
      <c r="BH69" s="146">
        <f ca="1">(BH85+BH86)*BH62</f>
        <v>0</v>
      </c>
      <c r="BI69" s="193" t="s">
        <v>151</v>
      </c>
      <c r="CA69" s="149" t="str">
        <f>'Cap Table'!$D$60&amp;" Value of Options Created"</f>
        <v>$ Value of Options Created</v>
      </c>
      <c r="CC69" s="146">
        <f ca="1">(CC85+CC86)*CC62</f>
        <v>0</v>
      </c>
      <c r="CD69" s="193" t="s">
        <v>151</v>
      </c>
      <c r="CV69" s="149" t="str">
        <f>'Cap Table'!$D$60&amp;" Value of Options Created"</f>
        <v>$ Value of Options Created</v>
      </c>
      <c r="CX69" s="146">
        <f ca="1">(CX85+CX86)*CX62</f>
        <v>0</v>
      </c>
      <c r="CY69" s="193" t="s">
        <v>151</v>
      </c>
      <c r="DQ69" s="149" t="str">
        <f>'Cap Table'!$D$60&amp;" Value of Options Created"</f>
        <v>$ Value of Options Created</v>
      </c>
      <c r="DS69" s="146">
        <f ca="1">(DS85+DS86)*DS62</f>
        <v>0</v>
      </c>
      <c r="DT69" s="193" t="s">
        <v>151</v>
      </c>
    </row>
    <row r="70" spans="7:124">
      <c r="G70" s="149"/>
      <c r="H70" s="149"/>
      <c r="J70" s="193"/>
      <c r="P70" s="149"/>
      <c r="R70" s="146"/>
      <c r="S70" s="193"/>
      <c r="AK70" s="149"/>
      <c r="AM70" s="146"/>
      <c r="AN70" s="193"/>
      <c r="BH70" s="146"/>
      <c r="BI70" s="193"/>
      <c r="CC70" s="146"/>
      <c r="CD70" s="193"/>
      <c r="CX70" s="146"/>
      <c r="CY70" s="193"/>
      <c r="DS70" s="146"/>
      <c r="DT70" s="193"/>
    </row>
    <row r="71" spans="7:124">
      <c r="G71" s="189" t="s">
        <v>459</v>
      </c>
      <c r="H71" s="189"/>
      <c r="J71" s="193"/>
      <c r="P71" s="189" t="s">
        <v>459</v>
      </c>
      <c r="R71" s="146"/>
      <c r="S71" s="193"/>
      <c r="AK71" s="189" t="s">
        <v>459</v>
      </c>
      <c r="AM71" s="146"/>
      <c r="AN71" s="193"/>
      <c r="BF71" s="189" t="s">
        <v>459</v>
      </c>
      <c r="BH71" s="146"/>
      <c r="BI71" s="193"/>
      <c r="CA71" s="189" t="s">
        <v>459</v>
      </c>
      <c r="CC71" s="146"/>
      <c r="CD71" s="193"/>
      <c r="CV71" s="189" t="s">
        <v>459</v>
      </c>
      <c r="CX71" s="146"/>
      <c r="CY71" s="193"/>
      <c r="DQ71" s="189" t="s">
        <v>459</v>
      </c>
      <c r="DS71" s="146"/>
      <c r="DT71" s="193"/>
    </row>
    <row r="72" spans="7:124">
      <c r="G72" s="149" t="str">
        <f>'Cap Table'!$D$60&amp;" Premoney Valuation"</f>
        <v>$ Premoney Valuation</v>
      </c>
      <c r="H72" s="149"/>
      <c r="I72" s="187" t="s">
        <v>27</v>
      </c>
      <c r="J72" s="193" t="s">
        <v>460</v>
      </c>
      <c r="P72" s="149" t="str">
        <f>'Cap Table'!$D$60&amp;" Premoney Valuation"</f>
        <v>$ Premoney Valuation</v>
      </c>
      <c r="R72" s="197">
        <v>0</v>
      </c>
      <c r="S72" s="193" t="s">
        <v>460</v>
      </c>
      <c r="AK72" s="149" t="str">
        <f>'Cap Table'!$D$60&amp;" Premoney Valuation"</f>
        <v>$ Premoney Valuation</v>
      </c>
      <c r="AM72" s="197">
        <v>0</v>
      </c>
      <c r="AN72" s="193" t="s">
        <v>460</v>
      </c>
      <c r="BF72" s="149" t="str">
        <f>'Cap Table'!$D$60&amp;" Premoney Valuation"</f>
        <v>$ Premoney Valuation</v>
      </c>
      <c r="BH72" s="197">
        <v>0</v>
      </c>
      <c r="BI72" s="193" t="s">
        <v>460</v>
      </c>
      <c r="CA72" s="149" t="str">
        <f>'Cap Table'!$D$60&amp;" Premoney Valuation"</f>
        <v>$ Premoney Valuation</v>
      </c>
      <c r="CC72" s="197">
        <f>CC65*5</f>
        <v>0</v>
      </c>
      <c r="CD72" s="193" t="s">
        <v>460</v>
      </c>
      <c r="CV72" s="149" t="str">
        <f>'Cap Table'!$D$60&amp;" Premoney Valuation"</f>
        <v>$ Premoney Valuation</v>
      </c>
      <c r="CX72" s="197">
        <f>CX65*5</f>
        <v>0</v>
      </c>
      <c r="CY72" s="193" t="s">
        <v>460</v>
      </c>
      <c r="DQ72" s="149" t="str">
        <f>'Cap Table'!$D$60&amp;" Premoney Valuation"</f>
        <v>$ Premoney Valuation</v>
      </c>
      <c r="DS72" s="197">
        <f>DS65*5</f>
        <v>0</v>
      </c>
      <c r="DT72" s="193" t="s">
        <v>460</v>
      </c>
    </row>
    <row r="73" spans="7:124">
      <c r="G73" s="149" t="str">
        <f>'Cap Table'!$D$60&amp;" Postmoney Valuation"</f>
        <v>$ Postmoney Valuation</v>
      </c>
      <c r="H73" s="149"/>
      <c r="I73" s="187" t="s">
        <v>27</v>
      </c>
      <c r="J73" s="193" t="s">
        <v>461</v>
      </c>
      <c r="P73" s="149" t="str">
        <f>'Cap Table'!$D$60&amp;" Postmoney Valuation"</f>
        <v>$ Postmoney Valuation</v>
      </c>
      <c r="R73" s="197">
        <f ca="1">R72+SUMPRODUCT('Cap Table'!AL6:AL28,--('Cap Table'!AK6:AK28='Cap Table'!$B39))</f>
        <v>0</v>
      </c>
      <c r="S73" s="193" t="s">
        <v>461</v>
      </c>
      <c r="AK73" s="149" t="str">
        <f>'Cap Table'!$D$60&amp;" Postmoney Valuation"</f>
        <v>$ Postmoney Valuation</v>
      </c>
      <c r="AM73" s="198">
        <f>AM72+SUMPRODUCT('Cap Table'!AM6:AM28,--('Cap Table'!AL6:AL28='Cap Table'!$B39))</f>
        <v>0</v>
      </c>
      <c r="AN73" s="193" t="s">
        <v>461</v>
      </c>
      <c r="BF73" s="149" t="str">
        <f>'Cap Table'!$D$60&amp;" Postmoney Valuation"</f>
        <v>$ Postmoney Valuation</v>
      </c>
      <c r="BH73" s="198">
        <f>BH72+SUMPRODUCT('Cap Table'!BH6:BH28,--('Cap Table'!BG6:BG28='Cap Table'!$B39))</f>
        <v>0</v>
      </c>
      <c r="BI73" s="193" t="s">
        <v>461</v>
      </c>
      <c r="CA73" s="149" t="str">
        <f>'Cap Table'!$D$60&amp;" Postmoney Valuation"</f>
        <v>$ Postmoney Valuation</v>
      </c>
      <c r="CC73" s="198">
        <f>CC72+SUMPRODUCT('Cap Table'!CC6:CC28,--('Cap Table'!CB6:CB28='Cap Table'!$B39))</f>
        <v>0</v>
      </c>
      <c r="CD73" s="193" t="s">
        <v>461</v>
      </c>
      <c r="CV73" s="149" t="str">
        <f>'Cap Table'!$D$60&amp;" Postmoney Valuation"</f>
        <v>$ Postmoney Valuation</v>
      </c>
      <c r="CX73" s="198">
        <f>CX72+SUMPRODUCT('Cap Table'!CX6:CX28,--('Cap Table'!CW6:CW28='Cap Table'!$B39))</f>
        <v>0</v>
      </c>
      <c r="CY73" s="193" t="s">
        <v>461</v>
      </c>
      <c r="DQ73" s="149" t="str">
        <f>'Cap Table'!$D$60&amp;" Postmoney Valuation"</f>
        <v>$ Postmoney Valuation</v>
      </c>
      <c r="DS73" s="198">
        <f>DS72+SUMPRODUCT('Cap Table'!DS6:DS28,--('Cap Table'!DR6:DR28='Cap Table'!$B39))</f>
        <v>0</v>
      </c>
      <c r="DT73" s="193" t="s">
        <v>461</v>
      </c>
    </row>
    <row r="74" spans="7:124">
      <c r="G74" s="149" t="str">
        <f>'Cap Table'!$D$60&amp;" Effective Premoney Valuation"</f>
        <v>$ Effective Premoney Valuation</v>
      </c>
      <c r="H74" s="149"/>
      <c r="I74" s="187" t="s">
        <v>27</v>
      </c>
      <c r="J74" s="193" t="s">
        <v>462</v>
      </c>
      <c r="P74" s="149" t="str">
        <f>'Cap Table'!$D$60&amp;" Effective Premoney Valuation"</f>
        <v>$ Effective Premoney Valuation</v>
      </c>
      <c r="R74" s="146">
        <f>IF(R79="premoney",R72-R73*R83,IF(R79="dollars invested",R72+R67-R68-R73*R83,IF(R79="percentage ownership",R73-R65-R68-R73*R83,R72)))</f>
        <v>0</v>
      </c>
      <c r="S74" s="193" t="s">
        <v>462</v>
      </c>
      <c r="AK74" s="149" t="str">
        <f>'Cap Table'!$D$60&amp;" Effective Premoney Valuation"</f>
        <v>$ Effective Premoney Valuation</v>
      </c>
      <c r="AM74" s="146">
        <f>IF(AM79="premoney",AM72-AM73*AM83,IF(AM79="dollars invested",AM72+AM67-AM68-AM73*AM83,IF(AM79="percentage ownership",AM73-AM65-AM68-AM73*AM83,AM72)))</f>
        <v>0</v>
      </c>
      <c r="AN74" s="193" t="s">
        <v>462</v>
      </c>
      <c r="BF74" s="149" t="str">
        <f>'Cap Table'!$D$60&amp;" Effective Premoney Valuation"</f>
        <v>$ Effective Premoney Valuation</v>
      </c>
      <c r="BH74" s="146">
        <f>IF(BH79="premoney",BH72-BH73*BH83,IF(BH79="dollars invested",BH72+BH67-BH68-BH73*BH83,IF(BH79="percentage ownership",BH73-BH65-BH68-BH73*BH83,BH72)))</f>
        <v>0</v>
      </c>
      <c r="BI74" s="193" t="s">
        <v>462</v>
      </c>
      <c r="CA74" s="149" t="str">
        <f>'Cap Table'!$D$60&amp;" Effective Premoney Valuation"</f>
        <v>$ Effective Premoney Valuation</v>
      </c>
      <c r="CC74" s="146">
        <f>IF(CC79="premoney",CC72-CC73*CC83,IF(CC79="dollars invested",CC72+CC67-CC68-CC73*CC83,IF(CC79="percentage ownership",CC73-CC65-CC68-CC73*CC83,CC72)))</f>
        <v>0</v>
      </c>
      <c r="CD74" s="193" t="s">
        <v>462</v>
      </c>
      <c r="CV74" s="149" t="str">
        <f>'Cap Table'!$D$60&amp;" Effective Premoney Valuation"</f>
        <v>$ Effective Premoney Valuation</v>
      </c>
      <c r="CX74" s="146">
        <f>IF(CX79="premoney",CX72-CX73*CX83,IF(CX79="dollars invested",CX72+CX67-CX68-CX73*CX83,IF(CX79="percentage ownership",CX73-CX65-CX68-CX73*CX83,CX72)))</f>
        <v>0</v>
      </c>
      <c r="CY74" s="193" t="s">
        <v>462</v>
      </c>
      <c r="DQ74" s="149" t="str">
        <f>'Cap Table'!$D$60&amp;" Effective Premoney Valuation"</f>
        <v>$ Effective Premoney Valuation</v>
      </c>
      <c r="DS74" s="146">
        <f>IF(DS79="premoney",DS72-DS73*DS83,IF(DS79="dollars invested",DS72+DS67-DS68-DS73*DS83,IF(DS79="percentage ownership",DS73-DS65-DS68-DS73*DS83,DS72)))</f>
        <v>0</v>
      </c>
      <c r="DT74" s="193" t="s">
        <v>462</v>
      </c>
    </row>
    <row r="75" spans="7:124">
      <c r="G75" s="149" t="str">
        <f>'Cap Table'!$D$60&amp;" Effective Postmoney Valuation"</f>
        <v>$ Effective Postmoney Valuation</v>
      </c>
      <c r="H75" s="149"/>
      <c r="I75" s="187" t="s">
        <v>27</v>
      </c>
      <c r="J75" s="193" t="s">
        <v>463</v>
      </c>
      <c r="P75" s="149" t="str">
        <f>'Cap Table'!$D$60&amp;" Effective Postmoney Valuation"</f>
        <v>$ Effective Postmoney Valuation</v>
      </c>
      <c r="R75" s="146">
        <f ca="1">R74+SUMPRODUCT('Cap Table'!R6:R28,--('Cap Table'!Q6:Q28='Cap Table'!$B39))+R68+R69</f>
        <v>0</v>
      </c>
      <c r="S75" s="193" t="s">
        <v>463</v>
      </c>
      <c r="AK75" s="149" t="str">
        <f>'Cap Table'!$D$60&amp;" Effective Postmoney Valuation"</f>
        <v>$ Effective Postmoney Valuation</v>
      </c>
      <c r="AM75" s="146">
        <f ca="1">AM74+SUMPRODUCT('Cap Table'!AM6:AM28,--('Cap Table'!AL6:AL28='Cap Table'!$B39))+AM68+AM69</f>
        <v>0</v>
      </c>
      <c r="AN75" s="193" t="s">
        <v>463</v>
      </c>
      <c r="BF75" s="149" t="str">
        <f>'Cap Table'!$D$60&amp;" Effective Postmoney Valuation"</f>
        <v>$ Effective Postmoney Valuation</v>
      </c>
      <c r="BH75" s="146">
        <f ca="1">BH74+SUMPRODUCT('Cap Table'!BH6:BH28,--('Cap Table'!BG6:BG28='Cap Table'!$B39))+BH68+BH69</f>
        <v>0</v>
      </c>
      <c r="BI75" s="193" t="s">
        <v>463</v>
      </c>
      <c r="CA75" s="149" t="str">
        <f>'Cap Table'!$D$60&amp;" Effective Postmoney Valuation"</f>
        <v>$ Effective Postmoney Valuation</v>
      </c>
      <c r="CC75" s="146">
        <f ca="1">CC74+SUMPRODUCT('Cap Table'!CC6:CC28,--('Cap Table'!CB6:CB28='Cap Table'!$B39))+CC68+CC69</f>
        <v>0</v>
      </c>
      <c r="CD75" s="193" t="s">
        <v>463</v>
      </c>
      <c r="CV75" s="149" t="str">
        <f>'Cap Table'!$D$60&amp;" Effective Postmoney Valuation"</f>
        <v>$ Effective Postmoney Valuation</v>
      </c>
      <c r="CX75" s="146">
        <f ca="1">CX74+SUMPRODUCT('Cap Table'!CX6:CX28,--('Cap Table'!CW6:CW28='Cap Table'!$B39))+CX68+CX69</f>
        <v>0</v>
      </c>
      <c r="CY75" s="193" t="s">
        <v>463</v>
      </c>
      <c r="DQ75" s="149" t="str">
        <f>'Cap Table'!$D$60&amp;" Effective Postmoney Valuation"</f>
        <v>$ Effective Postmoney Valuation</v>
      </c>
      <c r="DS75" s="146">
        <f ca="1">DS74+SUMPRODUCT('Cap Table'!DS6:DS28,--('Cap Table'!DR6:DR28='Cap Table'!$B39))+DS68+DS69</f>
        <v>0</v>
      </c>
      <c r="DT75" s="193" t="s">
        <v>463</v>
      </c>
    </row>
    <row r="76" spans="7:124">
      <c r="G76" s="149" t="str">
        <f>'Cap Table'!$D$60&amp;" Blended Price per "&amp;'Cap Table'!$D$61&amp;" in Round"</f>
        <v>$ Blended Price per Share in Round</v>
      </c>
      <c r="H76" s="149"/>
      <c r="I76" s="187" t="s">
        <v>27</v>
      </c>
      <c r="J76" s="193" t="s">
        <v>464</v>
      </c>
      <c r="P76" s="149" t="str">
        <f>'Cap Table'!$D$60&amp;" Blended Price per "&amp;'Cap Table'!$D$61&amp;" in Round"</f>
        <v>$ Blended Price per Share in Round</v>
      </c>
      <c r="R76" s="199">
        <f ca="1">'Cap Table'!Z29</f>
        <v>0</v>
      </c>
      <c r="S76" s="193" t="s">
        <v>464</v>
      </c>
      <c r="AK76" s="149" t="str">
        <f>'Cap Table'!$D$60&amp;" Blended Price per "&amp;'Cap Table'!$D$61&amp;" in Round"</f>
        <v>$ Blended Price per Share in Round</v>
      </c>
      <c r="AM76" s="199">
        <f ca="1">'Cap Table'!AU29</f>
        <v>0</v>
      </c>
      <c r="AN76" s="193" t="s">
        <v>464</v>
      </c>
      <c r="BF76" s="149" t="str">
        <f>'Cap Table'!$D$60&amp;" Blended Price per "&amp;'Cap Table'!$D$61&amp;" in Round"</f>
        <v>$ Blended Price per Share in Round</v>
      </c>
      <c r="BH76" s="199">
        <f ca="1">'Cap Table'!BP29</f>
        <v>0</v>
      </c>
      <c r="BI76" s="193" t="s">
        <v>464</v>
      </c>
      <c r="CA76" s="149" t="str">
        <f>'Cap Table'!$D$60&amp;" Blended Price per "&amp;'Cap Table'!$D$61&amp;" in Round"</f>
        <v>$ Blended Price per Share in Round</v>
      </c>
      <c r="CC76" s="199">
        <f ca="1">'Cap Table'!CK29</f>
        <v>0</v>
      </c>
      <c r="CD76" s="193" t="s">
        <v>464</v>
      </c>
      <c r="CV76" s="149" t="str">
        <f>'Cap Table'!$D$60&amp;" Blended Price per "&amp;'Cap Table'!$D$61&amp;" in Round"</f>
        <v>$ Blended Price per Share in Round</v>
      </c>
      <c r="CX76" s="199">
        <f ca="1">'Cap Table'!DF29</f>
        <v>0</v>
      </c>
      <c r="CY76" s="193" t="s">
        <v>464</v>
      </c>
      <c r="DQ76" s="149" t="str">
        <f>'Cap Table'!$D$60&amp;" Blended Price per "&amp;'Cap Table'!$D$61&amp;" in Round"</f>
        <v>$ Blended Price per Share in Round</v>
      </c>
      <c r="DS76" s="199">
        <f ca="1">'Cap Table'!EA29</f>
        <v>0</v>
      </c>
      <c r="DT76" s="193" t="s">
        <v>464</v>
      </c>
    </row>
    <row r="77" spans="7:124">
      <c r="G77" s="149"/>
      <c r="H77" s="149"/>
      <c r="J77" s="193"/>
      <c r="P77" s="149"/>
      <c r="S77" s="193"/>
      <c r="AK77" s="149"/>
      <c r="AN77" s="193"/>
      <c r="BI77" s="193"/>
      <c r="CD77" s="193"/>
      <c r="CY77" s="193"/>
      <c r="DT77" s="193"/>
    </row>
    <row r="78" spans="7:124">
      <c r="G78" s="189" t="s">
        <v>465</v>
      </c>
      <c r="H78" s="189"/>
      <c r="J78" s="193"/>
      <c r="P78" s="189" t="s">
        <v>465</v>
      </c>
      <c r="S78" s="193"/>
      <c r="AK78" s="189" t="s">
        <v>465</v>
      </c>
      <c r="AN78" s="193"/>
      <c r="BF78" s="189" t="s">
        <v>465</v>
      </c>
      <c r="BI78" s="193"/>
      <c r="CA78" s="189" t="s">
        <v>465</v>
      </c>
      <c r="CD78" s="193"/>
      <c r="CV78" s="189" t="s">
        <v>465</v>
      </c>
      <c r="CY78" s="193"/>
      <c r="DQ78" s="189" t="s">
        <v>465</v>
      </c>
      <c r="DT78" s="193"/>
    </row>
    <row r="79" spans="7:124">
      <c r="G79" s="149" t="s">
        <v>466</v>
      </c>
      <c r="H79" s="149"/>
      <c r="I79" s="187" t="s">
        <v>27</v>
      </c>
      <c r="J79" s="193" t="s">
        <v>467</v>
      </c>
      <c r="P79" s="149" t="s">
        <v>466</v>
      </c>
      <c r="R79" s="192" t="s">
        <v>27</v>
      </c>
      <c r="S79" s="193" t="s">
        <v>467</v>
      </c>
      <c r="AK79" s="149" t="s">
        <v>466</v>
      </c>
      <c r="AM79" s="192" t="s">
        <v>27</v>
      </c>
      <c r="AN79" s="193" t="s">
        <v>467</v>
      </c>
      <c r="BF79" s="149" t="s">
        <v>466</v>
      </c>
      <c r="BH79" s="192" t="s">
        <v>27</v>
      </c>
      <c r="BI79" s="193" t="s">
        <v>467</v>
      </c>
      <c r="CA79" s="149" t="s">
        <v>466</v>
      </c>
      <c r="CC79" s="192" t="s">
        <v>27</v>
      </c>
      <c r="CD79" s="193" t="s">
        <v>467</v>
      </c>
      <c r="CV79" s="149" t="s">
        <v>466</v>
      </c>
      <c r="CX79" s="192" t="s">
        <v>27</v>
      </c>
      <c r="CY79" s="193" t="s">
        <v>467</v>
      </c>
      <c r="DQ79" s="149" t="s">
        <v>466</v>
      </c>
      <c r="DS79" s="192" t="s">
        <v>27</v>
      </c>
      <c r="DT79" s="193" t="s">
        <v>467</v>
      </c>
    </row>
    <row r="80" spans="7:124">
      <c r="G80" s="149" t="s">
        <v>210</v>
      </c>
      <c r="H80" s="149"/>
      <c r="I80" s="187" t="s">
        <v>27</v>
      </c>
      <c r="J80" s="193" t="s">
        <v>468</v>
      </c>
      <c r="P80" s="149" t="s">
        <v>210</v>
      </c>
      <c r="R80" s="197" t="s">
        <v>211</v>
      </c>
      <c r="S80" s="193" t="s">
        <v>468</v>
      </c>
      <c r="AK80" s="149" t="s">
        <v>210</v>
      </c>
      <c r="AM80" s="197" t="s">
        <v>211</v>
      </c>
      <c r="AN80" s="193" t="s">
        <v>468</v>
      </c>
      <c r="BF80" s="149" t="s">
        <v>210</v>
      </c>
      <c r="BH80" s="197" t="s">
        <v>211</v>
      </c>
      <c r="BI80" s="193" t="s">
        <v>468</v>
      </c>
      <c r="CA80" s="149" t="s">
        <v>210</v>
      </c>
      <c r="CC80" s="197" t="s">
        <v>211</v>
      </c>
      <c r="CD80" s="193" t="s">
        <v>468</v>
      </c>
      <c r="CV80" s="149" t="s">
        <v>210</v>
      </c>
      <c r="CX80" s="197" t="s">
        <v>211</v>
      </c>
      <c r="CY80" s="193" t="s">
        <v>468</v>
      </c>
      <c r="DQ80" s="149" t="s">
        <v>210</v>
      </c>
      <c r="DS80" s="197" t="s">
        <v>211</v>
      </c>
      <c r="DT80" s="193" t="s">
        <v>468</v>
      </c>
    </row>
    <row r="81" spans="7:124">
      <c r="G81" s="149"/>
      <c r="H81" s="149"/>
      <c r="J81" s="193"/>
      <c r="P81" s="149"/>
      <c r="S81" s="193"/>
      <c r="AK81" s="149"/>
      <c r="AN81" s="193"/>
      <c r="BI81" s="193"/>
      <c r="CD81" s="193"/>
      <c r="CY81" s="193"/>
      <c r="DT81" s="193"/>
    </row>
    <row r="82" spans="7:124">
      <c r="G82" s="189" t="s">
        <v>29</v>
      </c>
      <c r="H82" s="189"/>
      <c r="J82" s="193"/>
      <c r="P82" s="189" t="s">
        <v>29</v>
      </c>
      <c r="S82" s="193"/>
      <c r="AK82" s="189" t="s">
        <v>29</v>
      </c>
      <c r="AN82" s="193"/>
      <c r="BF82" s="189" t="s">
        <v>29</v>
      </c>
      <c r="BI82" s="193"/>
      <c r="CA82" s="189" t="s">
        <v>29</v>
      </c>
      <c r="CD82" s="193"/>
      <c r="CV82" s="189" t="s">
        <v>29</v>
      </c>
      <c r="CY82" s="193"/>
      <c r="DQ82" s="189" t="s">
        <v>29</v>
      </c>
      <c r="DT82" s="193"/>
    </row>
    <row r="83" spans="7:124">
      <c r="G83" s="149" t="s">
        <v>469</v>
      </c>
      <c r="H83" s="149"/>
      <c r="J83" s="193" t="s">
        <v>470</v>
      </c>
      <c r="P83" s="149" t="s">
        <v>469</v>
      </c>
      <c r="R83" s="171">
        <v>0</v>
      </c>
      <c r="S83" s="193" t="s">
        <v>470</v>
      </c>
      <c r="AK83" s="149" t="s">
        <v>469</v>
      </c>
      <c r="AM83" s="171">
        <v>0</v>
      </c>
      <c r="AN83" s="193" t="s">
        <v>470</v>
      </c>
      <c r="BF83" s="149" t="s">
        <v>469</v>
      </c>
      <c r="BH83" s="171">
        <v>0</v>
      </c>
      <c r="BI83" s="193" t="s">
        <v>470</v>
      </c>
      <c r="CA83" s="149" t="s">
        <v>469</v>
      </c>
      <c r="CC83" s="171">
        <v>0</v>
      </c>
      <c r="CD83" s="193" t="s">
        <v>470</v>
      </c>
      <c r="CV83" s="149" t="s">
        <v>469</v>
      </c>
      <c r="CX83" s="171">
        <v>0</v>
      </c>
      <c r="CY83" s="193" t="s">
        <v>470</v>
      </c>
      <c r="DQ83" s="149" t="s">
        <v>469</v>
      </c>
      <c r="DS83" s="171">
        <v>0</v>
      </c>
      <c r="DT83" s="193" t="s">
        <v>470</v>
      </c>
    </row>
    <row r="84" spans="7:124">
      <c r="G84" s="149" t="s">
        <v>471</v>
      </c>
      <c r="H84" s="149"/>
      <c r="J84" s="193" t="s">
        <v>472</v>
      </c>
      <c r="P84" s="149" t="s">
        <v>471</v>
      </c>
      <c r="R84" s="171">
        <v>0</v>
      </c>
      <c r="S84" s="193" t="s">
        <v>472</v>
      </c>
      <c r="AK84" s="149" t="s">
        <v>471</v>
      </c>
      <c r="AM84" s="171">
        <v>0</v>
      </c>
      <c r="AN84" s="193" t="s">
        <v>472</v>
      </c>
      <c r="BF84" s="149" t="s">
        <v>471</v>
      </c>
      <c r="BH84" s="171">
        <v>0</v>
      </c>
      <c r="BI84" s="193" t="s">
        <v>472</v>
      </c>
      <c r="CA84" s="149" t="s">
        <v>471</v>
      </c>
      <c r="CC84" s="171">
        <v>0</v>
      </c>
      <c r="CD84" s="193" t="s">
        <v>472</v>
      </c>
      <c r="CV84" s="149" t="s">
        <v>471</v>
      </c>
      <c r="CX84" s="171">
        <v>0</v>
      </c>
      <c r="CY84" s="193" t="s">
        <v>472</v>
      </c>
      <c r="DQ84" s="149" t="s">
        <v>471</v>
      </c>
      <c r="DS84" s="171">
        <v>0</v>
      </c>
      <c r="DT84" s="193" t="s">
        <v>472</v>
      </c>
    </row>
    <row r="85" spans="7:124">
      <c r="G85" s="149" t="str">
        <f>"# New Premoney Option Pool "&amp;'Cap Table'!$D$61&amp;"s"</f>
        <v># New Premoney Option Pool Shares</v>
      </c>
      <c r="H85" s="149"/>
      <c r="J85" s="193" t="s">
        <v>473</v>
      </c>
      <c r="P85" s="149" t="str">
        <f>"# New Premoney Option Pool "&amp;'Cap Table'!$D$61&amp;"s"</f>
        <v># New Premoney Option Pool Shares</v>
      </c>
      <c r="R85" s="146">
        <f ca="1">IF(R73=0,R83*R61,IFERROR(R73*R83/R62,0))</f>
        <v>0</v>
      </c>
      <c r="S85" s="193" t="s">
        <v>473</v>
      </c>
      <c r="AK85" s="149" t="str">
        <f>"# New Premoney Option Pool "&amp;'Cap Table'!$D$61&amp;"s"</f>
        <v># New Premoney Option Pool Shares</v>
      </c>
      <c r="AM85" s="146">
        <f ca="1">IFERROR(AM73*AM83/AM62,0)</f>
        <v>0</v>
      </c>
      <c r="AN85" s="193" t="s">
        <v>473</v>
      </c>
      <c r="BF85" s="149" t="str">
        <f>"# New Premoney Option Pool "&amp;'Cap Table'!$D$61&amp;"s"</f>
        <v># New Premoney Option Pool Shares</v>
      </c>
      <c r="BH85" s="146">
        <f ca="1">IFERROR(BH73*BH83/BH62,0)</f>
        <v>0</v>
      </c>
      <c r="BI85" s="193" t="s">
        <v>473</v>
      </c>
      <c r="CA85" s="149" t="str">
        <f>"# New Premoney Option Pool "&amp;'Cap Table'!$D$61&amp;"s"</f>
        <v># New Premoney Option Pool Shares</v>
      </c>
      <c r="CC85" s="146">
        <f ca="1">IFERROR(CC73*CC83/CC62,0)</f>
        <v>0</v>
      </c>
      <c r="CD85" s="193" t="s">
        <v>473</v>
      </c>
      <c r="CV85" s="149" t="str">
        <f>"# New Premoney Option Pool "&amp;'Cap Table'!$D$61&amp;"s"</f>
        <v># New Premoney Option Pool Shares</v>
      </c>
      <c r="CX85" s="146">
        <f ca="1">IFERROR(CX73*CX83/CX62,0)</f>
        <v>0</v>
      </c>
      <c r="CY85" s="193" t="s">
        <v>473</v>
      </c>
      <c r="DQ85" s="149" t="str">
        <f>"# New Premoney Option Pool "&amp;'Cap Table'!$D$61&amp;"s"</f>
        <v># New Premoney Option Pool Shares</v>
      </c>
      <c r="DS85" s="146">
        <f ca="1">IFERROR(DS73*DS83/DS62,0)</f>
        <v>0</v>
      </c>
      <c r="DT85" s="193" t="s">
        <v>473</v>
      </c>
    </row>
    <row r="86" spans="7:124">
      <c r="G86" s="149" t="str">
        <f>"# New Postmoney Option Pool "&amp;'Cap Table'!$D$61&amp;"s"</f>
        <v># New Postmoney Option Pool Shares</v>
      </c>
      <c r="H86" s="149"/>
      <c r="J86" s="193" t="s">
        <v>474</v>
      </c>
      <c r="P86" s="149" t="str">
        <f>"# New Postmoney Option Pool "&amp;'Cap Table'!$D$61&amp;"s"</f>
        <v># New Postmoney Option Pool Shares</v>
      </c>
      <c r="R86" s="146">
        <f ca="1">IF(R73=0,R84*R61,IFERROR(R73*R84/(R62*(1-R84)),0))</f>
        <v>0</v>
      </c>
      <c r="S86" s="193" t="s">
        <v>474</v>
      </c>
      <c r="AK86" s="149" t="str">
        <f>"# New Postmoney Option Pool "&amp;'Cap Table'!$D$61&amp;"s"</f>
        <v># New Postmoney Option Pool Shares</v>
      </c>
      <c r="AM86" s="146">
        <f ca="1">IF(AM73=0,AM84*AM61,IFERROR(AM73*AM84/(AM62*(1-AM84)),0))</f>
        <v>0</v>
      </c>
      <c r="AN86" s="193" t="s">
        <v>474</v>
      </c>
      <c r="BF86" s="149" t="str">
        <f>"# New Postmoney Option Pool "&amp;'Cap Table'!$D$61&amp;"s"</f>
        <v># New Postmoney Option Pool Shares</v>
      </c>
      <c r="BH86" s="146">
        <f ca="1">IF(BH73=0,BH84*BH61,IFERROR(BH73*BH84/(BH62*(1-BH84)),0))</f>
        <v>0</v>
      </c>
      <c r="BI86" s="193" t="s">
        <v>474</v>
      </c>
      <c r="CA86" s="149" t="str">
        <f>"# New Postmoney Option Pool "&amp;'Cap Table'!$D$61&amp;"s"</f>
        <v># New Postmoney Option Pool Shares</v>
      </c>
      <c r="CC86" s="146">
        <f ca="1">IF(CC73=0,CC84*CC61,IFERROR(CC73*CC84/(CC62*(1-CC84)),0))</f>
        <v>0</v>
      </c>
      <c r="CD86" s="193" t="s">
        <v>474</v>
      </c>
      <c r="CV86" s="149" t="str">
        <f>"# New Postmoney Option Pool "&amp;'Cap Table'!$D$61&amp;"s"</f>
        <v># New Postmoney Option Pool Shares</v>
      </c>
      <c r="CX86" s="146">
        <f ca="1">IF(CX73=0,CX84*CX61,IFERROR(CX73*CX84/(CX62*(1-CX84)),0))</f>
        <v>0</v>
      </c>
      <c r="CY86" s="193" t="s">
        <v>474</v>
      </c>
      <c r="DQ86" s="149" t="str">
        <f>"# New Postmoney Option Pool "&amp;'Cap Table'!$D$61&amp;"s"</f>
        <v># New Postmoney Option Pool Shares</v>
      </c>
      <c r="DS86" s="146">
        <f ca="1">IF(DS73=0,DS84*DS61,IFERROR(DS73*DS84/(DS62*(1-DS84)),0))</f>
        <v>0</v>
      </c>
      <c r="DT86" s="193" t="s">
        <v>474</v>
      </c>
    </row>
    <row r="87" spans="7:124">
      <c r="G87" s="149" t="s">
        <v>475</v>
      </c>
      <c r="H87" s="149"/>
      <c r="J87" s="193" t="s">
        <v>476</v>
      </c>
      <c r="P87" s="149" t="s">
        <v>475</v>
      </c>
      <c r="R87" s="171">
        <v>0</v>
      </c>
      <c r="S87" s="193" t="s">
        <v>476</v>
      </c>
      <c r="AK87" s="149" t="s">
        <v>475</v>
      </c>
      <c r="AM87" s="171">
        <v>0</v>
      </c>
      <c r="AN87" s="193" t="s">
        <v>476</v>
      </c>
      <c r="BF87" s="149" t="s">
        <v>475</v>
      </c>
      <c r="BH87" s="171">
        <v>0</v>
      </c>
      <c r="BI87" s="193" t="s">
        <v>476</v>
      </c>
      <c r="CA87" s="149" t="s">
        <v>475</v>
      </c>
      <c r="CC87" s="171">
        <v>0</v>
      </c>
      <c r="CD87" s="193" t="s">
        <v>476</v>
      </c>
      <c r="CV87" s="149" t="s">
        <v>475</v>
      </c>
      <c r="CX87" s="171">
        <v>0</v>
      </c>
      <c r="CY87" s="193" t="s">
        <v>476</v>
      </c>
      <c r="DQ87" s="149" t="s">
        <v>475</v>
      </c>
      <c r="DS87" s="171">
        <v>0</v>
      </c>
      <c r="DT87" s="193" t="s">
        <v>476</v>
      </c>
    </row>
    <row r="88" spans="7:124">
      <c r="G88" s="149" t="s">
        <v>477</v>
      </c>
      <c r="H88" s="149"/>
      <c r="J88" s="193" t="s">
        <v>478</v>
      </c>
      <c r="P88" s="149" t="s">
        <v>477</v>
      </c>
      <c r="R88" s="147">
        <f ca="1">IFERROR('Cap Table'!AE28/'Cap Table'!AE29,0)</f>
        <v>0</v>
      </c>
      <c r="S88" s="193" t="s">
        <v>478</v>
      </c>
      <c r="AK88" s="149" t="s">
        <v>477</v>
      </c>
      <c r="AM88" s="147">
        <f ca="1">IFERROR('Cap Table'!AZ28/'Cap Table'!AZ29,0)</f>
        <v>0</v>
      </c>
      <c r="AN88" s="193" t="s">
        <v>478</v>
      </c>
      <c r="BF88" s="149" t="s">
        <v>477</v>
      </c>
      <c r="BH88" s="200">
        <f ca="1">IFERROR('Cap Table'!BU28/'Cap Table'!BU29,0)</f>
        <v>0</v>
      </c>
      <c r="BI88" s="193" t="s">
        <v>478</v>
      </c>
      <c r="CA88" s="149" t="s">
        <v>477</v>
      </c>
      <c r="CC88" s="147">
        <f ca="1">IFERROR('Cap Table'!CP28/'Cap Table'!CP29,0)</f>
        <v>0</v>
      </c>
      <c r="CD88" s="193" t="s">
        <v>478</v>
      </c>
      <c r="CV88" s="149" t="s">
        <v>477</v>
      </c>
      <c r="CX88" s="147">
        <f ca="1">IFERROR('Cap Table'!DK28/'Cap Table'!DK29,0)</f>
        <v>0</v>
      </c>
      <c r="CY88" s="193" t="s">
        <v>478</v>
      </c>
      <c r="DQ88" s="149" t="s">
        <v>477</v>
      </c>
      <c r="DS88" s="147">
        <f ca="1">IFERROR('Cap Table'!EF28/'Cap Table'!EF29,0)</f>
        <v>0</v>
      </c>
      <c r="DT88" s="193" t="s">
        <v>478</v>
      </c>
    </row>
    <row r="89" spans="7:124">
      <c r="G89" s="149"/>
      <c r="H89" s="149"/>
      <c r="J89" s="193"/>
      <c r="P89" s="149"/>
      <c r="R89" s="146"/>
      <c r="S89" s="193"/>
      <c r="AK89" s="149"/>
      <c r="AM89" s="146"/>
      <c r="AN89" s="193"/>
      <c r="BH89" s="146"/>
      <c r="BI89" s="193"/>
      <c r="CC89" s="146"/>
      <c r="CD89" s="193"/>
      <c r="CX89" s="146"/>
      <c r="CY89" s="193"/>
      <c r="DS89" s="146"/>
      <c r="DT89" s="193"/>
    </row>
    <row r="90" spans="7:124">
      <c r="G90" s="189" t="s">
        <v>28</v>
      </c>
      <c r="H90" s="189"/>
      <c r="I90" s="201"/>
      <c r="J90" s="193"/>
      <c r="P90" s="189" t="s">
        <v>28</v>
      </c>
      <c r="S90" s="193"/>
      <c r="AK90" s="189" t="s">
        <v>28</v>
      </c>
      <c r="AN90" s="193"/>
      <c r="BF90" s="189" t="s">
        <v>28</v>
      </c>
      <c r="BI90" s="193"/>
      <c r="CA90" s="189" t="s">
        <v>28</v>
      </c>
      <c r="CD90" s="193"/>
      <c r="CV90" s="189" t="s">
        <v>28</v>
      </c>
      <c r="CY90" s="193"/>
      <c r="DQ90" s="189" t="s">
        <v>28</v>
      </c>
      <c r="DT90" s="193"/>
    </row>
    <row r="91" spans="7:124">
      <c r="G91" s="149" t="str">
        <f>'Cap Table'!$B$31&amp;" with Preferences"</f>
        <v>Share Class with Preferences</v>
      </c>
      <c r="H91" s="149"/>
      <c r="I91" s="192" t="s">
        <v>21</v>
      </c>
      <c r="J91" s="193" t="s">
        <v>479</v>
      </c>
      <c r="P91" s="149" t="str">
        <f>'Cap Table'!$B$31&amp;" with Preferences"</f>
        <v>Share Class with Preferences</v>
      </c>
      <c r="R91" s="192" t="s">
        <v>32</v>
      </c>
      <c r="S91" s="193" t="s">
        <v>479</v>
      </c>
      <c r="AK91" s="149" t="str">
        <f>'Cap Table'!$B$31&amp;" with Preferences"</f>
        <v>Share Class with Preferences</v>
      </c>
      <c r="AM91" s="192" t="s">
        <v>32</v>
      </c>
      <c r="AN91" s="193" t="s">
        <v>479</v>
      </c>
      <c r="BF91" s="149" t="str">
        <f>'Cap Table'!$B$31&amp;" with Preferences"</f>
        <v>Share Class with Preferences</v>
      </c>
      <c r="BH91" s="192" t="s">
        <v>32</v>
      </c>
      <c r="BI91" s="193" t="s">
        <v>479</v>
      </c>
      <c r="CA91" s="149" t="str">
        <f>'Cap Table'!$B$31&amp;" with Preferences"</f>
        <v>Share Class with Preferences</v>
      </c>
      <c r="CC91" s="192" t="s">
        <v>32</v>
      </c>
      <c r="CD91" s="193" t="s">
        <v>479</v>
      </c>
      <c r="CV91" s="149" t="str">
        <f>'Cap Table'!$B$31&amp;" with Preferences"</f>
        <v>Share Class with Preferences</v>
      </c>
      <c r="CX91" s="192" t="s">
        <v>32</v>
      </c>
      <c r="CY91" s="193" t="s">
        <v>479</v>
      </c>
      <c r="DQ91" s="149" t="str">
        <f>'Cap Table'!DP31&amp;" with Preferences"</f>
        <v xml:space="preserve"> with Preferences</v>
      </c>
      <c r="DS91" s="192" t="s">
        <v>32</v>
      </c>
      <c r="DT91" s="193" t="s">
        <v>479</v>
      </c>
    </row>
    <row r="92" spans="7:124">
      <c r="G92" s="175" t="s">
        <v>480</v>
      </c>
      <c r="H92" s="175"/>
      <c r="I92" s="187" t="s">
        <v>27</v>
      </c>
      <c r="J92" s="193" t="s">
        <v>481</v>
      </c>
      <c r="P92" s="175" t="s">
        <v>480</v>
      </c>
      <c r="R92" s="202">
        <v>1</v>
      </c>
      <c r="S92" s="193" t="s">
        <v>481</v>
      </c>
      <c r="AK92" s="175" t="s">
        <v>480</v>
      </c>
      <c r="AM92" s="202">
        <v>1</v>
      </c>
      <c r="AN92" s="193" t="s">
        <v>481</v>
      </c>
      <c r="BF92" s="175" t="s">
        <v>480</v>
      </c>
      <c r="BH92" s="202">
        <v>1</v>
      </c>
      <c r="BI92" s="193" t="s">
        <v>481</v>
      </c>
      <c r="CA92" s="175" t="s">
        <v>480</v>
      </c>
      <c r="CC92" s="202">
        <v>1</v>
      </c>
      <c r="CD92" s="193" t="s">
        <v>481</v>
      </c>
      <c r="CV92" s="175" t="s">
        <v>480</v>
      </c>
      <c r="CX92" s="202">
        <v>1</v>
      </c>
      <c r="CY92" s="193" t="s">
        <v>481</v>
      </c>
      <c r="DQ92" s="175" t="s">
        <v>480</v>
      </c>
      <c r="DS92" s="202">
        <v>1</v>
      </c>
      <c r="DT92" s="193" t="s">
        <v>481</v>
      </c>
    </row>
    <row r="93" spans="7:124">
      <c r="G93" s="175" t="s">
        <v>167</v>
      </c>
      <c r="H93" s="175"/>
      <c r="I93" s="187" t="s">
        <v>27</v>
      </c>
      <c r="J93" s="193" t="s">
        <v>482</v>
      </c>
      <c r="P93" s="175" t="s">
        <v>167</v>
      </c>
      <c r="R93" s="203" t="s">
        <v>424</v>
      </c>
      <c r="S93" s="193" t="s">
        <v>482</v>
      </c>
      <c r="AK93" s="175" t="s">
        <v>167</v>
      </c>
      <c r="AM93" s="203" t="s">
        <v>424</v>
      </c>
      <c r="AN93" s="193" t="s">
        <v>482</v>
      </c>
      <c r="BF93" s="175" t="s">
        <v>167</v>
      </c>
      <c r="BH93" s="203" t="s">
        <v>424</v>
      </c>
      <c r="BI93" s="193" t="s">
        <v>482</v>
      </c>
      <c r="CA93" s="175" t="s">
        <v>167</v>
      </c>
      <c r="CC93" s="203" t="s">
        <v>424</v>
      </c>
      <c r="CD93" s="193" t="s">
        <v>482</v>
      </c>
      <c r="CV93" s="175" t="s">
        <v>167</v>
      </c>
      <c r="CX93" s="203" t="s">
        <v>424</v>
      </c>
      <c r="CY93" s="193" t="s">
        <v>482</v>
      </c>
      <c r="DQ93" s="175" t="s">
        <v>167</v>
      </c>
      <c r="DS93" s="203" t="s">
        <v>424</v>
      </c>
      <c r="DT93" s="193" t="s">
        <v>482</v>
      </c>
    </row>
    <row r="94" spans="7:124">
      <c r="G94" s="175" t="s">
        <v>168</v>
      </c>
      <c r="H94" s="175"/>
      <c r="I94" s="187" t="s">
        <v>27</v>
      </c>
      <c r="J94" s="193" t="s">
        <v>483</v>
      </c>
      <c r="P94" s="175" t="s">
        <v>168</v>
      </c>
      <c r="R94" s="204">
        <v>2</v>
      </c>
      <c r="S94" s="193" t="s">
        <v>483</v>
      </c>
      <c r="AK94" s="175" t="s">
        <v>168</v>
      </c>
      <c r="AM94" s="204">
        <v>2</v>
      </c>
      <c r="AN94" s="193" t="s">
        <v>483</v>
      </c>
      <c r="BF94" s="175" t="s">
        <v>168</v>
      </c>
      <c r="BH94" s="204">
        <v>2</v>
      </c>
      <c r="BI94" s="193" t="s">
        <v>483</v>
      </c>
      <c r="CA94" s="175" t="s">
        <v>168</v>
      </c>
      <c r="CC94" s="204">
        <v>1.5</v>
      </c>
      <c r="CD94" s="193" t="s">
        <v>483</v>
      </c>
      <c r="CV94" s="175" t="s">
        <v>168</v>
      </c>
      <c r="CX94" s="204">
        <v>2</v>
      </c>
      <c r="CY94" s="193" t="s">
        <v>483</v>
      </c>
      <c r="DQ94" s="175" t="s">
        <v>168</v>
      </c>
      <c r="DS94" s="204">
        <v>3</v>
      </c>
      <c r="DT94" s="193" t="s">
        <v>483</v>
      </c>
    </row>
    <row r="95" spans="7:124">
      <c r="G95" s="205" t="s">
        <v>484</v>
      </c>
      <c r="H95" s="205"/>
      <c r="I95" s="187"/>
      <c r="J95" s="193" t="s">
        <v>485</v>
      </c>
      <c r="P95" s="205" t="s">
        <v>484</v>
      </c>
      <c r="R95" s="204">
        <v>1</v>
      </c>
      <c r="S95" s="193" t="s">
        <v>485</v>
      </c>
      <c r="AK95" s="205" t="s">
        <v>484</v>
      </c>
      <c r="AM95" s="204">
        <v>1</v>
      </c>
      <c r="AN95" s="193" t="s">
        <v>485</v>
      </c>
      <c r="BF95" s="205" t="s">
        <v>484</v>
      </c>
      <c r="BH95" s="204">
        <v>1</v>
      </c>
      <c r="BI95" s="193" t="s">
        <v>485</v>
      </c>
      <c r="CA95" s="205" t="s">
        <v>484</v>
      </c>
      <c r="CC95" s="204">
        <v>1</v>
      </c>
      <c r="CD95" s="193" t="s">
        <v>485</v>
      </c>
      <c r="CV95" s="205" t="s">
        <v>484</v>
      </c>
      <c r="CX95" s="204">
        <v>1</v>
      </c>
      <c r="CY95" s="193" t="s">
        <v>485</v>
      </c>
      <c r="DQ95" s="205" t="s">
        <v>484</v>
      </c>
      <c r="DS95" s="204">
        <v>1</v>
      </c>
      <c r="DT95" s="193" t="s">
        <v>485</v>
      </c>
    </row>
    <row r="96" spans="7:124">
      <c r="G96" s="149"/>
      <c r="H96" s="149"/>
      <c r="J96" s="193"/>
      <c r="P96" s="149"/>
      <c r="R96" s="155"/>
      <c r="S96" s="193"/>
      <c r="AK96" s="149"/>
      <c r="AM96" s="155"/>
      <c r="AN96" s="193"/>
      <c r="BH96" s="155"/>
      <c r="BI96" s="193"/>
      <c r="CC96" s="155"/>
      <c r="CD96" s="193"/>
      <c r="CX96" s="155"/>
      <c r="CY96" s="193"/>
      <c r="DS96" s="155"/>
      <c r="DT96" s="193"/>
    </row>
    <row r="97" spans="2:124">
      <c r="G97" s="206" t="str">
        <f>'Cap Table'!$D$61&amp;"s Detail"</f>
        <v>Shares Detail</v>
      </c>
      <c r="H97" s="206"/>
      <c r="J97" s="193"/>
      <c r="P97" s="206" t="str">
        <f>'Cap Table'!$D$61&amp;"s Detail"</f>
        <v>Shares Detail</v>
      </c>
      <c r="R97" s="155"/>
      <c r="S97" s="193"/>
      <c r="AK97" s="206" t="str">
        <f>'Cap Table'!$D$61&amp;"s Detail"</f>
        <v>Shares Detail</v>
      </c>
      <c r="AM97" s="155"/>
      <c r="AN97" s="193"/>
      <c r="BF97" s="206" t="str">
        <f>'Cap Table'!$D$61&amp;"s Detail"</f>
        <v>Shares Detail</v>
      </c>
      <c r="BH97" s="155"/>
      <c r="BI97" s="193"/>
      <c r="CA97" s="206" t="str">
        <f>'Cap Table'!$D$61&amp;"s Detail"</f>
        <v>Shares Detail</v>
      </c>
      <c r="CC97" s="155"/>
      <c r="CD97" s="193"/>
      <c r="CV97" s="206" t="str">
        <f>'Cap Table'!$D$61&amp;"s Detail"</f>
        <v>Shares Detail</v>
      </c>
      <c r="CX97" s="155"/>
      <c r="CY97" s="193"/>
      <c r="DQ97" s="206" t="str">
        <f>'Cap Table'!$D$61&amp;"s Detail"</f>
        <v>Shares Detail</v>
      </c>
      <c r="DS97" s="155"/>
      <c r="DT97" s="193"/>
    </row>
    <row r="98" spans="2:124">
      <c r="G98" s="175" t="str">
        <f>"# "&amp;'Cap Table'!$D$61&amp;"s created in round"</f>
        <v># Shares created in round</v>
      </c>
      <c r="H98" s="175"/>
      <c r="I98" s="186">
        <f>'Cap Table'!I29</f>
        <v>0</v>
      </c>
      <c r="J98" s="193" t="s">
        <v>486</v>
      </c>
      <c r="P98" s="175" t="str">
        <f>"# "&amp;'Cap Table'!$D$61&amp;"s sold in round"</f>
        <v># Shares sold in round</v>
      </c>
      <c r="R98" s="186">
        <f ca="1">'Cap Table'!AA29</f>
        <v>0</v>
      </c>
      <c r="S98" s="193" t="s">
        <v>486</v>
      </c>
      <c r="AK98" s="175" t="str">
        <f>"# "&amp;'Cap Table'!$D$61&amp;"s sold in round"</f>
        <v># Shares sold in round</v>
      </c>
      <c r="AM98" s="186">
        <f ca="1">'Cap Table'!AV29</f>
        <v>0</v>
      </c>
      <c r="AN98" s="193" t="s">
        <v>486</v>
      </c>
      <c r="BF98" s="175" t="str">
        <f>"# "&amp;'Cap Table'!$D$61&amp;"s sold in round"</f>
        <v># Shares sold in round</v>
      </c>
      <c r="BH98" s="186">
        <f ca="1">'Cap Table'!BQ29</f>
        <v>0</v>
      </c>
      <c r="BI98" s="193" t="s">
        <v>486</v>
      </c>
      <c r="CA98" s="175" t="str">
        <f>"# "&amp;'Cap Table'!$D$61&amp;"s sold in round"</f>
        <v># Shares sold in round</v>
      </c>
      <c r="CC98" s="186">
        <f ca="1">'Cap Table'!CL29</f>
        <v>0</v>
      </c>
      <c r="CD98" s="193" t="s">
        <v>486</v>
      </c>
      <c r="CV98" s="175" t="str">
        <f>"# "&amp;'Cap Table'!$D$61&amp;"s sold in round"</f>
        <v># Shares sold in round</v>
      </c>
      <c r="CX98" s="186">
        <f ca="1">'Cap Table'!DG29</f>
        <v>0</v>
      </c>
      <c r="CY98" s="193" t="s">
        <v>486</v>
      </c>
      <c r="DQ98" s="175" t="str">
        <f>"# "&amp;'Cap Table'!$D$61&amp;"s sold in round"</f>
        <v># Shares sold in round</v>
      </c>
      <c r="DS98" s="186">
        <f ca="1">'Cap Table'!EB29</f>
        <v>0</v>
      </c>
      <c r="DT98" s="193" t="s">
        <v>486</v>
      </c>
    </row>
    <row r="99" spans="2:124">
      <c r="G99" s="175" t="s">
        <v>487</v>
      </c>
      <c r="H99" s="175"/>
      <c r="I99" s="186">
        <f>'Cap Table'!J29</f>
        <v>0</v>
      </c>
      <c r="J99" s="193" t="s">
        <v>488</v>
      </c>
      <c r="P99" s="175" t="s">
        <v>487</v>
      </c>
      <c r="R99" s="186">
        <f ca="1">R86+R85</f>
        <v>0</v>
      </c>
      <c r="S99" s="193" t="s">
        <v>488</v>
      </c>
      <c r="AK99" s="175" t="s">
        <v>487</v>
      </c>
      <c r="AM99" s="186">
        <f ca="1">AM86+AM85</f>
        <v>0</v>
      </c>
      <c r="AN99" s="193" t="s">
        <v>488</v>
      </c>
      <c r="BF99" s="175" t="s">
        <v>487</v>
      </c>
      <c r="BH99" s="186">
        <f ca="1">BH86+BH85</f>
        <v>0</v>
      </c>
      <c r="BI99" s="193" t="s">
        <v>488</v>
      </c>
      <c r="CA99" s="175" t="s">
        <v>487</v>
      </c>
      <c r="CC99" s="186">
        <f ca="1">CC86+CC85</f>
        <v>0</v>
      </c>
      <c r="CD99" s="193" t="s">
        <v>488</v>
      </c>
      <c r="CV99" s="175" t="s">
        <v>487</v>
      </c>
      <c r="CX99" s="186">
        <f ca="1">CX86+CX85</f>
        <v>0</v>
      </c>
      <c r="CY99" s="193" t="s">
        <v>488</v>
      </c>
      <c r="DQ99" s="175" t="s">
        <v>487</v>
      </c>
      <c r="DS99" s="186">
        <f ca="1">DS86+DS85</f>
        <v>0</v>
      </c>
      <c r="DT99" s="193" t="s">
        <v>488</v>
      </c>
    </row>
    <row r="100" spans="2:124">
      <c r="G100" s="175" t="str">
        <f>"# Fully-Diluted "&amp;'Cap Table'!$D$61&amp;"s and Options, after round"</f>
        <v># Fully-Diluted Shares and Options, after round</v>
      </c>
      <c r="H100" s="175"/>
      <c r="I100" s="186">
        <f>'Cap Table'!K29</f>
        <v>0</v>
      </c>
      <c r="J100" s="193" t="s">
        <v>489</v>
      </c>
      <c r="P100" s="175" t="str">
        <f>"# Fully-Diluted "&amp;'Cap Table'!$D$61&amp;"s and Options, after round"</f>
        <v># Fully-Diluted Shares and Options, after round</v>
      </c>
      <c r="R100" s="186">
        <f ca="1">'Cap Table'!AE29</f>
        <v>0</v>
      </c>
      <c r="S100" s="193" t="s">
        <v>489</v>
      </c>
      <c r="AK100" s="175" t="str">
        <f>"# Fully-Diluted "&amp;'Cap Table'!$D$61&amp;"s and Options, after round"</f>
        <v># Fully-Diluted Shares and Options, after round</v>
      </c>
      <c r="AM100" s="186">
        <f ca="1">'Cap Table'!AZ29</f>
        <v>0</v>
      </c>
      <c r="AN100" s="193" t="s">
        <v>489</v>
      </c>
      <c r="BF100" s="175" t="str">
        <f>"# Fully-Diluted "&amp;'Cap Table'!$D$61&amp;"s and Options, after round"</f>
        <v># Fully-Diluted Shares and Options, after round</v>
      </c>
      <c r="BH100" s="186">
        <f ca="1">'Cap Table'!BU29</f>
        <v>0</v>
      </c>
      <c r="BI100" s="193" t="s">
        <v>489</v>
      </c>
      <c r="CA100" s="175" t="str">
        <f>"# Fully-Diluted "&amp;'Cap Table'!$D$61&amp;"s and Options, after round"</f>
        <v># Fully-Diluted Shares and Options, after round</v>
      </c>
      <c r="CC100" s="186">
        <f ca="1">'Cap Table'!CP29</f>
        <v>0</v>
      </c>
      <c r="CD100" s="193" t="s">
        <v>489</v>
      </c>
      <c r="CV100" s="175" t="str">
        <f>"# Fully-Diluted "&amp;'Cap Table'!$D$61&amp;"s and Options, after round"</f>
        <v># Fully-Diluted Shares and Options, after round</v>
      </c>
      <c r="CX100" s="186">
        <f ca="1">'Cap Table'!DK29</f>
        <v>0</v>
      </c>
      <c r="CY100" s="193" t="s">
        <v>489</v>
      </c>
      <c r="DQ100" s="175" t="str">
        <f>"# Fully-Diluted "&amp;'Cap Table'!$D$61&amp;"s and Options, after round"</f>
        <v># Fully-Diluted Shares and Options, after round</v>
      </c>
      <c r="DS100" s="186">
        <f ca="1">'Cap Table'!EF29</f>
        <v>0</v>
      </c>
      <c r="DT100" s="193" t="s">
        <v>489</v>
      </c>
    </row>
    <row r="101" spans="2:124">
      <c r="G101" s="175" t="str">
        <f>"# of Ungranted Options"</f>
        <v># of Ungranted Options</v>
      </c>
      <c r="H101" s="175"/>
      <c r="I101" s="186">
        <f>'Cap Table'!K28</f>
        <v>0</v>
      </c>
      <c r="J101" s="193" t="s">
        <v>490</v>
      </c>
      <c r="P101" s="175" t="str">
        <f>"# of Ungranted Options"</f>
        <v># of Ungranted Options</v>
      </c>
      <c r="R101" s="186">
        <f ca="1">'Cap Table'!AE28</f>
        <v>0</v>
      </c>
      <c r="S101" s="193" t="s">
        <v>490</v>
      </c>
      <c r="AK101" s="175" t="str">
        <f>"# of Ungranted Options"</f>
        <v># of Ungranted Options</v>
      </c>
      <c r="AM101" s="186">
        <f ca="1">'Cap Table'!AZ28</f>
        <v>0</v>
      </c>
      <c r="AN101" s="193" t="s">
        <v>490</v>
      </c>
      <c r="BF101" s="175" t="str">
        <f>"# of Ungranted Options"</f>
        <v># of Ungranted Options</v>
      </c>
      <c r="BH101" s="186">
        <f ca="1">'Cap Table'!BU28</f>
        <v>0</v>
      </c>
      <c r="BI101" s="193" t="s">
        <v>490</v>
      </c>
      <c r="CA101" s="175" t="str">
        <f>"# of Ungranted Options"</f>
        <v># of Ungranted Options</v>
      </c>
      <c r="CC101" s="186">
        <f ca="1">'Cap Table'!CP28</f>
        <v>0</v>
      </c>
      <c r="CD101" s="193" t="s">
        <v>490</v>
      </c>
      <c r="CV101" s="175" t="str">
        <f>"# of Ungranted Options"</f>
        <v># of Ungranted Options</v>
      </c>
      <c r="CX101" s="186">
        <f ca="1">'Cap Table'!DK28</f>
        <v>0</v>
      </c>
      <c r="CY101" s="193" t="s">
        <v>490</v>
      </c>
      <c r="DQ101" s="175" t="str">
        <f>"# of Ungranted Options"</f>
        <v># of Ungranted Options</v>
      </c>
      <c r="DS101" s="186">
        <f ca="1">'Cap Table'!EF28</f>
        <v>0</v>
      </c>
      <c r="DT101" s="193" t="s">
        <v>490</v>
      </c>
    </row>
    <row r="102" spans="2:124">
      <c r="G102" s="175" t="str">
        <f>"# of "&amp;'Cap Table'!$D$61&amp;"s and Granted Options, after round"</f>
        <v># of Shares and Granted Options, after round</v>
      </c>
      <c r="H102" s="175"/>
      <c r="I102" s="186">
        <f>I100-I101</f>
        <v>0</v>
      </c>
      <c r="J102" s="193" t="s">
        <v>491</v>
      </c>
      <c r="P102" s="175" t="str">
        <f>"# of "&amp;'Cap Table'!$D$61&amp;"s and Granted Options, after round"</f>
        <v># of Shares and Granted Options, after round</v>
      </c>
      <c r="R102" s="186">
        <f ca="1">R100-R101</f>
        <v>0</v>
      </c>
      <c r="S102" s="193" t="s">
        <v>491</v>
      </c>
      <c r="AK102" s="175" t="str">
        <f>"# of "&amp;'Cap Table'!$D$61&amp;"s and Granted Options, after round"</f>
        <v># of Shares and Granted Options, after round</v>
      </c>
      <c r="AM102" s="186">
        <f ca="1">AM100-AM101</f>
        <v>0</v>
      </c>
      <c r="AN102" s="193" t="s">
        <v>491</v>
      </c>
      <c r="BF102" s="175" t="str">
        <f>"# of "&amp;'Cap Table'!$D$61&amp;"s and Granted Options, after round"</f>
        <v># of Shares and Granted Options, after round</v>
      </c>
      <c r="BH102" s="186">
        <f ca="1">BH100-BH101</f>
        <v>0</v>
      </c>
      <c r="BI102" s="193" t="s">
        <v>491</v>
      </c>
      <c r="CA102" s="175" t="str">
        <f>"# of "&amp;'Cap Table'!$D$61&amp;"s and Granted Options, after round"</f>
        <v># of Shares and Granted Options, after round</v>
      </c>
      <c r="CC102" s="186">
        <f ca="1">CC100-CC101</f>
        <v>0</v>
      </c>
      <c r="CD102" s="193" t="s">
        <v>491</v>
      </c>
      <c r="CV102" s="175" t="str">
        <f>"# of "&amp;'Cap Table'!$D$61&amp;"s and Granted Options, after round"</f>
        <v># of Shares and Granted Options, after round</v>
      </c>
      <c r="CX102" s="186">
        <f ca="1">CX100-CX101</f>
        <v>0</v>
      </c>
      <c r="CY102" s="193" t="s">
        <v>491</v>
      </c>
      <c r="DQ102" s="175" t="str">
        <f>"# of "&amp;'Cap Table'!$D$61&amp;"s and Granted Options, after round"</f>
        <v># of Shares and Granted Options, after round</v>
      </c>
      <c r="DS102" s="186">
        <f ca="1">DS100-DS101</f>
        <v>0</v>
      </c>
      <c r="DT102" s="193" t="s">
        <v>491</v>
      </c>
    </row>
    <row r="103" spans="2:124">
      <c r="BF103" s="155"/>
      <c r="BG103" s="155"/>
      <c r="CA103" s="155"/>
      <c r="CB103" s="155"/>
      <c r="CV103" s="155"/>
      <c r="CW103" s="155"/>
      <c r="DQ103" s="155"/>
      <c r="DR103" s="155"/>
    </row>
    <row r="104" spans="2:124">
      <c r="BF104" s="155"/>
      <c r="BG104" s="155"/>
      <c r="CA104" s="155"/>
      <c r="CB104" s="155"/>
      <c r="CV104" s="155"/>
      <c r="CW104" s="155"/>
      <c r="DQ104" s="155"/>
      <c r="DR104" s="155"/>
    </row>
    <row r="105" spans="2:124">
      <c r="BF105" s="155"/>
      <c r="BG105" s="155"/>
      <c r="CA105" s="155"/>
      <c r="CB105" s="155"/>
      <c r="CV105" s="155"/>
      <c r="CW105" s="155"/>
      <c r="DQ105" s="155"/>
      <c r="DR105" s="155"/>
    </row>
    <row r="106" spans="2:124">
      <c r="B106" s="207" t="s">
        <v>54</v>
      </c>
      <c r="C106" s="207"/>
      <c r="D106" s="207"/>
      <c r="BF106" s="155"/>
      <c r="BG106" s="155"/>
      <c r="CA106" s="155"/>
      <c r="CB106" s="155"/>
      <c r="CV106" s="155"/>
      <c r="CW106" s="155"/>
      <c r="DQ106" s="155"/>
      <c r="DR106" s="155"/>
    </row>
    <row r="107" spans="2:124">
      <c r="B107" s="149" t="s">
        <v>492</v>
      </c>
      <c r="C107" s="207"/>
      <c r="D107" s="207"/>
      <c r="BF107" s="155"/>
      <c r="BG107" s="155"/>
      <c r="CA107" s="155"/>
      <c r="CB107" s="155"/>
      <c r="CV107" s="155"/>
      <c r="CW107" s="155"/>
      <c r="DQ107" s="155"/>
      <c r="DR107" s="155"/>
    </row>
    <row r="108" spans="2:124">
      <c r="B108" s="208" t="s">
        <v>493</v>
      </c>
      <c r="C108" s="207"/>
      <c r="D108" s="207"/>
      <c r="BF108" s="155"/>
      <c r="BG108" s="155"/>
      <c r="CA108" s="155"/>
      <c r="CB108" s="155"/>
      <c r="CV108" s="155"/>
      <c r="CW108" s="155"/>
      <c r="DQ108" s="155"/>
      <c r="DR108" s="155"/>
    </row>
    <row r="109" spans="2:124">
      <c r="B109" s="209" t="s">
        <v>494</v>
      </c>
      <c r="C109" s="207"/>
      <c r="D109" s="207"/>
      <c r="BF109" s="155"/>
      <c r="BG109" s="155"/>
      <c r="CA109" s="155"/>
      <c r="CB109" s="155"/>
      <c r="CV109" s="155"/>
      <c r="CW109" s="155"/>
      <c r="DQ109" s="155"/>
      <c r="DR109" s="155"/>
    </row>
    <row r="110" spans="2:124">
      <c r="B110" s="209" t="s">
        <v>495</v>
      </c>
      <c r="C110" s="207"/>
      <c r="D110" s="207"/>
      <c r="BF110" s="155"/>
      <c r="BG110" s="155"/>
      <c r="CA110" s="155"/>
      <c r="CB110" s="155"/>
      <c r="CV110" s="155"/>
      <c r="CW110" s="155"/>
      <c r="DQ110" s="155"/>
      <c r="DR110" s="155"/>
    </row>
    <row r="111" spans="2:124">
      <c r="B111" s="210" t="s">
        <v>496</v>
      </c>
      <c r="C111" s="210"/>
      <c r="D111" s="210"/>
      <c r="BF111" s="155"/>
      <c r="BG111" s="155"/>
      <c r="CA111" s="155"/>
      <c r="CB111" s="155"/>
      <c r="CV111" s="155"/>
      <c r="CW111" s="155"/>
      <c r="DQ111" s="155"/>
      <c r="DR111" s="155"/>
    </row>
    <row r="112" spans="2:124">
      <c r="B112" s="210" t="s">
        <v>497</v>
      </c>
      <c r="C112" s="210"/>
      <c r="D112" s="210"/>
      <c r="BF112" s="155"/>
      <c r="BG112" s="155"/>
      <c r="CA112" s="155"/>
      <c r="CB112" s="155"/>
      <c r="CV112" s="155"/>
      <c r="CW112" s="155"/>
      <c r="DQ112" s="155"/>
      <c r="DR112" s="155"/>
    </row>
    <row r="113" spans="2:122">
      <c r="B113" s="149" t="s">
        <v>498</v>
      </c>
      <c r="C113" s="210"/>
      <c r="D113" s="210"/>
      <c r="BF113" s="155"/>
      <c r="BG113" s="155"/>
      <c r="CA113" s="155"/>
      <c r="CB113" s="155"/>
      <c r="CV113" s="155"/>
      <c r="CW113" s="155"/>
      <c r="DQ113" s="155"/>
      <c r="DR113" s="155"/>
    </row>
    <row r="114" spans="2:122">
      <c r="B114" s="149" t="s">
        <v>499</v>
      </c>
      <c r="C114" s="210"/>
      <c r="D114" s="210"/>
      <c r="BF114" s="155"/>
      <c r="BG114" s="155"/>
      <c r="CA114" s="155"/>
      <c r="CB114" s="155"/>
      <c r="CV114" s="155"/>
      <c r="CW114" s="155"/>
      <c r="DQ114" s="155"/>
      <c r="DR114" s="155"/>
    </row>
    <row r="115" spans="2:122">
      <c r="B115" s="149" t="s">
        <v>500</v>
      </c>
      <c r="C115" s="210"/>
      <c r="D115" s="210"/>
      <c r="BF115" s="155"/>
      <c r="BG115" s="155"/>
      <c r="CA115" s="155"/>
      <c r="CB115" s="155"/>
      <c r="CV115" s="155"/>
      <c r="CW115" s="155"/>
      <c r="DQ115" s="155"/>
      <c r="DR115" s="155"/>
    </row>
    <row r="116" spans="2:122">
      <c r="B116" s="149" t="s">
        <v>501</v>
      </c>
      <c r="C116" s="210"/>
      <c r="D116" s="210"/>
      <c r="BF116" s="155"/>
      <c r="BG116" s="155"/>
      <c r="CA116" s="155"/>
      <c r="CB116" s="155"/>
      <c r="CV116" s="155"/>
      <c r="CW116" s="155"/>
      <c r="DQ116" s="155"/>
      <c r="DR116" s="155"/>
    </row>
    <row r="117" spans="2:122">
      <c r="B117" s="193" t="s">
        <v>502</v>
      </c>
      <c r="BF117" s="155"/>
      <c r="BG117" s="155"/>
      <c r="CA117" s="155"/>
      <c r="CB117" s="155"/>
      <c r="CV117" s="155"/>
      <c r="CW117" s="155"/>
      <c r="DQ117" s="155"/>
      <c r="DR117" s="155"/>
    </row>
    <row r="118" spans="2:122">
      <c r="B118" s="193" t="s">
        <v>503</v>
      </c>
      <c r="BF118" s="155"/>
      <c r="BG118" s="155"/>
      <c r="CA118" s="155"/>
      <c r="CB118" s="155"/>
      <c r="CV118" s="155"/>
      <c r="CW118" s="155"/>
      <c r="DQ118" s="155"/>
      <c r="DR118" s="155"/>
    </row>
    <row r="119" spans="2:122">
      <c r="B119" s="193" t="s">
        <v>504</v>
      </c>
      <c r="BF119" s="155"/>
      <c r="BG119" s="155"/>
      <c r="CA119" s="155"/>
      <c r="CB119" s="155"/>
      <c r="CV119" s="155"/>
      <c r="CW119" s="155"/>
      <c r="DQ119" s="155"/>
      <c r="DR119" s="155"/>
    </row>
    <row r="120" spans="2:122">
      <c r="B120" s="193" t="s">
        <v>505</v>
      </c>
      <c r="BF120" s="155"/>
      <c r="BG120" s="155"/>
      <c r="CA120" s="155"/>
      <c r="CB120" s="155"/>
      <c r="CV120" s="155"/>
      <c r="CW120" s="155"/>
      <c r="DQ120" s="155"/>
      <c r="DR120" s="155"/>
    </row>
    <row r="121" spans="2:122">
      <c r="B121" s="193" t="s">
        <v>506</v>
      </c>
      <c r="BF121" s="155"/>
      <c r="BG121" s="155"/>
      <c r="CA121" s="155"/>
      <c r="CB121" s="155"/>
      <c r="CV121" s="155"/>
      <c r="CW121" s="155"/>
      <c r="DQ121" s="155"/>
      <c r="DR121" s="155"/>
    </row>
    <row r="122" spans="2:122">
      <c r="B122" s="211" t="s">
        <v>674</v>
      </c>
      <c r="BF122" s="155"/>
      <c r="BG122" s="155"/>
      <c r="CA122" s="155"/>
      <c r="CB122" s="155"/>
      <c r="CV122" s="155"/>
      <c r="CW122" s="155"/>
      <c r="DQ122" s="155"/>
      <c r="DR122" s="155"/>
    </row>
    <row r="123" spans="2:122">
      <c r="B123" s="193" t="s">
        <v>507</v>
      </c>
      <c r="BF123" s="155"/>
      <c r="BG123" s="155"/>
      <c r="CA123" s="155"/>
      <c r="CB123" s="155"/>
      <c r="CV123" s="155"/>
      <c r="CW123" s="155"/>
      <c r="DQ123" s="155"/>
      <c r="DR123" s="155"/>
    </row>
    <row r="124" spans="2:122">
      <c r="B124" s="193" t="s">
        <v>508</v>
      </c>
      <c r="BF124" s="155"/>
      <c r="BG124" s="155"/>
      <c r="CA124" s="155"/>
      <c r="CB124" s="155"/>
      <c r="CV124" s="155"/>
      <c r="CW124" s="155"/>
      <c r="DQ124" s="155"/>
      <c r="DR124" s="155"/>
    </row>
    <row r="125" spans="2:122">
      <c r="B125" s="193" t="s">
        <v>509</v>
      </c>
      <c r="BF125" s="155"/>
      <c r="BG125" s="155"/>
      <c r="CA125" s="155"/>
      <c r="CB125" s="155"/>
      <c r="CV125" s="155"/>
      <c r="CW125" s="155"/>
      <c r="DQ125" s="155"/>
      <c r="DR125" s="155"/>
    </row>
    <row r="126" spans="2:122">
      <c r="B126" s="193" t="s">
        <v>510</v>
      </c>
      <c r="BF126" s="155"/>
      <c r="BG126" s="155"/>
      <c r="CA126" s="155"/>
      <c r="CB126" s="155"/>
      <c r="CV126" s="155"/>
      <c r="CW126" s="155"/>
      <c r="DQ126" s="155"/>
      <c r="DR126" s="155"/>
    </row>
    <row r="127" spans="2:122">
      <c r="B127" s="211" t="s">
        <v>511</v>
      </c>
      <c r="BF127" s="155"/>
      <c r="BG127" s="155"/>
      <c r="CA127" s="155"/>
      <c r="CB127" s="155"/>
      <c r="CV127" s="155"/>
      <c r="CW127" s="155"/>
      <c r="DQ127" s="155"/>
      <c r="DR127" s="155"/>
    </row>
    <row r="128" spans="2:122">
      <c r="B128" s="2" t="s">
        <v>512</v>
      </c>
      <c r="BF128" s="155"/>
      <c r="BG128" s="155"/>
      <c r="CA128" s="155"/>
      <c r="CB128" s="155"/>
      <c r="CV128" s="155"/>
      <c r="CW128" s="155"/>
      <c r="DQ128" s="155"/>
      <c r="DR128" s="155"/>
    </row>
    <row r="129" spans="2:122">
      <c r="B129" s="149" t="s">
        <v>513</v>
      </c>
      <c r="BF129" s="155"/>
      <c r="BG129" s="155"/>
      <c r="CA129" s="155"/>
      <c r="CB129" s="155"/>
      <c r="CV129" s="155"/>
      <c r="CW129" s="155"/>
      <c r="DQ129" s="155"/>
      <c r="DR129" s="155"/>
    </row>
    <row r="130" spans="2:122">
      <c r="B130" s="149" t="s">
        <v>514</v>
      </c>
      <c r="BF130" s="155"/>
      <c r="BG130" s="155"/>
      <c r="CA130" s="155"/>
      <c r="CB130" s="155"/>
      <c r="CV130" s="155"/>
      <c r="CW130" s="155"/>
      <c r="DQ130" s="155"/>
      <c r="DR130" s="155"/>
    </row>
    <row r="131" spans="2:122">
      <c r="B131" s="149" t="s">
        <v>515</v>
      </c>
      <c r="BF131" s="155"/>
      <c r="BG131" s="155"/>
      <c r="CA131" s="155"/>
      <c r="CB131" s="155"/>
      <c r="CV131" s="155"/>
      <c r="CW131" s="155"/>
      <c r="DQ131" s="155"/>
      <c r="DR131" s="155"/>
    </row>
    <row r="132" spans="2:122">
      <c r="B132" s="149" t="s">
        <v>516</v>
      </c>
      <c r="BF132" s="155"/>
      <c r="BG132" s="155"/>
      <c r="CA132" s="155"/>
      <c r="CB132" s="155"/>
      <c r="CV132" s="155"/>
      <c r="CW132" s="155"/>
      <c r="DQ132" s="155"/>
      <c r="DR132" s="155"/>
    </row>
    <row r="133" spans="2:122">
      <c r="B133" s="149" t="s">
        <v>517</v>
      </c>
      <c r="BF133" s="155"/>
      <c r="BG133" s="155"/>
      <c r="CA133" s="155"/>
      <c r="CB133" s="155"/>
      <c r="CV133" s="155"/>
      <c r="CW133" s="155"/>
      <c r="DQ133" s="155"/>
      <c r="DR133" s="155"/>
    </row>
    <row r="134" spans="2:122">
      <c r="B134" s="149" t="s">
        <v>518</v>
      </c>
      <c r="S134" s="189"/>
      <c r="BF134" s="155"/>
      <c r="BG134" s="155"/>
      <c r="CA134" s="155"/>
      <c r="CB134" s="155"/>
      <c r="CV134" s="155"/>
      <c r="CW134" s="155"/>
      <c r="DQ134" s="155"/>
      <c r="DR134" s="155"/>
    </row>
    <row r="135" spans="2:122">
      <c r="B135" s="193" t="s">
        <v>519</v>
      </c>
      <c r="S135" s="189"/>
      <c r="BF135" s="155"/>
      <c r="BG135" s="155"/>
      <c r="CA135" s="155"/>
      <c r="CB135" s="155"/>
      <c r="CV135" s="155"/>
      <c r="CW135" s="155"/>
      <c r="DQ135" s="155"/>
      <c r="DR135" s="155"/>
    </row>
    <row r="136" spans="2:122">
      <c r="B136" s="193" t="s">
        <v>520</v>
      </c>
      <c r="BF136" s="155"/>
      <c r="BG136" s="155"/>
      <c r="CA136" s="155"/>
      <c r="CB136" s="155"/>
      <c r="CV136" s="155"/>
      <c r="CW136" s="155"/>
      <c r="DQ136" s="155"/>
      <c r="DR136" s="155"/>
    </row>
    <row r="137" spans="2:122">
      <c r="B137" s="175" t="s">
        <v>521</v>
      </c>
      <c r="BF137" s="155"/>
      <c r="BG137" s="155"/>
      <c r="CA137" s="155"/>
      <c r="CB137" s="155"/>
      <c r="CV137" s="155"/>
      <c r="CW137" s="155"/>
      <c r="DQ137" s="155"/>
      <c r="DR137" s="155"/>
    </row>
    <row r="138" spans="2:122">
      <c r="B138" s="149" t="s">
        <v>522</v>
      </c>
      <c r="BF138" s="155"/>
      <c r="BG138" s="155"/>
      <c r="CA138" s="155"/>
      <c r="CB138" s="155"/>
      <c r="CV138" s="155"/>
      <c r="CW138" s="155"/>
      <c r="DQ138" s="155"/>
      <c r="DR138" s="155"/>
    </row>
    <row r="139" spans="2:122">
      <c r="B139" s="149" t="s">
        <v>523</v>
      </c>
      <c r="BF139" s="155"/>
      <c r="BG139" s="155"/>
      <c r="CA139" s="155"/>
      <c r="CB139" s="155"/>
      <c r="CV139" s="155"/>
      <c r="CW139" s="155"/>
      <c r="DQ139" s="155"/>
      <c r="DR139" s="155"/>
    </row>
    <row r="140" spans="2:122">
      <c r="B140" s="149" t="s">
        <v>524</v>
      </c>
    </row>
    <row r="141" spans="2:122">
      <c r="B141" s="149" t="s">
        <v>525</v>
      </c>
    </row>
    <row r="142" spans="2:122">
      <c r="B142" s="149" t="s">
        <v>526</v>
      </c>
    </row>
    <row r="143" spans="2:122">
      <c r="B143" s="193" t="s">
        <v>527</v>
      </c>
    </row>
    <row r="144" spans="2:122">
      <c r="B144" s="193" t="s">
        <v>528</v>
      </c>
    </row>
    <row r="145" spans="2:2">
      <c r="B145" s="149" t="s">
        <v>529</v>
      </c>
    </row>
    <row r="146" spans="2:2">
      <c r="B146" s="149" t="s">
        <v>530</v>
      </c>
    </row>
    <row r="147" spans="2:2">
      <c r="B147" s="149" t="s">
        <v>677</v>
      </c>
    </row>
    <row r="148" spans="2:2">
      <c r="B148" s="149" t="s">
        <v>600</v>
      </c>
    </row>
    <row r="246" spans="22:25">
      <c r="V246" s="186">
        <f>IF('Cap Table'!$DS$93="non participating",MAX(V183,V173),IF('Cap Table'!$DS$93="participating preferred with a cap",MAX(V173,V203),MAX(V193,V173)))</f>
        <v>0</v>
      </c>
      <c r="W246" s="186">
        <f>IF('Cap Table'!$DS$93="non participating",MAX(W183,W173),IF('Cap Table'!$DS$93="participating preferred with a cap",MAX(W173,W203),MAX(W193,W173)))</f>
        <v>0</v>
      </c>
      <c r="X246" s="186">
        <f>IF('Cap Table'!$DS$93="non participating",MAX(X183,X173),IF('Cap Table'!$DS$93="participating preferred with a cap",MAX(X173,X203),MAX(X193,X173)))</f>
        <v>0</v>
      </c>
    </row>
    <row r="247" spans="22:25">
      <c r="V247" s="186">
        <f>IF('Cap Table'!$CX$93="non participating",MIN(V$155-SUM(V$246:V246),MAX(V184,V174)),IF('Cap Table'!$CX$93="participating preferred with a cap",MIN(V$155-SUM(V$246:V246),MAX(V174,V204)),MIN(V$155-SUM(V$246:V246),MAX(V194,V174))))</f>
        <v>0</v>
      </c>
      <c r="W247" s="186">
        <f>IF('Cap Table'!$CX$93="non participating",MIN(W$155-SUM(W$246:W246),MAX(W184,W174)),IF('Cap Table'!$CX$93="participating preferred with a cap",MIN(W$155-SUM(W$246:W246),MAX(W174,W204)),MIN(W$155-SUM(W$246:W246),MAX(W194,W174))))</f>
        <v>0</v>
      </c>
      <c r="X247" s="186">
        <f>IF('Cap Table'!$CX$93="non participating",MIN(X$155-SUM(X$246:X246),MAX(X184,X174)),IF('Cap Table'!$CX$93="participating preferred with a cap",MIN(X$155-SUM(X$246:X246),MAX(X174,X204)),MIN(X$155-SUM(X$246:X246),MAX(X194,X174))))</f>
        <v>0</v>
      </c>
    </row>
    <row r="248" spans="22:25">
      <c r="Y248" s="212" t="s">
        <v>531</v>
      </c>
    </row>
    <row r="249" spans="22:25">
      <c r="Y249" s="212" t="s">
        <v>532</v>
      </c>
    </row>
    <row r="250" spans="22:25">
      <c r="Y250" s="212" t="s">
        <v>533</v>
      </c>
    </row>
    <row r="251" spans="22:25">
      <c r="Y251" s="212" t="s">
        <v>534</v>
      </c>
    </row>
  </sheetData>
  <conditionalFormatting sqref="R73">
    <cfRule type="expression" dxfId="6" priority="6">
      <formula>AND(T$24&lt;&gt;"premoney",T$24&lt;&gt;"dollars invested",T$24&lt;&gt;"na")</formula>
    </cfRule>
  </conditionalFormatting>
  <conditionalFormatting sqref="AM73">
    <cfRule type="expression" dxfId="5" priority="5">
      <formula>AND(U$24&lt;&gt;"premoney",U$24&lt;&gt;"dollars invested",U$24&lt;&gt;"na")</formula>
    </cfRule>
  </conditionalFormatting>
  <conditionalFormatting sqref="BH73">
    <cfRule type="expression" dxfId="4" priority="4">
      <formula>AND(V$24&lt;&gt;"premoney",V$24&lt;&gt;"dollars invested",V$24&lt;&gt;"na")</formula>
    </cfRule>
  </conditionalFormatting>
  <conditionalFormatting sqref="CC73">
    <cfRule type="expression" dxfId="3" priority="3">
      <formula>AND(X$24&lt;&gt;"premoney",X$24&lt;&gt;"dollars invested",X$24&lt;&gt;"na")</formula>
    </cfRule>
  </conditionalFormatting>
  <conditionalFormatting sqref="CX73">
    <cfRule type="expression" dxfId="2" priority="2">
      <formula>AND(X$24&lt;&gt;"premoney",X$24&lt;&gt;"dollars invested",X$24&lt;&gt;"na")</formula>
    </cfRule>
  </conditionalFormatting>
  <conditionalFormatting sqref="DS73">
    <cfRule type="expression" dxfId="1" priority="1">
      <formula>AND(Y$24&lt;&gt;"premoney",Y$24&lt;&gt;"dollars invested",Y$24&lt;&gt;"na")</formula>
    </cfRule>
  </conditionalFormatting>
  <dataValidations count="6">
    <dataValidation type="list" allowBlank="1" showInputMessage="1" showErrorMessage="1" sqref="CW6:CW28 DR6:DR28 H6:H28 BG6:BG28 AL6:AL28 CB6:CB28 Q6:Q28">
      <formula1>$B$39:$B$43</formula1>
    </dataValidation>
    <dataValidation type="list" allowBlank="1" showInputMessage="1" showErrorMessage="1" sqref="D6:D26">
      <formula1>$B$47:$B$54</formula1>
    </dataValidation>
    <dataValidation type="list" allowBlank="1" showInputMessage="1" showErrorMessage="1" sqref="R91 CC91 CX91 BH91 AM91 DS91 I91 E6:E28">
      <formula1>$B$32:$B$35</formula1>
    </dataValidation>
    <dataValidation type="list" allowBlank="1" showInputMessage="1" showErrorMessage="1" sqref="R80 AM80 BH80 CC80 DS80 CX80">
      <formula1>"no,yes"</formula1>
    </dataValidation>
    <dataValidation type="list" allowBlank="1" showInputMessage="1" showErrorMessage="1" sqref="R79 AM79 BH79 CC79 DS79 CX79">
      <formula1>"Premoney,Percentage Ownership,Dollars Invested,na"</formula1>
    </dataValidation>
    <dataValidation type="list" allowBlank="1" showInputMessage="1" showErrorMessage="1" sqref="AM93 BH93 CC93 CX93 DS93 R93">
      <formula1>"Non Participating Preferred,Full Participating Preferred,Participating Preferred with a Cap"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0"/>
  <sheetViews>
    <sheetView showGridLines="0" workbookViewId="0">
      <selection activeCell="B276" sqref="B276"/>
    </sheetView>
  </sheetViews>
  <sheetFormatPr baseColWidth="10" defaultRowHeight="17" x14ac:dyDescent="0"/>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535</v>
      </c>
      <c r="C2" s="214"/>
      <c r="D2" s="214"/>
      <c r="E2" s="214"/>
      <c r="F2" s="214"/>
      <c r="G2" s="214"/>
      <c r="H2" s="214"/>
      <c r="I2" s="214"/>
      <c r="J2" s="214"/>
      <c r="K2" s="214"/>
      <c r="L2" s="214"/>
      <c r="M2" s="215"/>
      <c r="N2" s="214"/>
      <c r="O2" s="216"/>
      <c r="P2" s="216"/>
      <c r="Q2" s="216"/>
      <c r="R2" s="216"/>
    </row>
    <row r="3" spans="2:18">
      <c r="B3" s="216" t="s">
        <v>536</v>
      </c>
      <c r="C3" s="214"/>
      <c r="D3" s="214"/>
      <c r="E3" s="214"/>
      <c r="F3" s="214"/>
      <c r="G3" s="214"/>
      <c r="H3" s="214"/>
      <c r="I3" s="214"/>
      <c r="J3" s="214"/>
      <c r="K3" s="214"/>
      <c r="L3" s="214"/>
      <c r="M3" s="215"/>
      <c r="N3" s="214"/>
      <c r="O3" s="216"/>
      <c r="P3" s="216"/>
      <c r="Q3" s="216"/>
      <c r="R3" s="216"/>
    </row>
    <row r="4" spans="2:18">
      <c r="B4" s="216" t="s">
        <v>537</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Table'!$D$60</f>
        <v>$</v>
      </c>
      <c r="D6" s="218">
        <v>0</v>
      </c>
      <c r="E6" s="215" t="s">
        <v>538</v>
      </c>
      <c r="F6" s="214"/>
      <c r="G6" s="214"/>
      <c r="H6" s="214"/>
      <c r="J6" s="214"/>
      <c r="K6" s="214"/>
      <c r="L6" s="214"/>
      <c r="M6" s="215"/>
      <c r="N6" s="214"/>
      <c r="O6" s="216"/>
      <c r="P6" s="216"/>
      <c r="Q6" s="216"/>
      <c r="R6" s="216"/>
    </row>
    <row r="7" spans="2:18">
      <c r="B7" s="219" t="str">
        <f>"# of "&amp;'Cap Table'!D61&amp;"s and Granted options, at exit"</f>
        <v># of Shares and Granted options, at exit</v>
      </c>
      <c r="C7" s="217" t="s">
        <v>170</v>
      </c>
      <c r="D7" s="220">
        <f ca="1">'Cap Table'!DS102</f>
        <v>0</v>
      </c>
      <c r="E7" s="214"/>
      <c r="F7" s="214"/>
      <c r="G7" s="214"/>
      <c r="H7" s="214"/>
      <c r="J7" s="214"/>
      <c r="K7" s="214"/>
      <c r="L7" s="214"/>
      <c r="M7" s="215"/>
      <c r="N7" s="214"/>
      <c r="O7" s="216"/>
      <c r="P7" s="216"/>
      <c r="Q7" s="216"/>
      <c r="R7" s="216"/>
    </row>
    <row r="8" spans="2:18">
      <c r="B8" s="219" t="s">
        <v>19</v>
      </c>
      <c r="C8" s="217" t="str">
        <f>'Cap Table'!$D$60</f>
        <v>$</v>
      </c>
      <c r="D8" s="219">
        <f ca="1">IFERROR(D6/D7,0)</f>
        <v>0</v>
      </c>
      <c r="E8" s="214"/>
      <c r="F8" s="214"/>
      <c r="G8" s="214"/>
      <c r="H8" s="214"/>
      <c r="J8" s="214"/>
      <c r="K8" s="214"/>
      <c r="L8" s="214"/>
      <c r="M8" s="215"/>
      <c r="N8" s="214"/>
      <c r="O8" s="216"/>
      <c r="P8" s="216"/>
      <c r="Q8" s="216"/>
      <c r="R8" s="216"/>
    </row>
    <row r="9" spans="2:18">
      <c r="B9" s="219" t="s">
        <v>165</v>
      </c>
      <c r="C9" s="217"/>
      <c r="D9" s="221">
        <f ca="1">EDATE('Cap Table'!DS60,12)</f>
        <v>46095</v>
      </c>
      <c r="E9" s="215" t="s">
        <v>539</v>
      </c>
      <c r="F9" s="214"/>
      <c r="G9" s="214"/>
      <c r="H9" s="214"/>
      <c r="J9" s="214"/>
      <c r="K9" s="214"/>
      <c r="L9" s="214"/>
      <c r="M9" s="215"/>
      <c r="N9" s="214"/>
      <c r="O9" s="216"/>
      <c r="P9" s="216"/>
      <c r="Q9" s="216"/>
      <c r="R9" s="216"/>
    </row>
    <row r="10" spans="2:18">
      <c r="B10" s="219" t="s">
        <v>163</v>
      </c>
      <c r="C10" s="217" t="s">
        <v>50</v>
      </c>
      <c r="D10" s="222">
        <v>0.5</v>
      </c>
      <c r="E10" s="215" t="s">
        <v>540</v>
      </c>
      <c r="F10" s="214"/>
      <c r="G10" s="214"/>
      <c r="H10" s="214"/>
      <c r="J10" s="214"/>
      <c r="K10" s="214"/>
      <c r="L10" s="214"/>
      <c r="M10" s="215"/>
      <c r="N10" s="214"/>
      <c r="O10" s="216"/>
      <c r="P10" s="216"/>
      <c r="Q10" s="216"/>
      <c r="R10" s="216"/>
    </row>
    <row r="11" spans="2:18">
      <c r="B11" s="216" t="s">
        <v>210</v>
      </c>
      <c r="D11" s="223" t="s">
        <v>211</v>
      </c>
      <c r="E11" s="2" t="s">
        <v>541</v>
      </c>
      <c r="F11" s="214"/>
      <c r="G11" s="214"/>
      <c r="H11" s="214"/>
      <c r="I11" s="214"/>
      <c r="J11" s="214"/>
      <c r="K11" s="214"/>
      <c r="L11" s="214"/>
      <c r="M11" s="215"/>
      <c r="N11" s="214"/>
      <c r="O11" s="216"/>
      <c r="P11" s="216"/>
      <c r="Q11" s="216"/>
      <c r="R11" s="216"/>
    </row>
    <row r="12" spans="2:18">
      <c r="B12" s="224" t="s">
        <v>250</v>
      </c>
      <c r="D12" s="46" t="e">
        <f ca="1">IF(SUM(D136:K136)=0,"Yes","No")</f>
        <v>#DIV/0!</v>
      </c>
      <c r="E12" s="225" t="s">
        <v>542</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Table'!B53</f>
        <v>E</v>
      </c>
      <c r="E16" s="228" t="str">
        <f>'Cap Table'!B52</f>
        <v>D</v>
      </c>
      <c r="F16" s="228" t="str">
        <f>'Cap Table'!B51</f>
        <v>C</v>
      </c>
      <c r="G16" s="228" t="str">
        <f>'Cap Table'!B50</f>
        <v>B</v>
      </c>
      <c r="H16" s="228" t="str">
        <f>'Cap Table'!B49</f>
        <v>A</v>
      </c>
      <c r="I16" s="228" t="str">
        <f>'Cap Table'!B48</f>
        <v>Seed</v>
      </c>
      <c r="J16" s="228" t="s">
        <v>21</v>
      </c>
      <c r="K16" s="228" t="s">
        <v>22</v>
      </c>
      <c r="L16" s="229" t="s">
        <v>20</v>
      </c>
      <c r="M16" s="230" t="s">
        <v>543</v>
      </c>
      <c r="N16" s="214"/>
      <c r="O16" s="216"/>
      <c r="P16" s="216"/>
      <c r="Q16" s="216"/>
      <c r="R16" s="216"/>
    </row>
    <row r="17" spans="2:18">
      <c r="B17" s="218" t="str">
        <f>'Cap Table'!B53</f>
        <v>E</v>
      </c>
      <c r="C17" s="217" t="s">
        <v>170</v>
      </c>
      <c r="D17" s="218">
        <f ca="1">INDIRECT("'Cap Table'!EB"&amp;ROW('Cap Table'!EB$53)-(ROW(D$17)-ROW(D17)))</f>
        <v>0</v>
      </c>
      <c r="E17" s="218">
        <v>0</v>
      </c>
      <c r="F17" s="218">
        <v>0</v>
      </c>
      <c r="G17" s="218">
        <v>0</v>
      </c>
      <c r="H17" s="218">
        <v>0</v>
      </c>
      <c r="I17" s="218">
        <v>0</v>
      </c>
      <c r="J17" s="218">
        <v>0</v>
      </c>
      <c r="K17" s="218">
        <f>'Cap Table'!EX53</f>
        <v>0</v>
      </c>
      <c r="L17" s="231">
        <f t="shared" ref="L17:L25" ca="1" si="0">SUM(D17:K17)</f>
        <v>0</v>
      </c>
      <c r="M17" s="215"/>
      <c r="N17" s="214"/>
      <c r="O17" s="216"/>
      <c r="P17" s="216"/>
      <c r="Q17" s="216"/>
      <c r="R17" s="216"/>
    </row>
    <row r="18" spans="2:18">
      <c r="B18" s="218" t="str">
        <f>'Cap Table'!B52</f>
        <v>D</v>
      </c>
      <c r="C18" s="217" t="s">
        <v>170</v>
      </c>
      <c r="D18" s="218">
        <f ca="1">INDIRECT("'Cap Table'!EB"&amp;ROW('Cap Table'!EB$53)-(ROW(D$17)-ROW(D18)))</f>
        <v>0</v>
      </c>
      <c r="E18" s="218">
        <f ca="1">'Cap Table'!CX98</f>
        <v>0</v>
      </c>
      <c r="F18" s="218">
        <v>0</v>
      </c>
      <c r="G18" s="218">
        <v>0</v>
      </c>
      <c r="H18" s="218">
        <v>0</v>
      </c>
      <c r="I18" s="218">
        <v>0</v>
      </c>
      <c r="J18" s="218">
        <v>0</v>
      </c>
      <c r="K18" s="218">
        <f>'Cap Table'!EX52</f>
        <v>0</v>
      </c>
      <c r="L18" s="231">
        <f t="shared" ca="1" si="0"/>
        <v>0</v>
      </c>
      <c r="M18" s="215"/>
      <c r="N18" s="214"/>
      <c r="O18" s="216"/>
      <c r="P18" s="216"/>
      <c r="Q18" s="216"/>
      <c r="R18" s="216"/>
    </row>
    <row r="19" spans="2:18">
      <c r="B19" s="218" t="str">
        <f>'Cap Table'!B51</f>
        <v>C</v>
      </c>
      <c r="C19" s="217" t="s">
        <v>170</v>
      </c>
      <c r="D19" s="218">
        <f ca="1">INDIRECT("'Cap Table'!EB"&amp;ROW('Cap Table'!EB$53)-(ROW(D$17)-ROW(D19)))</f>
        <v>0</v>
      </c>
      <c r="E19" s="218">
        <v>0</v>
      </c>
      <c r="F19" s="218">
        <f ca="1">'Cap Table'!CC98</f>
        <v>0</v>
      </c>
      <c r="G19" s="218">
        <v>0</v>
      </c>
      <c r="H19" s="218">
        <v>0</v>
      </c>
      <c r="I19" s="218">
        <v>0</v>
      </c>
      <c r="J19" s="218">
        <v>0</v>
      </c>
      <c r="K19" s="218">
        <f>'Cap Table'!EX51</f>
        <v>0</v>
      </c>
      <c r="L19" s="231">
        <f t="shared" ca="1" si="0"/>
        <v>0</v>
      </c>
      <c r="M19" s="215"/>
      <c r="N19" s="214"/>
      <c r="O19" s="216"/>
      <c r="P19" s="216"/>
      <c r="Q19" s="216"/>
      <c r="R19" s="216"/>
    </row>
    <row r="20" spans="2:18">
      <c r="B20" s="218" t="str">
        <f>'Cap Table'!B50</f>
        <v>B</v>
      </c>
      <c r="C20" s="217" t="s">
        <v>170</v>
      </c>
      <c r="D20" s="218">
        <f ca="1">INDIRECT("'Cap Table'!EB"&amp;ROW('Cap Table'!EB$53)-(ROW(D$17)-ROW(D20)))</f>
        <v>0</v>
      </c>
      <c r="E20" s="218">
        <v>0</v>
      </c>
      <c r="F20" s="218">
        <v>0</v>
      </c>
      <c r="G20" s="218">
        <f ca="1">'Cap Table'!BH98</f>
        <v>0</v>
      </c>
      <c r="H20" s="218">
        <v>0</v>
      </c>
      <c r="I20" s="218">
        <v>0</v>
      </c>
      <c r="J20" s="218">
        <v>0</v>
      </c>
      <c r="K20" s="218">
        <f>'Cap Table'!EW50</f>
        <v>0</v>
      </c>
      <c r="L20" s="231">
        <f t="shared" ca="1" si="0"/>
        <v>0</v>
      </c>
      <c r="M20" s="215"/>
      <c r="N20" s="214"/>
      <c r="O20" s="216"/>
      <c r="P20" s="216"/>
      <c r="Q20" s="216"/>
      <c r="R20" s="216"/>
    </row>
    <row r="21" spans="2:18">
      <c r="B21" s="218" t="str">
        <f>'Cap Table'!B49</f>
        <v>A</v>
      </c>
      <c r="C21" s="217" t="s">
        <v>170</v>
      </c>
      <c r="D21" s="218">
        <f ca="1">INDIRECT("'Cap Table'!EB"&amp;ROW('Cap Table'!EB$53)-(ROW(D$17)-ROW(D21)))</f>
        <v>0</v>
      </c>
      <c r="E21" s="218">
        <v>0</v>
      </c>
      <c r="F21" s="218">
        <v>0</v>
      </c>
      <c r="G21" s="218">
        <v>0</v>
      </c>
      <c r="H21" s="218">
        <f ca="1">'Cap Table'!AM98</f>
        <v>0</v>
      </c>
      <c r="I21" s="218">
        <v>0</v>
      </c>
      <c r="J21" s="218">
        <v>0</v>
      </c>
      <c r="K21" s="218">
        <f>'Cap Table'!EX49</f>
        <v>0</v>
      </c>
      <c r="L21" s="231">
        <f t="shared" ca="1" si="0"/>
        <v>0</v>
      </c>
      <c r="M21" s="215"/>
      <c r="N21" s="214"/>
      <c r="O21" s="216"/>
      <c r="P21" s="216"/>
      <c r="Q21" s="216"/>
      <c r="R21" s="216"/>
    </row>
    <row r="22" spans="2:18">
      <c r="B22" s="218" t="str">
        <f>'Cap Table'!B48</f>
        <v>Seed</v>
      </c>
      <c r="C22" s="217" t="s">
        <v>170</v>
      </c>
      <c r="D22" s="218">
        <f ca="1">INDIRECT("'Cap Table'!EB"&amp;ROW('Cap Table'!EB$53)-(ROW(D$17)-ROW(D22)))</f>
        <v>0</v>
      </c>
      <c r="E22" s="218">
        <v>0</v>
      </c>
      <c r="F22" s="218">
        <v>0</v>
      </c>
      <c r="G22" s="218">
        <v>0</v>
      </c>
      <c r="H22" s="218">
        <v>0</v>
      </c>
      <c r="I22" s="218">
        <f ca="1">'Cap Table'!R98</f>
        <v>0</v>
      </c>
      <c r="J22" s="218">
        <v>0</v>
      </c>
      <c r="K22" s="218">
        <f>'Cap Table'!EX48</f>
        <v>0</v>
      </c>
      <c r="L22" s="231">
        <f t="shared" ca="1" si="0"/>
        <v>0</v>
      </c>
      <c r="M22" s="215"/>
      <c r="N22" s="214"/>
      <c r="O22" s="216"/>
      <c r="P22" s="216"/>
      <c r="Q22" s="216"/>
      <c r="R22" s="216"/>
    </row>
    <row r="23" spans="2:18">
      <c r="B23" s="218" t="s">
        <v>544</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Table'!I99:BJ99)-'Cap Table'!DS101</f>
        <v>0</v>
      </c>
      <c r="L24" s="231">
        <f t="shared" ca="1" si="0"/>
        <v>0</v>
      </c>
      <c r="M24" s="215" t="s">
        <v>545</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546</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t="e">
        <f t="shared" ref="D28:L28" ca="1" si="2">D27/$L27</f>
        <v>#DIV/0!</v>
      </c>
      <c r="E28" s="233" t="e">
        <f t="shared" ca="1" si="2"/>
        <v>#DIV/0!</v>
      </c>
      <c r="F28" s="233" t="e">
        <f t="shared" ca="1" si="2"/>
        <v>#DIV/0!</v>
      </c>
      <c r="G28" s="233" t="e">
        <f t="shared" ca="1" si="2"/>
        <v>#DIV/0!</v>
      </c>
      <c r="H28" s="233" t="e">
        <f t="shared" ca="1" si="2"/>
        <v>#DIV/0!</v>
      </c>
      <c r="I28" s="233" t="e">
        <f t="shared" ca="1" si="2"/>
        <v>#DIV/0!</v>
      </c>
      <c r="J28" s="233" t="e">
        <f t="shared" ca="1" si="2"/>
        <v>#DIV/0!</v>
      </c>
      <c r="K28" s="233" t="e">
        <f t="shared" ca="1" si="2"/>
        <v>#DIV/0!</v>
      </c>
      <c r="L28" s="233" t="e">
        <f t="shared" ca="1" si="2"/>
        <v>#DIV/0!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Table'!$D$60</f>
        <v>$</v>
      </c>
      <c r="D30" s="234">
        <f ca="1">IF('Cap Table'!DS62=0,'Cap Table'!DS76,'Cap Table'!DS62)</f>
        <v>0</v>
      </c>
      <c r="E30" s="234">
        <f ca="1">IF('Cap Table'!CX62=0,'Cap Table'!CX76,'Cap Table'!CX62)</f>
        <v>0</v>
      </c>
      <c r="F30" s="234">
        <f ca="1">IF('Cap Table'!CC62=0,'Cap Table'!CC76,'Cap Table'!CC62)</f>
        <v>0</v>
      </c>
      <c r="G30" s="234">
        <f ca="1">IF('Cap Table'!BH62=0,'Cap Table'!BH76,'Cap Table'!BH62)</f>
        <v>0</v>
      </c>
      <c r="H30" s="234">
        <f ca="1">IF('Cap Table'!AM62=0,'Cap Table'!AM76,'Cap Table'!AM62)</f>
        <v>0</v>
      </c>
      <c r="I30" s="235">
        <f ca="1">IF('Cap Table'!R62=0,'Cap Table'!R76,'Cap Table'!R62)</f>
        <v>0</v>
      </c>
      <c r="J30" s="235">
        <f>'Cap Table'!I62</f>
        <v>0</v>
      </c>
      <c r="K30" s="235">
        <v>0</v>
      </c>
      <c r="L30" s="235">
        <f ca="1">IFERROR(SUMPRODUCT(D30:K30,D31:K31)/L31,0)</f>
        <v>0</v>
      </c>
      <c r="M30" s="215" t="s">
        <v>547</v>
      </c>
      <c r="N30" s="214"/>
      <c r="O30" s="216"/>
      <c r="P30" s="216"/>
      <c r="Q30" s="216"/>
      <c r="R30" s="216"/>
    </row>
    <row r="31" spans="2:18">
      <c r="B31" s="216" t="s">
        <v>191</v>
      </c>
      <c r="C31" s="217" t="str">
        <f>'Cap Table'!$D$60</f>
        <v>$</v>
      </c>
      <c r="D31" s="236">
        <f ca="1">IF(D30&lt;&gt;0,'Cap Table'!DS65+'Cap Table'!DS68-'Cap Table'!DS66,0)</f>
        <v>0</v>
      </c>
      <c r="E31" s="236">
        <f ca="1">IF(E30&lt;&gt;0,'Cap Table'!CX65+'Cap Table'!CX68-'Cap Table'!CX66,0)</f>
        <v>0</v>
      </c>
      <c r="F31" s="236">
        <f ca="1">IF(F30&lt;&gt;0,'Cap Table'!CC65+'Cap Table'!CC68-'Cap Table'!CC66,0)</f>
        <v>0</v>
      </c>
      <c r="G31" s="236">
        <f ca="1">IF(G30&lt;&gt;0,'Cap Table'!BH65+'Cap Table'!BH68-'Cap Table'!BH66,0)</f>
        <v>0</v>
      </c>
      <c r="H31" s="236">
        <f ca="1">IF(H30&lt;&gt;0,'Cap Table'!AM65+'Cap Table'!AM68-'Cap Table'!AM66,0)</f>
        <v>0</v>
      </c>
      <c r="I31" s="236">
        <f ca="1">IF(I30&lt;&gt;0,'Cap Table'!R65+'Cap Table'!R68-'Cap Table'!R66,0)</f>
        <v>0</v>
      </c>
      <c r="J31" s="236">
        <f>IF(J30&lt;&gt;0,'Cap Table'!I65+'Cap Table'!I68-'Cap Table'!I66,0)</f>
        <v>0</v>
      </c>
      <c r="K31" s="236">
        <f t="shared" ref="K31" ca="1" si="3">IFERROR(K30*K27,0)</f>
        <v>0</v>
      </c>
      <c r="L31" s="237">
        <f ca="1">SUM(D31:K31)</f>
        <v>0</v>
      </c>
      <c r="M31" s="215" t="s">
        <v>547</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548</v>
      </c>
      <c r="N33" s="216"/>
      <c r="O33" s="216"/>
      <c r="P33" s="216"/>
    </row>
    <row r="34" spans="2:18">
      <c r="B34" s="216" t="s">
        <v>28</v>
      </c>
      <c r="C34" s="217" t="str">
        <f>'Cap Table'!$D$60</f>
        <v>$</v>
      </c>
      <c r="D34" s="236">
        <f ca="1">(D31+'Cap Table'!DS66)*'Cap Table'!DS92</f>
        <v>0</v>
      </c>
      <c r="E34" s="236">
        <f ca="1">(E31+'Cap Table'!CX66)*'Cap Table'!CX92</f>
        <v>0</v>
      </c>
      <c r="F34" s="236">
        <f ca="1">(F31+'Cap Table'!CC66)*'Cap Table'!CC92</f>
        <v>0</v>
      </c>
      <c r="G34" s="236">
        <f ca="1">(G31+'Cap Table'!BH66)*'Cap Table'!BH92</f>
        <v>0</v>
      </c>
      <c r="H34" s="236">
        <f ca="1">(H31+'Cap Table'!AM66)*'Cap Table'!AM92</f>
        <v>0</v>
      </c>
      <c r="I34" s="236">
        <f ca="1">(I31+'Cap Table'!R66)*'Cap Table'!R92</f>
        <v>0</v>
      </c>
      <c r="J34" s="236">
        <f t="shared" ref="J34:K34" si="4">J31</f>
        <v>0</v>
      </c>
      <c r="K34" s="236">
        <f t="shared" ca="1" si="4"/>
        <v>0</v>
      </c>
      <c r="L34" s="237">
        <f ca="1">SUM(D34:G34)</f>
        <v>0</v>
      </c>
      <c r="M34" s="215" t="s">
        <v>549</v>
      </c>
      <c r="N34" s="216"/>
      <c r="O34" s="216"/>
      <c r="P34" s="216"/>
    </row>
    <row r="35" spans="2:18">
      <c r="B35" s="219" t="s">
        <v>167</v>
      </c>
      <c r="C35" s="217" t="s">
        <v>301</v>
      </c>
      <c r="D35" s="239" t="str">
        <f>'Cap Table'!DS93</f>
        <v>Non Participating Preferred</v>
      </c>
      <c r="E35" s="239" t="str">
        <f>'Cap Table'!CX93</f>
        <v>Non Participating Preferred</v>
      </c>
      <c r="F35" s="239" t="str">
        <f>'Cap Table'!CC93</f>
        <v>Non Participating Preferred</v>
      </c>
      <c r="G35" s="239" t="str">
        <f>'Cap Table'!BH93</f>
        <v>Non Participating Preferred</v>
      </c>
      <c r="H35" s="239" t="str">
        <f>'Cap Table'!AM93</f>
        <v>Non Participating Preferred</v>
      </c>
      <c r="I35" s="239" t="str">
        <f>'Cap Table'!R93</f>
        <v>Non Participating Preferred</v>
      </c>
      <c r="J35" s="240" t="s">
        <v>27</v>
      </c>
      <c r="K35" s="240" t="s">
        <v>27</v>
      </c>
      <c r="M35" s="230" t="s">
        <v>550</v>
      </c>
    </row>
    <row r="36" spans="2:18">
      <c r="B36" s="219" t="s">
        <v>168</v>
      </c>
      <c r="C36" s="217" t="s">
        <v>170</v>
      </c>
      <c r="D36" s="241">
        <f>'Cap Table'!DS94</f>
        <v>3</v>
      </c>
      <c r="E36" s="241">
        <f>'Cap Table'!CX94</f>
        <v>2</v>
      </c>
      <c r="F36" s="241">
        <f>'Cap Table'!CC94</f>
        <v>1.5</v>
      </c>
      <c r="G36" s="241">
        <f>'Cap Table'!BH94</f>
        <v>2</v>
      </c>
      <c r="H36" s="241">
        <f>'Cap Table'!AM94</f>
        <v>2</v>
      </c>
      <c r="I36" s="241">
        <f>'Cap Table'!R94</f>
        <v>2</v>
      </c>
      <c r="J36" s="240" t="s">
        <v>27</v>
      </c>
      <c r="K36" s="242" t="s">
        <v>27</v>
      </c>
      <c r="M36" s="215" t="s">
        <v>551</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Table'!$D$60</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552</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553</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554</v>
      </c>
      <c r="N43" s="214"/>
      <c r="O43" s="216"/>
    </row>
    <row r="44" spans="2:18">
      <c r="B44" s="216" t="s">
        <v>19</v>
      </c>
      <c r="C44" s="217" t="str">
        <f>'Cap Table'!$D$60</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555</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Table'!$D$60</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556</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557</v>
      </c>
    </row>
    <row r="49" spans="2:13" s="11" customFormat="1">
      <c r="B49" s="245" t="s">
        <v>197</v>
      </c>
      <c r="C49" s="249" t="str">
        <f>'Cap Table'!$D$60</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558</v>
      </c>
    </row>
    <row r="50" spans="2:13" s="11" customFormat="1">
      <c r="B50" s="245" t="s">
        <v>196</v>
      </c>
      <c r="C50" s="249" t="str">
        <f>'Cap Table'!$D$60</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559</v>
      </c>
    </row>
    <row r="51" spans="2:13" s="11" customFormat="1">
      <c r="B51" s="245" t="s">
        <v>560</v>
      </c>
      <c r="C51" s="249" t="str">
        <f>'Cap Table'!$D$60</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561</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562</v>
      </c>
    </row>
    <row r="53" spans="2:13" s="11" customFormat="1">
      <c r="B53" s="245" t="s">
        <v>203</v>
      </c>
      <c r="C53" s="249" t="s">
        <v>420</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563</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564</v>
      </c>
    </row>
    <row r="55" spans="2:13" s="11" customFormat="1">
      <c r="B55" s="245" t="s">
        <v>200</v>
      </c>
      <c r="C55" s="249" t="str">
        <f>'Cap Table'!$D$60</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565</v>
      </c>
    </row>
    <row r="56" spans="2:13" s="11" customFormat="1">
      <c r="B56" s="245" t="s">
        <v>23</v>
      </c>
      <c r="C56" s="249" t="str">
        <f>'Cap Table'!$D$60</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566</v>
      </c>
    </row>
    <row r="57" spans="2:13" s="11" customFormat="1">
      <c r="B57" s="245" t="s">
        <v>19</v>
      </c>
      <c r="C57" s="249" t="str">
        <f>'Cap Table'!$D$60</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567</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Table'!$D$60</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568</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Table'!$D$60</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Table'!$D$60</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560</v>
      </c>
      <c r="C64" s="249" t="str">
        <f>'Cap Table'!$D$60</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420</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Table'!$D$60</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Table'!$D$60</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Table'!$D$60</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Table'!$D$60</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568</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Table'!$D$60</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Table'!$D$60</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560</v>
      </c>
      <c r="C77" s="249" t="str">
        <f>'Cap Table'!$D$60</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301</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Table'!$D$60</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Table'!$D$60</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Table'!$D$60</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Table'!$D$60</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568</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Table'!$D$60</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Table'!$D$60</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560</v>
      </c>
      <c r="C90" s="249" t="str">
        <f>'Cap Table'!$D$60</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420</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Table'!$D$60</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Table'!$D$60</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Table'!$D$60</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Table'!$D$60</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568</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Table'!$D$60</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Table'!$D$60</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560</v>
      </c>
      <c r="C103" s="249" t="str">
        <f>'Cap Table'!$D$60</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420</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Table'!$D$60</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Table'!$D$60</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Table'!$D$60</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Table'!$D$60</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568</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Table'!$D$60</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Table'!$D$60</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560</v>
      </c>
      <c r="C116" s="249" t="str">
        <f>'Cap Table'!$D$60</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420</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Table'!$D$60</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Table'!$D$60</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Table'!$D$60</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Table'!$D$60</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Table'!$D$60</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Table'!$D$60</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Table'!$D$60</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Table'!$D$60</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Table'!$D$60</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569</v>
      </c>
    </row>
    <row r="136" spans="2:13" s="11" customFormat="1">
      <c r="B136" s="245" t="s">
        <v>570</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571</v>
      </c>
    </row>
    <row r="137" spans="2:13" s="11" customFormat="1">
      <c r="C137" s="93"/>
      <c r="M137" s="248"/>
    </row>
    <row r="138" spans="2:13" s="11" customFormat="1">
      <c r="B138" s="247" t="s">
        <v>208</v>
      </c>
      <c r="C138" s="93"/>
      <c r="M138" s="248"/>
    </row>
    <row r="139" spans="2:13">
      <c r="B139" s="6" t="str">
        <f>B46</f>
        <v>E Round Shareholders</v>
      </c>
      <c r="C139" s="217" t="str">
        <f>'Cap Table'!$D$60</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Table'!$D$60</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Table'!$D$60</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Table'!$D$60</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Table'!$D$60</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Table'!$D$60</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Table'!$D$60</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Table'!$D$60</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569</v>
      </c>
    </row>
    <row r="147" spans="2:13">
      <c r="C147" s="2"/>
      <c r="M147" s="215"/>
    </row>
    <row r="148" spans="2:13">
      <c r="B148" s="227" t="s">
        <v>247</v>
      </c>
      <c r="C148" s="2"/>
      <c r="M148" s="215"/>
    </row>
    <row r="149" spans="2:13">
      <c r="B149" s="216" t="str">
        <f>B46</f>
        <v>E Round Shareholders</v>
      </c>
      <c r="C149" s="217" t="str">
        <f>'Cap Table'!$D$60</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Table'!$D$60</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Table'!$D$60</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Table'!$D$60</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Table'!$D$60</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Table'!$D$60</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Table'!$D$60</f>
        <v>$</v>
      </c>
      <c r="D155" s="6">
        <v>0</v>
      </c>
      <c r="E155" s="6">
        <v>0</v>
      </c>
      <c r="F155" s="6">
        <v>0</v>
      </c>
      <c r="G155" s="6">
        <v>0</v>
      </c>
      <c r="H155" s="6">
        <v>0</v>
      </c>
      <c r="I155" s="6">
        <v>0</v>
      </c>
      <c r="J155" s="6">
        <v>0</v>
      </c>
      <c r="K155" s="6">
        <v>0</v>
      </c>
      <c r="L155" s="6">
        <v>0</v>
      </c>
      <c r="M155" s="215"/>
    </row>
    <row r="156" spans="2:13">
      <c r="B156" s="216" t="s">
        <v>20</v>
      </c>
      <c r="C156" s="217" t="str">
        <f>'Cap Table'!$D$60</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572</v>
      </c>
    </row>
    <row r="157" spans="2:13">
      <c r="C157" s="2"/>
      <c r="M157" s="215"/>
    </row>
    <row r="158" spans="2:13">
      <c r="M158" s="215"/>
    </row>
    <row r="159" spans="2:13">
      <c r="B159" s="47" t="s">
        <v>573</v>
      </c>
      <c r="M159" s="215"/>
    </row>
    <row r="160" spans="2:13">
      <c r="B160" s="34"/>
      <c r="M160" s="215"/>
    </row>
    <row r="161" spans="2:13">
      <c r="B161" s="6" t="str">
        <f>B$17</f>
        <v>E</v>
      </c>
      <c r="C161" s="217" t="str">
        <f>'Cap Table'!$D$60</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Table'!$D$60</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Table'!$D$60</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Table'!$D$60</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Table'!$D$60</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Table'!$D$60</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Table'!$D$60</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Table'!$D$60</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Table'!$D$60</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574</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575</v>
      </c>
      <c r="M185" s="215" t="s">
        <v>576</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577</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578</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579</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580</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289</v>
      </c>
    </row>
    <row r="241" spans="13:13">
      <c r="M241" s="259" t="s">
        <v>312</v>
      </c>
    </row>
    <row r="273" spans="2:13">
      <c r="D273" s="260"/>
      <c r="E273" s="261"/>
    </row>
    <row r="274" spans="2:13">
      <c r="B274" s="47" t="s">
        <v>581</v>
      </c>
      <c r="D274" s="261"/>
      <c r="M274" s="259" t="s">
        <v>582</v>
      </c>
    </row>
    <row r="275" spans="2:13">
      <c r="B275" s="34"/>
      <c r="G275" s="6"/>
      <c r="M275" s="61" t="s">
        <v>583</v>
      </c>
    </row>
    <row r="276" spans="2:13">
      <c r="B276" s="6" t="str">
        <f>'Cap Table'!B6</f>
        <v>Co-Founder 1</v>
      </c>
      <c r="C276" s="217" t="str">
        <f>'Cap Table'!$D$60</f>
        <v>$</v>
      </c>
      <c r="D276" s="250" t="e">
        <f ca="1">('Cap Table'!$EB6+'Cap Table'!$EC6)*D$57+D$70*('Cap Table'!$DG6+'Cap Table'!$DH6)+D$83*('Cap Table'!$CL6+'Cap Table'!$CM6)+D$96*('Cap Table'!$BQ6+'Cap Table'!$BR6)+D$109*('Cap Table'!$AV6+'Cap Table'!$AW6)+('Cap Table'!$AA6+'Cap Table'!$AB6)*D$122+('Cap Table'!$I6+'Cap Table'!$J6)*D$133</f>
        <v>#DIV/0!</v>
      </c>
      <c r="E276" s="250" t="e">
        <f ca="1">('Cap Table'!$EB6+'Cap Table'!$EC6)*E$57+E$70*('Cap Table'!$DG6+'Cap Table'!$DH6)+E$83*('Cap Table'!$CL6+'Cap Table'!$CM6)+E$96*('Cap Table'!$BQ6+'Cap Table'!$BR6)+E$109*('Cap Table'!$AV6+'Cap Table'!$AW6)+('Cap Table'!$AA6+'Cap Table'!$AB6)*E$122+('Cap Table'!$I6+'Cap Table'!$J6)*E$133</f>
        <v>#DIV/0!</v>
      </c>
      <c r="F276" s="250" t="e">
        <f ca="1">('Cap Table'!$EB6+'Cap Table'!$EC6)*F$57+F$70*('Cap Table'!$DG6+'Cap Table'!$DH6)+F$83*('Cap Table'!$CL6+'Cap Table'!$CM6)+F$96*('Cap Table'!$BQ6+'Cap Table'!$BR6)+F$109*('Cap Table'!$AV6+'Cap Table'!$AW6)+('Cap Table'!$AA6+'Cap Table'!$AB6)*F$122+('Cap Table'!$I6+'Cap Table'!$J6)*F$133</f>
        <v>#DIV/0!</v>
      </c>
      <c r="G276" s="250" t="e">
        <f ca="1">('Cap Table'!$EB6+'Cap Table'!$EC6)*G$57+G$70*('Cap Table'!$DG6+'Cap Table'!$DH6)+G$83*('Cap Table'!$CL6+'Cap Table'!$CM6)+G$96*('Cap Table'!$BQ6+'Cap Table'!$BR6)+G$109*('Cap Table'!$AV6+'Cap Table'!$AW6)+('Cap Table'!$AA6+'Cap Table'!$AB6)*G$122+('Cap Table'!$I6+'Cap Table'!$J6)*G$133</f>
        <v>#DIV/0!</v>
      </c>
      <c r="H276" s="250" t="e">
        <f ca="1">('Cap Table'!$EB6+'Cap Table'!$EC6)*H$57+H$70*('Cap Table'!$DG6+'Cap Table'!$DH6)+H$83*('Cap Table'!$CL6+'Cap Table'!$CM6)+H$96*('Cap Table'!$BQ6+'Cap Table'!$BR6)+H$109*('Cap Table'!$AV6+'Cap Table'!$AW6)+('Cap Table'!$AA6+'Cap Table'!$AB6)*H$122+('Cap Table'!$I6+'Cap Table'!$J6)*H$133</f>
        <v>#DIV/0!</v>
      </c>
      <c r="I276" s="250" t="e">
        <f ca="1">('Cap Table'!$EB6+'Cap Table'!$EC6)*I$57+I$70*('Cap Table'!$DG6+'Cap Table'!$DH6)+I$83*('Cap Table'!$CL6+'Cap Table'!$CM6)+I$96*('Cap Table'!$BQ6+'Cap Table'!$BR6)+I$109*('Cap Table'!$AV6+'Cap Table'!$AW6)+('Cap Table'!$AA6+'Cap Table'!$AB6)*I$122+('Cap Table'!$I6+'Cap Table'!$J6)*I$133</f>
        <v>#DIV/0!</v>
      </c>
      <c r="J276" s="250" t="e">
        <f ca="1">('Cap Table'!$EB6+'Cap Table'!$EC6)*J$57+J$70*('Cap Table'!$DG6+'Cap Table'!$DH6)+J$83*('Cap Table'!$CL6+'Cap Table'!$CM6)+J$96*('Cap Table'!$BQ6+'Cap Table'!$BR6)+J$109*('Cap Table'!$AV6+'Cap Table'!$AW6)+('Cap Table'!$AA6+'Cap Table'!$AB6)*J$122+('Cap Table'!$I6+'Cap Table'!$J6)*J$133</f>
        <v>#DIV/0!</v>
      </c>
      <c r="K276" s="250" t="e">
        <f ca="1">('Cap Table'!$EB6+'Cap Table'!$EC6)*K$57+K$70*('Cap Table'!$DG6+'Cap Table'!$DH6)+K$83*('Cap Table'!$CL6+'Cap Table'!$CM6)+K$96*('Cap Table'!$BQ6+'Cap Table'!$BR6)+K$109*('Cap Table'!$AV6+'Cap Table'!$AW6)+('Cap Table'!$AA6+'Cap Table'!$AB6)*K$122+('Cap Table'!$I6+'Cap Table'!$J6)*K$133</f>
        <v>#DIV/0!</v>
      </c>
      <c r="L276" s="250" t="e">
        <f ca="1">('Cap Table'!$EB6+'Cap Table'!$EC6)*L$57+L$70*('Cap Table'!$DG6+'Cap Table'!$DH6)+L$83*('Cap Table'!$CL6+'Cap Table'!$CM6)+L$96*('Cap Table'!$BQ6+'Cap Table'!$BR6)+L$109*('Cap Table'!$AV6+'Cap Table'!$AW6)+('Cap Table'!$AA6+'Cap Table'!$AB6)*L$122+('Cap Table'!$I6+'Cap Table'!$J6)*L$133</f>
        <v>#DIV/0!</v>
      </c>
    </row>
    <row r="277" spans="2:13">
      <c r="B277" s="6" t="str">
        <f>'Cap Table'!B7</f>
        <v>Employee</v>
      </c>
      <c r="C277" s="217" t="str">
        <f>'Cap Table'!$D$60</f>
        <v>$</v>
      </c>
      <c r="D277" s="250" t="e">
        <f ca="1">('Cap Table'!$EB7+'Cap Table'!$EC7)*D$57+D$70*('Cap Table'!$DG7+'Cap Table'!$DH7)+D$83*('Cap Table'!$CL7+'Cap Table'!$CM7)+D$96*('Cap Table'!$BQ7+'Cap Table'!$BR7)+D$109*('Cap Table'!$AV7+'Cap Table'!$AW7)+('Cap Table'!$AA7+'Cap Table'!$AB7)*D$122+('Cap Table'!$I7+'Cap Table'!$J7)*D$133</f>
        <v>#DIV/0!</v>
      </c>
      <c r="E277" s="250" t="e">
        <f ca="1">('Cap Table'!$EB7+'Cap Table'!$EC7)*E$57+E$70*('Cap Table'!$DG7+'Cap Table'!$DH7)+E$83*('Cap Table'!$CL7+'Cap Table'!$CM7)+E$96*('Cap Table'!$BQ7+'Cap Table'!$BR7)+E$109*('Cap Table'!$AV7+'Cap Table'!$AW7)+('Cap Table'!$AA7+'Cap Table'!$AB7)*E$122+('Cap Table'!$I7+'Cap Table'!$J7)*E$133</f>
        <v>#DIV/0!</v>
      </c>
      <c r="F277" s="250" t="e">
        <f ca="1">('Cap Table'!$EB7+'Cap Table'!$EC7)*F$57+F$70*('Cap Table'!$DG7+'Cap Table'!$DH7)+F$83*('Cap Table'!$CL7+'Cap Table'!$CM7)+F$96*('Cap Table'!$BQ7+'Cap Table'!$BR7)+F$109*('Cap Table'!$AV7+'Cap Table'!$AW7)+('Cap Table'!$AA7+'Cap Table'!$AB7)*F$122+('Cap Table'!$I7+'Cap Table'!$J7)*F$133</f>
        <v>#DIV/0!</v>
      </c>
      <c r="G277" s="250" t="e">
        <f ca="1">('Cap Table'!$EB7+'Cap Table'!$EC7)*G$57+G$70*('Cap Table'!$DG7+'Cap Table'!$DH7)+G$83*('Cap Table'!$CL7+'Cap Table'!$CM7)+G$96*('Cap Table'!$BQ7+'Cap Table'!$BR7)+G$109*('Cap Table'!$AV7+'Cap Table'!$AW7)+('Cap Table'!$AA7+'Cap Table'!$AB7)*G$122+('Cap Table'!$I7+'Cap Table'!$J7)*G$133</f>
        <v>#DIV/0!</v>
      </c>
      <c r="H277" s="250" t="e">
        <f ca="1">('Cap Table'!$EB7+'Cap Table'!$EC7)*H$57+H$70*('Cap Table'!$DG7+'Cap Table'!$DH7)+H$83*('Cap Table'!$CL7+'Cap Table'!$CM7)+H$96*('Cap Table'!$BQ7+'Cap Table'!$BR7)+H$109*('Cap Table'!$AV7+'Cap Table'!$AW7)+('Cap Table'!$AA7+'Cap Table'!$AB7)*H$122+('Cap Table'!$I7+'Cap Table'!$J7)*H$133</f>
        <v>#DIV/0!</v>
      </c>
      <c r="I277" s="250" t="e">
        <f ca="1">('Cap Table'!$EB7+'Cap Table'!$EC7)*I$57+I$70*('Cap Table'!$DG7+'Cap Table'!$DH7)+I$83*('Cap Table'!$CL7+'Cap Table'!$CM7)+I$96*('Cap Table'!$BQ7+'Cap Table'!$BR7)+I$109*('Cap Table'!$AV7+'Cap Table'!$AW7)+('Cap Table'!$AA7+'Cap Table'!$AB7)*I$122+('Cap Table'!$I7+'Cap Table'!$J7)*I$133</f>
        <v>#DIV/0!</v>
      </c>
      <c r="J277" s="250" t="e">
        <f ca="1">('Cap Table'!$EB7+'Cap Table'!$EC7)*J$57+J$70*('Cap Table'!$DG7+'Cap Table'!$DH7)+J$83*('Cap Table'!$CL7+'Cap Table'!$CM7)+J$96*('Cap Table'!$BQ7+'Cap Table'!$BR7)+J$109*('Cap Table'!$AV7+'Cap Table'!$AW7)+('Cap Table'!$AA7+'Cap Table'!$AB7)*J$122+('Cap Table'!$I7+'Cap Table'!$J7)*J$133</f>
        <v>#DIV/0!</v>
      </c>
      <c r="K277" s="250" t="e">
        <f ca="1">('Cap Table'!$EB7+'Cap Table'!$EC7)*K$57+K$70*('Cap Table'!$DG7+'Cap Table'!$DH7)+K$83*('Cap Table'!$CL7+'Cap Table'!$CM7)+K$96*('Cap Table'!$BQ7+'Cap Table'!$BR7)+K$109*('Cap Table'!$AV7+'Cap Table'!$AW7)+('Cap Table'!$AA7+'Cap Table'!$AB7)*K$122+('Cap Table'!$I7+'Cap Table'!$J7)*K$133</f>
        <v>#DIV/0!</v>
      </c>
      <c r="L277" s="250" t="e">
        <f ca="1">('Cap Table'!$EB7+'Cap Table'!$EC7)*L$57+L$70*('Cap Table'!$DG7+'Cap Table'!$DH7)+L$83*('Cap Table'!$CL7+'Cap Table'!$CM7)+L$96*('Cap Table'!$BQ7+'Cap Table'!$BR7)+L$109*('Cap Table'!$AV7+'Cap Table'!$AW7)+('Cap Table'!$AA7+'Cap Table'!$AB7)*L$122+('Cap Table'!$I7+'Cap Table'!$J7)*L$133</f>
        <v>#DIV/0!</v>
      </c>
    </row>
    <row r="278" spans="2:13">
      <c r="B278" s="6" t="str">
        <f>'Cap Table'!B8</f>
        <v>Seed</v>
      </c>
      <c r="C278" s="217" t="str">
        <f>'Cap Table'!$D$60</f>
        <v>$</v>
      </c>
      <c r="D278" s="250" t="e">
        <f ca="1">('Cap Table'!$EB8+'Cap Table'!$EC8)*D$57+D$70*('Cap Table'!$DG8+'Cap Table'!$DH8)+D$83*('Cap Table'!$CL8+'Cap Table'!$CM8)+D$96*('Cap Table'!$BQ8+'Cap Table'!$BR8)+D$109*('Cap Table'!$AV8+'Cap Table'!$AW8)+('Cap Table'!$AA8+'Cap Table'!$AB8)*D$122+('Cap Table'!$I8+'Cap Table'!$J8)*D$133</f>
        <v>#DIV/0!</v>
      </c>
      <c r="E278" s="250" t="e">
        <f ca="1">('Cap Table'!$EB8+'Cap Table'!$EC8)*E$57+E$70*('Cap Table'!$DG8+'Cap Table'!$DH8)+E$83*('Cap Table'!$CL8+'Cap Table'!$CM8)+E$96*('Cap Table'!$BQ8+'Cap Table'!$BR8)+E$109*('Cap Table'!$AV8+'Cap Table'!$AW8)+('Cap Table'!$AA8+'Cap Table'!$AB8)*E$122+('Cap Table'!$I8+'Cap Table'!$J8)*E$133</f>
        <v>#DIV/0!</v>
      </c>
      <c r="F278" s="250" t="e">
        <f ca="1">('Cap Table'!$EB8+'Cap Table'!$EC8)*F$57+F$70*('Cap Table'!$DG8+'Cap Table'!$DH8)+F$83*('Cap Table'!$CL8+'Cap Table'!$CM8)+F$96*('Cap Table'!$BQ8+'Cap Table'!$BR8)+F$109*('Cap Table'!$AV8+'Cap Table'!$AW8)+('Cap Table'!$AA8+'Cap Table'!$AB8)*F$122+('Cap Table'!$I8+'Cap Table'!$J8)*F$133</f>
        <v>#DIV/0!</v>
      </c>
      <c r="G278" s="250" t="e">
        <f ca="1">('Cap Table'!$EB8+'Cap Table'!$EC8)*G$57+G$70*('Cap Table'!$DG8+'Cap Table'!$DH8)+G$83*('Cap Table'!$CL8+'Cap Table'!$CM8)+G$96*('Cap Table'!$BQ8+'Cap Table'!$BR8)+G$109*('Cap Table'!$AV8+'Cap Table'!$AW8)+('Cap Table'!$AA8+'Cap Table'!$AB8)*G$122+('Cap Table'!$I8+'Cap Table'!$J8)*G$133</f>
        <v>#DIV/0!</v>
      </c>
      <c r="H278" s="250" t="e">
        <f ca="1">('Cap Table'!$EB8+'Cap Table'!$EC8)*H$57+H$70*('Cap Table'!$DG8+'Cap Table'!$DH8)+H$83*('Cap Table'!$CL8+'Cap Table'!$CM8)+H$96*('Cap Table'!$BQ8+'Cap Table'!$BR8)+H$109*('Cap Table'!$AV8+'Cap Table'!$AW8)+('Cap Table'!$AA8+'Cap Table'!$AB8)*H$122+('Cap Table'!$I8+'Cap Table'!$J8)*H$133</f>
        <v>#DIV/0!</v>
      </c>
      <c r="I278" s="250" t="e">
        <f ca="1">('Cap Table'!$EB8+'Cap Table'!$EC8)*I$57+I$70*('Cap Table'!$DG8+'Cap Table'!$DH8)+I$83*('Cap Table'!$CL8+'Cap Table'!$CM8)+I$96*('Cap Table'!$BQ8+'Cap Table'!$BR8)+I$109*('Cap Table'!$AV8+'Cap Table'!$AW8)+('Cap Table'!$AA8+'Cap Table'!$AB8)*I$122+('Cap Table'!$I8+'Cap Table'!$J8)*I$133</f>
        <v>#DIV/0!</v>
      </c>
      <c r="J278" s="250" t="e">
        <f ca="1">('Cap Table'!$EB8+'Cap Table'!$EC8)*J$57+J$70*('Cap Table'!$DG8+'Cap Table'!$DH8)+J$83*('Cap Table'!$CL8+'Cap Table'!$CM8)+J$96*('Cap Table'!$BQ8+'Cap Table'!$BR8)+J$109*('Cap Table'!$AV8+'Cap Table'!$AW8)+('Cap Table'!$AA8+'Cap Table'!$AB8)*J$122+('Cap Table'!$I8+'Cap Table'!$J8)*J$133</f>
        <v>#DIV/0!</v>
      </c>
      <c r="K278" s="250" t="e">
        <f ca="1">('Cap Table'!$EB8+'Cap Table'!$EC8)*K$57+K$70*('Cap Table'!$DG8+'Cap Table'!$DH8)+K$83*('Cap Table'!$CL8+'Cap Table'!$CM8)+K$96*('Cap Table'!$BQ8+'Cap Table'!$BR8)+K$109*('Cap Table'!$AV8+'Cap Table'!$AW8)+('Cap Table'!$AA8+'Cap Table'!$AB8)*K$122+('Cap Table'!$I8+'Cap Table'!$J8)*K$133</f>
        <v>#DIV/0!</v>
      </c>
      <c r="L278" s="250" t="e">
        <f ca="1">('Cap Table'!$EB8+'Cap Table'!$EC8)*L$57+L$70*('Cap Table'!$DG8+'Cap Table'!$DH8)+L$83*('Cap Table'!$CL8+'Cap Table'!$CM8)+L$96*('Cap Table'!$BQ8+'Cap Table'!$BR8)+L$109*('Cap Table'!$AV8+'Cap Table'!$AW8)+('Cap Table'!$AA8+'Cap Table'!$AB8)*L$122+('Cap Table'!$I8+'Cap Table'!$J8)*L$133</f>
        <v>#DIV/0!</v>
      </c>
    </row>
    <row r="279" spans="2:13">
      <c r="B279" s="6" t="str">
        <f>'Cap Table'!B9</f>
        <v>na</v>
      </c>
      <c r="C279" s="217" t="str">
        <f>'Cap Table'!$D$60</f>
        <v>$</v>
      </c>
      <c r="D279" s="250" t="e">
        <f ca="1">('Cap Table'!$EB9+'Cap Table'!$EC9)*D$57+D$70*('Cap Table'!$DG9+'Cap Table'!$DH9)+D$83*('Cap Table'!$CL9+'Cap Table'!$CM9)+D$96*('Cap Table'!$BQ9+'Cap Table'!$BR9)+D$109*('Cap Table'!$AV9+'Cap Table'!$AW9)+('Cap Table'!$AA9+'Cap Table'!$AB9)*D$122+('Cap Table'!$I9+'Cap Table'!$J9)*D$133</f>
        <v>#DIV/0!</v>
      </c>
      <c r="E279" s="250" t="e">
        <f ca="1">('Cap Table'!$EB9+'Cap Table'!$EC9)*E$57+E$70*('Cap Table'!$DG9+'Cap Table'!$DH9)+E$83*('Cap Table'!$CL9+'Cap Table'!$CM9)+E$96*('Cap Table'!$BQ9+'Cap Table'!$BR9)+E$109*('Cap Table'!$AV9+'Cap Table'!$AW9)+('Cap Table'!$AA9+'Cap Table'!$AB9)*E$122+('Cap Table'!$I9+'Cap Table'!$J9)*E$133</f>
        <v>#DIV/0!</v>
      </c>
      <c r="F279" s="250" t="e">
        <f ca="1">('Cap Table'!$EB9+'Cap Table'!$EC9)*F$57+F$70*('Cap Table'!$DG9+'Cap Table'!$DH9)+F$83*('Cap Table'!$CL9+'Cap Table'!$CM9)+F$96*('Cap Table'!$BQ9+'Cap Table'!$BR9)+F$109*('Cap Table'!$AV9+'Cap Table'!$AW9)+('Cap Table'!$AA9+'Cap Table'!$AB9)*F$122+('Cap Table'!$I9+'Cap Table'!$J9)*F$133</f>
        <v>#DIV/0!</v>
      </c>
      <c r="G279" s="250" t="e">
        <f ca="1">('Cap Table'!$EB9+'Cap Table'!$EC9)*G$57+G$70*('Cap Table'!$DG9+'Cap Table'!$DH9)+G$83*('Cap Table'!$CL9+'Cap Table'!$CM9)+G$96*('Cap Table'!$BQ9+'Cap Table'!$BR9)+G$109*('Cap Table'!$AV9+'Cap Table'!$AW9)+('Cap Table'!$AA9+'Cap Table'!$AB9)*G$122+('Cap Table'!$I9+'Cap Table'!$J9)*G$133</f>
        <v>#DIV/0!</v>
      </c>
      <c r="H279" s="250" t="e">
        <f ca="1">('Cap Table'!$EB9+'Cap Table'!$EC9)*H$57+H$70*('Cap Table'!$DG9+'Cap Table'!$DH9)+H$83*('Cap Table'!$CL9+'Cap Table'!$CM9)+H$96*('Cap Table'!$BQ9+'Cap Table'!$BR9)+H$109*('Cap Table'!$AV9+'Cap Table'!$AW9)+('Cap Table'!$AA9+'Cap Table'!$AB9)*H$122+('Cap Table'!$I9+'Cap Table'!$J9)*H$133</f>
        <v>#DIV/0!</v>
      </c>
      <c r="I279" s="250" t="e">
        <f ca="1">('Cap Table'!$EB9+'Cap Table'!$EC9)*I$57+I$70*('Cap Table'!$DG9+'Cap Table'!$DH9)+I$83*('Cap Table'!$CL9+'Cap Table'!$CM9)+I$96*('Cap Table'!$BQ9+'Cap Table'!$BR9)+I$109*('Cap Table'!$AV9+'Cap Table'!$AW9)+('Cap Table'!$AA9+'Cap Table'!$AB9)*I$122+('Cap Table'!$I9+'Cap Table'!$J9)*I$133</f>
        <v>#DIV/0!</v>
      </c>
      <c r="J279" s="250" t="e">
        <f ca="1">('Cap Table'!$EB9+'Cap Table'!$EC9)*J$57+J$70*('Cap Table'!$DG9+'Cap Table'!$DH9)+J$83*('Cap Table'!$CL9+'Cap Table'!$CM9)+J$96*('Cap Table'!$BQ9+'Cap Table'!$BR9)+J$109*('Cap Table'!$AV9+'Cap Table'!$AW9)+('Cap Table'!$AA9+'Cap Table'!$AB9)*J$122+('Cap Table'!$I9+'Cap Table'!$J9)*J$133</f>
        <v>#DIV/0!</v>
      </c>
      <c r="K279" s="250" t="e">
        <f ca="1">('Cap Table'!$EB9+'Cap Table'!$EC9)*K$57+K$70*('Cap Table'!$DG9+'Cap Table'!$DH9)+K$83*('Cap Table'!$CL9+'Cap Table'!$CM9)+K$96*('Cap Table'!$BQ9+'Cap Table'!$BR9)+K$109*('Cap Table'!$AV9+'Cap Table'!$AW9)+('Cap Table'!$AA9+'Cap Table'!$AB9)*K$122+('Cap Table'!$I9+'Cap Table'!$J9)*K$133</f>
        <v>#DIV/0!</v>
      </c>
      <c r="L279" s="250" t="e">
        <f ca="1">('Cap Table'!$EB9+'Cap Table'!$EC9)*L$57+L$70*('Cap Table'!$DG9+'Cap Table'!$DH9)+L$83*('Cap Table'!$CL9+'Cap Table'!$CM9)+L$96*('Cap Table'!$BQ9+'Cap Table'!$BR9)+L$109*('Cap Table'!$AV9+'Cap Table'!$AW9)+('Cap Table'!$AA9+'Cap Table'!$AB9)*L$122+('Cap Table'!$I9+'Cap Table'!$J9)*L$133</f>
        <v>#DIV/0!</v>
      </c>
    </row>
    <row r="280" spans="2:13">
      <c r="B280" s="6" t="str">
        <f>'Cap Table'!B10</f>
        <v>na</v>
      </c>
      <c r="C280" s="217" t="str">
        <f>'Cap Table'!$D$60</f>
        <v>$</v>
      </c>
      <c r="D280" s="250" t="e">
        <f ca="1">('Cap Table'!$EB10+'Cap Table'!$EC10)*D$57+D$70*('Cap Table'!$DG10+'Cap Table'!$DH10)+D$83*('Cap Table'!$CL10+'Cap Table'!$CM10)+D$96*('Cap Table'!$BQ10+'Cap Table'!$BR10)+D$109*('Cap Table'!$AV10+'Cap Table'!$AW10)+('Cap Table'!$AA10+'Cap Table'!$AB10)*D$122+('Cap Table'!$I10+'Cap Table'!$J10)*D$133</f>
        <v>#DIV/0!</v>
      </c>
      <c r="E280" s="250" t="e">
        <f ca="1">('Cap Table'!$EB10+'Cap Table'!$EC10)*E$57+E$70*('Cap Table'!$DG10+'Cap Table'!$DH10)+E$83*('Cap Table'!$CL10+'Cap Table'!$CM10)+E$96*('Cap Table'!$BQ10+'Cap Table'!$BR10)+E$109*('Cap Table'!$AV10+'Cap Table'!$AW10)+('Cap Table'!$AA10+'Cap Table'!$AB10)*E$122+('Cap Table'!$I10+'Cap Table'!$J10)*E$133</f>
        <v>#DIV/0!</v>
      </c>
      <c r="F280" s="250" t="e">
        <f ca="1">('Cap Table'!$EB10+'Cap Table'!$EC10)*F$57+F$70*('Cap Table'!$DG10+'Cap Table'!$DH10)+F$83*('Cap Table'!$CL10+'Cap Table'!$CM10)+F$96*('Cap Table'!$BQ10+'Cap Table'!$BR10)+F$109*('Cap Table'!$AV10+'Cap Table'!$AW10)+('Cap Table'!$AA10+'Cap Table'!$AB10)*F$122+('Cap Table'!$I10+'Cap Table'!$J10)*F$133</f>
        <v>#DIV/0!</v>
      </c>
      <c r="G280" s="250" t="e">
        <f ca="1">('Cap Table'!$EB10+'Cap Table'!$EC10)*G$57+G$70*('Cap Table'!$DG10+'Cap Table'!$DH10)+G$83*('Cap Table'!$CL10+'Cap Table'!$CM10)+G$96*('Cap Table'!$BQ10+'Cap Table'!$BR10)+G$109*('Cap Table'!$AV10+'Cap Table'!$AW10)+('Cap Table'!$AA10+'Cap Table'!$AB10)*G$122+('Cap Table'!$I10+'Cap Table'!$J10)*G$133</f>
        <v>#DIV/0!</v>
      </c>
      <c r="H280" s="250" t="e">
        <f ca="1">('Cap Table'!$EB10+'Cap Table'!$EC10)*H$57+H$70*('Cap Table'!$DG10+'Cap Table'!$DH10)+H$83*('Cap Table'!$CL10+'Cap Table'!$CM10)+H$96*('Cap Table'!$BQ10+'Cap Table'!$BR10)+H$109*('Cap Table'!$AV10+'Cap Table'!$AW10)+('Cap Table'!$AA10+'Cap Table'!$AB10)*H$122+('Cap Table'!$I10+'Cap Table'!$J10)*H$133</f>
        <v>#DIV/0!</v>
      </c>
      <c r="I280" s="250" t="e">
        <f ca="1">('Cap Table'!$EB10+'Cap Table'!$EC10)*I$57+I$70*('Cap Table'!$DG10+'Cap Table'!$DH10)+I$83*('Cap Table'!$CL10+'Cap Table'!$CM10)+I$96*('Cap Table'!$BQ10+'Cap Table'!$BR10)+I$109*('Cap Table'!$AV10+'Cap Table'!$AW10)+('Cap Table'!$AA10+'Cap Table'!$AB10)*I$122+('Cap Table'!$I10+'Cap Table'!$J10)*I$133</f>
        <v>#DIV/0!</v>
      </c>
      <c r="J280" s="250" t="e">
        <f ca="1">('Cap Table'!$EB10+'Cap Table'!$EC10)*J$57+J$70*('Cap Table'!$DG10+'Cap Table'!$DH10)+J$83*('Cap Table'!$CL10+'Cap Table'!$CM10)+J$96*('Cap Table'!$BQ10+'Cap Table'!$BR10)+J$109*('Cap Table'!$AV10+'Cap Table'!$AW10)+('Cap Table'!$AA10+'Cap Table'!$AB10)*J$122+('Cap Table'!$I10+'Cap Table'!$J10)*J$133</f>
        <v>#DIV/0!</v>
      </c>
      <c r="K280" s="250" t="e">
        <f ca="1">('Cap Table'!$EB10+'Cap Table'!$EC10)*K$57+K$70*('Cap Table'!$DG10+'Cap Table'!$DH10)+K$83*('Cap Table'!$CL10+'Cap Table'!$CM10)+K$96*('Cap Table'!$BQ10+'Cap Table'!$BR10)+K$109*('Cap Table'!$AV10+'Cap Table'!$AW10)+('Cap Table'!$AA10+'Cap Table'!$AB10)*K$122+('Cap Table'!$I10+'Cap Table'!$J10)*K$133</f>
        <v>#DIV/0!</v>
      </c>
      <c r="L280" s="250" t="e">
        <f ca="1">('Cap Table'!$EB10+'Cap Table'!$EC10)*L$57+L$70*('Cap Table'!$DG10+'Cap Table'!$DH10)+L$83*('Cap Table'!$CL10+'Cap Table'!$CM10)+L$96*('Cap Table'!$BQ10+'Cap Table'!$BR10)+L$109*('Cap Table'!$AV10+'Cap Table'!$AW10)+('Cap Table'!$AA10+'Cap Table'!$AB10)*L$122+('Cap Table'!$I10+'Cap Table'!$J10)*L$133</f>
        <v>#DIV/0!</v>
      </c>
    </row>
    <row r="281" spans="2:13">
      <c r="B281" s="6" t="str">
        <f>'Cap Table'!B11</f>
        <v>na</v>
      </c>
      <c r="C281" s="217" t="str">
        <f>'Cap Table'!$D$60</f>
        <v>$</v>
      </c>
      <c r="D281" s="250" t="e">
        <f ca="1">('Cap Table'!$EB11+'Cap Table'!$EC11)*D$57+D$70*('Cap Table'!$DG11+'Cap Table'!$DH11)+D$83*('Cap Table'!$CL11+'Cap Table'!$CM11)+D$96*('Cap Table'!$BQ11+'Cap Table'!$BR11)+D$109*('Cap Table'!$AV11+'Cap Table'!$AW11)+('Cap Table'!$AA11+'Cap Table'!$AB11)*D$122+('Cap Table'!$I11+'Cap Table'!$J11)*D$133</f>
        <v>#DIV/0!</v>
      </c>
      <c r="E281" s="250" t="e">
        <f ca="1">('Cap Table'!$EB11+'Cap Table'!$EC11)*E$57+E$70*('Cap Table'!$DG11+'Cap Table'!$DH11)+E$83*('Cap Table'!$CL11+'Cap Table'!$CM11)+E$96*('Cap Table'!$BQ11+'Cap Table'!$BR11)+E$109*('Cap Table'!$AV11+'Cap Table'!$AW11)+('Cap Table'!$AA11+'Cap Table'!$AB11)*E$122+('Cap Table'!$I11+'Cap Table'!$J11)*E$133</f>
        <v>#DIV/0!</v>
      </c>
      <c r="F281" s="250" t="e">
        <f ca="1">('Cap Table'!$EB11+'Cap Table'!$EC11)*F$57+F$70*('Cap Table'!$DG11+'Cap Table'!$DH11)+F$83*('Cap Table'!$CL11+'Cap Table'!$CM11)+F$96*('Cap Table'!$BQ11+'Cap Table'!$BR11)+F$109*('Cap Table'!$AV11+'Cap Table'!$AW11)+('Cap Table'!$AA11+'Cap Table'!$AB11)*F$122+('Cap Table'!$I11+'Cap Table'!$J11)*F$133</f>
        <v>#DIV/0!</v>
      </c>
      <c r="G281" s="250" t="e">
        <f ca="1">('Cap Table'!$EB11+'Cap Table'!$EC11)*G$57+G$70*('Cap Table'!$DG11+'Cap Table'!$DH11)+G$83*('Cap Table'!$CL11+'Cap Table'!$CM11)+G$96*('Cap Table'!$BQ11+'Cap Table'!$BR11)+G$109*('Cap Table'!$AV11+'Cap Table'!$AW11)+('Cap Table'!$AA11+'Cap Table'!$AB11)*G$122+('Cap Table'!$I11+'Cap Table'!$J11)*G$133</f>
        <v>#DIV/0!</v>
      </c>
      <c r="H281" s="250" t="e">
        <f ca="1">('Cap Table'!$EB11+'Cap Table'!$EC11)*H$57+H$70*('Cap Table'!$DG11+'Cap Table'!$DH11)+H$83*('Cap Table'!$CL11+'Cap Table'!$CM11)+H$96*('Cap Table'!$BQ11+'Cap Table'!$BR11)+H$109*('Cap Table'!$AV11+'Cap Table'!$AW11)+('Cap Table'!$AA11+'Cap Table'!$AB11)*H$122+('Cap Table'!$I11+'Cap Table'!$J11)*H$133</f>
        <v>#DIV/0!</v>
      </c>
      <c r="I281" s="250" t="e">
        <f ca="1">('Cap Table'!$EB11+'Cap Table'!$EC11)*I$57+I$70*('Cap Table'!$DG11+'Cap Table'!$DH11)+I$83*('Cap Table'!$CL11+'Cap Table'!$CM11)+I$96*('Cap Table'!$BQ11+'Cap Table'!$BR11)+I$109*('Cap Table'!$AV11+'Cap Table'!$AW11)+('Cap Table'!$AA11+'Cap Table'!$AB11)*I$122+('Cap Table'!$I11+'Cap Table'!$J11)*I$133</f>
        <v>#DIV/0!</v>
      </c>
      <c r="J281" s="250" t="e">
        <f ca="1">('Cap Table'!$EB11+'Cap Table'!$EC11)*J$57+J$70*('Cap Table'!$DG11+'Cap Table'!$DH11)+J$83*('Cap Table'!$CL11+'Cap Table'!$CM11)+J$96*('Cap Table'!$BQ11+'Cap Table'!$BR11)+J$109*('Cap Table'!$AV11+'Cap Table'!$AW11)+('Cap Table'!$AA11+'Cap Table'!$AB11)*J$122+('Cap Table'!$I11+'Cap Table'!$J11)*J$133</f>
        <v>#DIV/0!</v>
      </c>
      <c r="K281" s="250" t="e">
        <f ca="1">('Cap Table'!$EB11+'Cap Table'!$EC11)*K$57+K$70*('Cap Table'!$DG11+'Cap Table'!$DH11)+K$83*('Cap Table'!$CL11+'Cap Table'!$CM11)+K$96*('Cap Table'!$BQ11+'Cap Table'!$BR11)+K$109*('Cap Table'!$AV11+'Cap Table'!$AW11)+('Cap Table'!$AA11+'Cap Table'!$AB11)*K$122+('Cap Table'!$I11+'Cap Table'!$J11)*K$133</f>
        <v>#DIV/0!</v>
      </c>
      <c r="L281" s="250" t="e">
        <f ca="1">('Cap Table'!$EB11+'Cap Table'!$EC11)*L$57+L$70*('Cap Table'!$DG11+'Cap Table'!$DH11)+L$83*('Cap Table'!$CL11+'Cap Table'!$CM11)+L$96*('Cap Table'!$BQ11+'Cap Table'!$BR11)+L$109*('Cap Table'!$AV11+'Cap Table'!$AW11)+('Cap Table'!$AA11+'Cap Table'!$AB11)*L$122+('Cap Table'!$I11+'Cap Table'!$J11)*L$133</f>
        <v>#DIV/0!</v>
      </c>
    </row>
    <row r="282" spans="2:13">
      <c r="B282" s="6" t="str">
        <f>'Cap Table'!B12</f>
        <v>na</v>
      </c>
      <c r="C282" s="217" t="str">
        <f>'Cap Table'!$D$60</f>
        <v>$</v>
      </c>
      <c r="D282" s="250" t="e">
        <f ca="1">('Cap Table'!$EB12+'Cap Table'!$EC12)*D$57+D$70*('Cap Table'!$DG12+'Cap Table'!$DH12)+D$83*('Cap Table'!$CL12+'Cap Table'!$CM12)+D$96*('Cap Table'!$BQ12+'Cap Table'!$BR12)+D$109*('Cap Table'!$AV12+'Cap Table'!$AW12)+('Cap Table'!$AA12+'Cap Table'!$AB12)*D$122+('Cap Table'!$I12+'Cap Table'!$J12)*D$133</f>
        <v>#DIV/0!</v>
      </c>
      <c r="E282" s="250" t="e">
        <f ca="1">('Cap Table'!$EB12+'Cap Table'!$EC12)*E$57+E$70*('Cap Table'!$DG12+'Cap Table'!$DH12)+E$83*('Cap Table'!$CL12+'Cap Table'!$CM12)+E$96*('Cap Table'!$BQ12+'Cap Table'!$BR12)+E$109*('Cap Table'!$AV12+'Cap Table'!$AW12)+('Cap Table'!$AA12+'Cap Table'!$AB12)*E$122+('Cap Table'!$I12+'Cap Table'!$J12)*E$133</f>
        <v>#DIV/0!</v>
      </c>
      <c r="F282" s="250" t="e">
        <f ca="1">('Cap Table'!$EB12+'Cap Table'!$EC12)*F$57+F$70*('Cap Table'!$DG12+'Cap Table'!$DH12)+F$83*('Cap Table'!$CL12+'Cap Table'!$CM12)+F$96*('Cap Table'!$BQ12+'Cap Table'!$BR12)+F$109*('Cap Table'!$AV12+'Cap Table'!$AW12)+('Cap Table'!$AA12+'Cap Table'!$AB12)*F$122+('Cap Table'!$I12+'Cap Table'!$J12)*F$133</f>
        <v>#DIV/0!</v>
      </c>
      <c r="G282" s="250" t="e">
        <f ca="1">('Cap Table'!$EB12+'Cap Table'!$EC12)*G$57+G$70*('Cap Table'!$DG12+'Cap Table'!$DH12)+G$83*('Cap Table'!$CL12+'Cap Table'!$CM12)+G$96*('Cap Table'!$BQ12+'Cap Table'!$BR12)+G$109*('Cap Table'!$AV12+'Cap Table'!$AW12)+('Cap Table'!$AA12+'Cap Table'!$AB12)*G$122+('Cap Table'!$I12+'Cap Table'!$J12)*G$133</f>
        <v>#DIV/0!</v>
      </c>
      <c r="H282" s="250" t="e">
        <f ca="1">('Cap Table'!$EB12+'Cap Table'!$EC12)*H$57+H$70*('Cap Table'!$DG12+'Cap Table'!$DH12)+H$83*('Cap Table'!$CL12+'Cap Table'!$CM12)+H$96*('Cap Table'!$BQ12+'Cap Table'!$BR12)+H$109*('Cap Table'!$AV12+'Cap Table'!$AW12)+('Cap Table'!$AA12+'Cap Table'!$AB12)*H$122+('Cap Table'!$I12+'Cap Table'!$J12)*H$133</f>
        <v>#DIV/0!</v>
      </c>
      <c r="I282" s="250" t="e">
        <f ca="1">('Cap Table'!$EB12+'Cap Table'!$EC12)*I$57+I$70*('Cap Table'!$DG12+'Cap Table'!$DH12)+I$83*('Cap Table'!$CL12+'Cap Table'!$CM12)+I$96*('Cap Table'!$BQ12+'Cap Table'!$BR12)+I$109*('Cap Table'!$AV12+'Cap Table'!$AW12)+('Cap Table'!$AA12+'Cap Table'!$AB12)*I$122+('Cap Table'!$I12+'Cap Table'!$J12)*I$133</f>
        <v>#DIV/0!</v>
      </c>
      <c r="J282" s="250" t="e">
        <f ca="1">('Cap Table'!$EB12+'Cap Table'!$EC12)*J$57+J$70*('Cap Table'!$DG12+'Cap Table'!$DH12)+J$83*('Cap Table'!$CL12+'Cap Table'!$CM12)+J$96*('Cap Table'!$BQ12+'Cap Table'!$BR12)+J$109*('Cap Table'!$AV12+'Cap Table'!$AW12)+('Cap Table'!$AA12+'Cap Table'!$AB12)*J$122+('Cap Table'!$I12+'Cap Table'!$J12)*J$133</f>
        <v>#DIV/0!</v>
      </c>
      <c r="K282" s="250" t="e">
        <f ca="1">('Cap Table'!$EB12+'Cap Table'!$EC12)*K$57+K$70*('Cap Table'!$DG12+'Cap Table'!$DH12)+K$83*('Cap Table'!$CL12+'Cap Table'!$CM12)+K$96*('Cap Table'!$BQ12+'Cap Table'!$BR12)+K$109*('Cap Table'!$AV12+'Cap Table'!$AW12)+('Cap Table'!$AA12+'Cap Table'!$AB12)*K$122+('Cap Table'!$I12+'Cap Table'!$J12)*K$133</f>
        <v>#DIV/0!</v>
      </c>
      <c r="L282" s="250" t="e">
        <f ca="1">('Cap Table'!$EB12+'Cap Table'!$EC12)*L$57+L$70*('Cap Table'!$DG12+'Cap Table'!$DH12)+L$83*('Cap Table'!$CL12+'Cap Table'!$CM12)+L$96*('Cap Table'!$BQ12+'Cap Table'!$BR12)+L$109*('Cap Table'!$AV12+'Cap Table'!$AW12)+('Cap Table'!$AA12+'Cap Table'!$AB12)*L$122+('Cap Table'!$I12+'Cap Table'!$J12)*L$133</f>
        <v>#DIV/0!</v>
      </c>
    </row>
    <row r="283" spans="2:13">
      <c r="B283" s="6" t="str">
        <f>'Cap Table'!B13</f>
        <v>na</v>
      </c>
      <c r="C283" s="217" t="str">
        <f>'Cap Table'!$D$60</f>
        <v>$</v>
      </c>
      <c r="D283" s="250" t="e">
        <f ca="1">('Cap Table'!$EB13+'Cap Table'!$EC13)*D$57+D$70*('Cap Table'!$DG13+'Cap Table'!$DH13)+D$83*('Cap Table'!$CL13+'Cap Table'!$CM13)+D$96*('Cap Table'!$BQ13+'Cap Table'!$BR13)+D$109*('Cap Table'!$AV13+'Cap Table'!$AW13)+('Cap Table'!$AA13+'Cap Table'!$AB13)*D$122+('Cap Table'!$I13+'Cap Table'!$J13)*D$133</f>
        <v>#DIV/0!</v>
      </c>
      <c r="E283" s="250" t="e">
        <f ca="1">('Cap Table'!$EB13+'Cap Table'!$EC13)*E$57+E$70*('Cap Table'!$DG13+'Cap Table'!$DH13)+E$83*('Cap Table'!$CL13+'Cap Table'!$CM13)+E$96*('Cap Table'!$BQ13+'Cap Table'!$BR13)+E$109*('Cap Table'!$AV13+'Cap Table'!$AW13)+('Cap Table'!$AA13+'Cap Table'!$AB13)*E$122+('Cap Table'!$I13+'Cap Table'!$J13)*E$133</f>
        <v>#DIV/0!</v>
      </c>
      <c r="F283" s="250" t="e">
        <f ca="1">('Cap Table'!$EB13+'Cap Table'!$EC13)*F$57+F$70*('Cap Table'!$DG13+'Cap Table'!$DH13)+F$83*('Cap Table'!$CL13+'Cap Table'!$CM13)+F$96*('Cap Table'!$BQ13+'Cap Table'!$BR13)+F$109*('Cap Table'!$AV13+'Cap Table'!$AW13)+('Cap Table'!$AA13+'Cap Table'!$AB13)*F$122+('Cap Table'!$I13+'Cap Table'!$J13)*F$133</f>
        <v>#DIV/0!</v>
      </c>
      <c r="G283" s="250" t="e">
        <f ca="1">('Cap Table'!$EB13+'Cap Table'!$EC13)*G$57+G$70*('Cap Table'!$DG13+'Cap Table'!$DH13)+G$83*('Cap Table'!$CL13+'Cap Table'!$CM13)+G$96*('Cap Table'!$BQ13+'Cap Table'!$BR13)+G$109*('Cap Table'!$AV13+'Cap Table'!$AW13)+('Cap Table'!$AA13+'Cap Table'!$AB13)*G$122+('Cap Table'!$I13+'Cap Table'!$J13)*G$133</f>
        <v>#DIV/0!</v>
      </c>
      <c r="H283" s="250" t="e">
        <f ca="1">('Cap Table'!$EB13+'Cap Table'!$EC13)*H$57+H$70*('Cap Table'!$DG13+'Cap Table'!$DH13)+H$83*('Cap Table'!$CL13+'Cap Table'!$CM13)+H$96*('Cap Table'!$BQ13+'Cap Table'!$BR13)+H$109*('Cap Table'!$AV13+'Cap Table'!$AW13)+('Cap Table'!$AA13+'Cap Table'!$AB13)*H$122+('Cap Table'!$I13+'Cap Table'!$J13)*H$133</f>
        <v>#DIV/0!</v>
      </c>
      <c r="I283" s="250" t="e">
        <f ca="1">('Cap Table'!$EB13+'Cap Table'!$EC13)*I$57+I$70*('Cap Table'!$DG13+'Cap Table'!$DH13)+I$83*('Cap Table'!$CL13+'Cap Table'!$CM13)+I$96*('Cap Table'!$BQ13+'Cap Table'!$BR13)+I$109*('Cap Table'!$AV13+'Cap Table'!$AW13)+('Cap Table'!$AA13+'Cap Table'!$AB13)*I$122+('Cap Table'!$I13+'Cap Table'!$J13)*I$133</f>
        <v>#DIV/0!</v>
      </c>
      <c r="J283" s="250" t="e">
        <f ca="1">('Cap Table'!$EB13+'Cap Table'!$EC13)*J$57+J$70*('Cap Table'!$DG13+'Cap Table'!$DH13)+J$83*('Cap Table'!$CL13+'Cap Table'!$CM13)+J$96*('Cap Table'!$BQ13+'Cap Table'!$BR13)+J$109*('Cap Table'!$AV13+'Cap Table'!$AW13)+('Cap Table'!$AA13+'Cap Table'!$AB13)*J$122+('Cap Table'!$I13+'Cap Table'!$J13)*J$133</f>
        <v>#DIV/0!</v>
      </c>
      <c r="K283" s="250" t="e">
        <f ca="1">('Cap Table'!$EB13+'Cap Table'!$EC13)*K$57+K$70*('Cap Table'!$DG13+'Cap Table'!$DH13)+K$83*('Cap Table'!$CL13+'Cap Table'!$CM13)+K$96*('Cap Table'!$BQ13+'Cap Table'!$BR13)+K$109*('Cap Table'!$AV13+'Cap Table'!$AW13)+('Cap Table'!$AA13+'Cap Table'!$AB13)*K$122+('Cap Table'!$I13+'Cap Table'!$J13)*K$133</f>
        <v>#DIV/0!</v>
      </c>
      <c r="L283" s="250" t="e">
        <f ca="1">('Cap Table'!$EB13+'Cap Table'!$EC13)*L$57+L$70*('Cap Table'!$DG13+'Cap Table'!$DH13)+L$83*('Cap Table'!$CL13+'Cap Table'!$CM13)+L$96*('Cap Table'!$BQ13+'Cap Table'!$BR13)+L$109*('Cap Table'!$AV13+'Cap Table'!$AW13)+('Cap Table'!$AA13+'Cap Table'!$AB13)*L$122+('Cap Table'!$I13+'Cap Table'!$J13)*L$133</f>
        <v>#DIV/0!</v>
      </c>
    </row>
    <row r="284" spans="2:13">
      <c r="B284" s="6" t="str">
        <f>'Cap Table'!B14</f>
        <v>na</v>
      </c>
      <c r="C284" s="217" t="str">
        <f>'Cap Table'!$D$60</f>
        <v>$</v>
      </c>
      <c r="D284" s="250" t="e">
        <f ca="1">('Cap Table'!$EB14+'Cap Table'!$EC14)*D$57+D$70*('Cap Table'!$DG14+'Cap Table'!$DH14)+D$83*('Cap Table'!$CL14+'Cap Table'!$CM14)+D$96*('Cap Table'!$BQ14+'Cap Table'!$BR14)+D$109*('Cap Table'!$AV14+'Cap Table'!$AW14)+('Cap Table'!$AA14+'Cap Table'!$AB14)*D$122+('Cap Table'!$I14+'Cap Table'!$J14)*D$133</f>
        <v>#DIV/0!</v>
      </c>
      <c r="E284" s="250" t="e">
        <f ca="1">('Cap Table'!$EB14+'Cap Table'!$EC14)*E$57+E$70*('Cap Table'!$DG14+'Cap Table'!$DH14)+E$83*('Cap Table'!$CL14+'Cap Table'!$CM14)+E$96*('Cap Table'!$BQ14+'Cap Table'!$BR14)+E$109*('Cap Table'!$AV14+'Cap Table'!$AW14)+('Cap Table'!$AA14+'Cap Table'!$AB14)*E$122+('Cap Table'!$I14+'Cap Table'!$J14)*E$133</f>
        <v>#DIV/0!</v>
      </c>
      <c r="F284" s="250" t="e">
        <f ca="1">('Cap Table'!$EB14+'Cap Table'!$EC14)*F$57+F$70*('Cap Table'!$DG14+'Cap Table'!$DH14)+F$83*('Cap Table'!$CL14+'Cap Table'!$CM14)+F$96*('Cap Table'!$BQ14+'Cap Table'!$BR14)+F$109*('Cap Table'!$AV14+'Cap Table'!$AW14)+('Cap Table'!$AA14+'Cap Table'!$AB14)*F$122+('Cap Table'!$I14+'Cap Table'!$J14)*F$133</f>
        <v>#DIV/0!</v>
      </c>
      <c r="G284" s="250" t="e">
        <f ca="1">('Cap Table'!$EB14+'Cap Table'!$EC14)*G$57+G$70*('Cap Table'!$DG14+'Cap Table'!$DH14)+G$83*('Cap Table'!$CL14+'Cap Table'!$CM14)+G$96*('Cap Table'!$BQ14+'Cap Table'!$BR14)+G$109*('Cap Table'!$AV14+'Cap Table'!$AW14)+('Cap Table'!$AA14+'Cap Table'!$AB14)*G$122+('Cap Table'!$I14+'Cap Table'!$J14)*G$133</f>
        <v>#DIV/0!</v>
      </c>
      <c r="H284" s="250" t="e">
        <f ca="1">('Cap Table'!$EB14+'Cap Table'!$EC14)*H$57+H$70*('Cap Table'!$DG14+'Cap Table'!$DH14)+H$83*('Cap Table'!$CL14+'Cap Table'!$CM14)+H$96*('Cap Table'!$BQ14+'Cap Table'!$BR14)+H$109*('Cap Table'!$AV14+'Cap Table'!$AW14)+('Cap Table'!$AA14+'Cap Table'!$AB14)*H$122+('Cap Table'!$I14+'Cap Table'!$J14)*H$133</f>
        <v>#DIV/0!</v>
      </c>
      <c r="I284" s="250" t="e">
        <f ca="1">('Cap Table'!$EB14+'Cap Table'!$EC14)*I$57+I$70*('Cap Table'!$DG14+'Cap Table'!$DH14)+I$83*('Cap Table'!$CL14+'Cap Table'!$CM14)+I$96*('Cap Table'!$BQ14+'Cap Table'!$BR14)+I$109*('Cap Table'!$AV14+'Cap Table'!$AW14)+('Cap Table'!$AA14+'Cap Table'!$AB14)*I$122+('Cap Table'!$I14+'Cap Table'!$J14)*I$133</f>
        <v>#DIV/0!</v>
      </c>
      <c r="J284" s="250" t="e">
        <f ca="1">('Cap Table'!$EB14+'Cap Table'!$EC14)*J$57+J$70*('Cap Table'!$DG14+'Cap Table'!$DH14)+J$83*('Cap Table'!$CL14+'Cap Table'!$CM14)+J$96*('Cap Table'!$BQ14+'Cap Table'!$BR14)+J$109*('Cap Table'!$AV14+'Cap Table'!$AW14)+('Cap Table'!$AA14+'Cap Table'!$AB14)*J$122+('Cap Table'!$I14+'Cap Table'!$J14)*J$133</f>
        <v>#DIV/0!</v>
      </c>
      <c r="K284" s="250" t="e">
        <f ca="1">('Cap Table'!$EB14+'Cap Table'!$EC14)*K$57+K$70*('Cap Table'!$DG14+'Cap Table'!$DH14)+K$83*('Cap Table'!$CL14+'Cap Table'!$CM14)+K$96*('Cap Table'!$BQ14+'Cap Table'!$BR14)+K$109*('Cap Table'!$AV14+'Cap Table'!$AW14)+('Cap Table'!$AA14+'Cap Table'!$AB14)*K$122+('Cap Table'!$I14+'Cap Table'!$J14)*K$133</f>
        <v>#DIV/0!</v>
      </c>
      <c r="L284" s="250" t="e">
        <f ca="1">('Cap Table'!$EB14+'Cap Table'!$EC14)*L$57+L$70*('Cap Table'!$DG14+'Cap Table'!$DH14)+L$83*('Cap Table'!$CL14+'Cap Table'!$CM14)+L$96*('Cap Table'!$BQ14+'Cap Table'!$BR14)+L$109*('Cap Table'!$AV14+'Cap Table'!$AW14)+('Cap Table'!$AA14+'Cap Table'!$AB14)*L$122+('Cap Table'!$I14+'Cap Table'!$J14)*L$133</f>
        <v>#DIV/0!</v>
      </c>
    </row>
    <row r="285" spans="2:13">
      <c r="B285" s="6" t="str">
        <f>'Cap Table'!B15</f>
        <v>na</v>
      </c>
      <c r="C285" s="217" t="str">
        <f>'Cap Table'!$D$60</f>
        <v>$</v>
      </c>
      <c r="D285" s="250" t="e">
        <f ca="1">('Cap Table'!$EB15+'Cap Table'!$EC15)*D$57+D$70*('Cap Table'!$DG15+'Cap Table'!$DH15)+D$83*('Cap Table'!$CL15+'Cap Table'!$CM15)+D$96*('Cap Table'!$BQ15+'Cap Table'!$BR15)+D$109*('Cap Table'!$AV15+'Cap Table'!$AW15)+('Cap Table'!$AA15+'Cap Table'!$AB15)*D$122+('Cap Table'!$I15+'Cap Table'!$J15)*D$133</f>
        <v>#DIV/0!</v>
      </c>
      <c r="E285" s="250" t="e">
        <f ca="1">('Cap Table'!$EB15+'Cap Table'!$EC15)*E$57+E$70*('Cap Table'!$DG15+'Cap Table'!$DH15)+E$83*('Cap Table'!$CL15+'Cap Table'!$CM15)+E$96*('Cap Table'!$BQ15+'Cap Table'!$BR15)+E$109*('Cap Table'!$AV15+'Cap Table'!$AW15)+('Cap Table'!$AA15+'Cap Table'!$AB15)*E$122+('Cap Table'!$I15+'Cap Table'!$J15)*E$133</f>
        <v>#DIV/0!</v>
      </c>
      <c r="F285" s="250" t="e">
        <f ca="1">('Cap Table'!$EB15+'Cap Table'!$EC15)*F$57+F$70*('Cap Table'!$DG15+'Cap Table'!$DH15)+F$83*('Cap Table'!$CL15+'Cap Table'!$CM15)+F$96*('Cap Table'!$BQ15+'Cap Table'!$BR15)+F$109*('Cap Table'!$AV15+'Cap Table'!$AW15)+('Cap Table'!$AA15+'Cap Table'!$AB15)*F$122+('Cap Table'!$I15+'Cap Table'!$J15)*F$133</f>
        <v>#DIV/0!</v>
      </c>
      <c r="G285" s="250" t="e">
        <f ca="1">('Cap Table'!$EB15+'Cap Table'!$EC15)*G$57+G$70*('Cap Table'!$DG15+'Cap Table'!$DH15)+G$83*('Cap Table'!$CL15+'Cap Table'!$CM15)+G$96*('Cap Table'!$BQ15+'Cap Table'!$BR15)+G$109*('Cap Table'!$AV15+'Cap Table'!$AW15)+('Cap Table'!$AA15+'Cap Table'!$AB15)*G$122+('Cap Table'!$I15+'Cap Table'!$J15)*G$133</f>
        <v>#DIV/0!</v>
      </c>
      <c r="H285" s="250" t="e">
        <f ca="1">('Cap Table'!$EB15+'Cap Table'!$EC15)*H$57+H$70*('Cap Table'!$DG15+'Cap Table'!$DH15)+H$83*('Cap Table'!$CL15+'Cap Table'!$CM15)+H$96*('Cap Table'!$BQ15+'Cap Table'!$BR15)+H$109*('Cap Table'!$AV15+'Cap Table'!$AW15)+('Cap Table'!$AA15+'Cap Table'!$AB15)*H$122+('Cap Table'!$I15+'Cap Table'!$J15)*H$133</f>
        <v>#DIV/0!</v>
      </c>
      <c r="I285" s="250" t="e">
        <f ca="1">('Cap Table'!$EB15+'Cap Table'!$EC15)*I$57+I$70*('Cap Table'!$DG15+'Cap Table'!$DH15)+I$83*('Cap Table'!$CL15+'Cap Table'!$CM15)+I$96*('Cap Table'!$BQ15+'Cap Table'!$BR15)+I$109*('Cap Table'!$AV15+'Cap Table'!$AW15)+('Cap Table'!$AA15+'Cap Table'!$AB15)*I$122+('Cap Table'!$I15+'Cap Table'!$J15)*I$133</f>
        <v>#DIV/0!</v>
      </c>
      <c r="J285" s="250" t="e">
        <f ca="1">('Cap Table'!$EB15+'Cap Table'!$EC15)*J$57+J$70*('Cap Table'!$DG15+'Cap Table'!$DH15)+J$83*('Cap Table'!$CL15+'Cap Table'!$CM15)+J$96*('Cap Table'!$BQ15+'Cap Table'!$BR15)+J$109*('Cap Table'!$AV15+'Cap Table'!$AW15)+('Cap Table'!$AA15+'Cap Table'!$AB15)*J$122+('Cap Table'!$I15+'Cap Table'!$J15)*J$133</f>
        <v>#DIV/0!</v>
      </c>
      <c r="K285" s="250" t="e">
        <f ca="1">('Cap Table'!$EB15+'Cap Table'!$EC15)*K$57+K$70*('Cap Table'!$DG15+'Cap Table'!$DH15)+K$83*('Cap Table'!$CL15+'Cap Table'!$CM15)+K$96*('Cap Table'!$BQ15+'Cap Table'!$BR15)+K$109*('Cap Table'!$AV15+'Cap Table'!$AW15)+('Cap Table'!$AA15+'Cap Table'!$AB15)*K$122+('Cap Table'!$I15+'Cap Table'!$J15)*K$133</f>
        <v>#DIV/0!</v>
      </c>
      <c r="L285" s="250" t="e">
        <f ca="1">('Cap Table'!$EB15+'Cap Table'!$EC15)*L$57+L$70*('Cap Table'!$DG15+'Cap Table'!$DH15)+L$83*('Cap Table'!$CL15+'Cap Table'!$CM15)+L$96*('Cap Table'!$BQ15+'Cap Table'!$BR15)+L$109*('Cap Table'!$AV15+'Cap Table'!$AW15)+('Cap Table'!$AA15+'Cap Table'!$AB15)*L$122+('Cap Table'!$I15+'Cap Table'!$J15)*L$133</f>
        <v>#DIV/0!</v>
      </c>
    </row>
    <row r="286" spans="2:13">
      <c r="B286" s="6" t="str">
        <f>'Cap Table'!B16</f>
        <v>na</v>
      </c>
      <c r="C286" s="217" t="str">
        <f>'Cap Table'!$D$60</f>
        <v>$</v>
      </c>
      <c r="D286" s="250" t="e">
        <f ca="1">('Cap Table'!$EB16+'Cap Table'!$EC16)*D$57+D$70*('Cap Table'!$DG16+'Cap Table'!$DH16)+D$83*('Cap Table'!$CL16+'Cap Table'!$CM16)+D$96*('Cap Table'!$BQ16+'Cap Table'!$BR16)+D$109*('Cap Table'!$AV16+'Cap Table'!$AW16)+('Cap Table'!$AA16+'Cap Table'!$AB16)*D$122+('Cap Table'!$I16+'Cap Table'!$J16)*D$133</f>
        <v>#DIV/0!</v>
      </c>
      <c r="E286" s="250" t="e">
        <f ca="1">('Cap Table'!$EB16+'Cap Table'!$EC16)*E$57+E$70*('Cap Table'!$DG16+'Cap Table'!$DH16)+E$83*('Cap Table'!$CL16+'Cap Table'!$CM16)+E$96*('Cap Table'!$BQ16+'Cap Table'!$BR16)+E$109*('Cap Table'!$AV16+'Cap Table'!$AW16)+('Cap Table'!$AA16+'Cap Table'!$AB16)*E$122+('Cap Table'!$I16+'Cap Table'!$J16)*E$133</f>
        <v>#DIV/0!</v>
      </c>
      <c r="F286" s="250" t="e">
        <f ca="1">('Cap Table'!$EB16+'Cap Table'!$EC16)*F$57+F$70*('Cap Table'!$DG16+'Cap Table'!$DH16)+F$83*('Cap Table'!$CL16+'Cap Table'!$CM16)+F$96*('Cap Table'!$BQ16+'Cap Table'!$BR16)+F$109*('Cap Table'!$AV16+'Cap Table'!$AW16)+('Cap Table'!$AA16+'Cap Table'!$AB16)*F$122+('Cap Table'!$I16+'Cap Table'!$J16)*F$133</f>
        <v>#DIV/0!</v>
      </c>
      <c r="G286" s="250" t="e">
        <f ca="1">('Cap Table'!$EB16+'Cap Table'!$EC16)*G$57+G$70*('Cap Table'!$DG16+'Cap Table'!$DH16)+G$83*('Cap Table'!$CL16+'Cap Table'!$CM16)+G$96*('Cap Table'!$BQ16+'Cap Table'!$BR16)+G$109*('Cap Table'!$AV16+'Cap Table'!$AW16)+('Cap Table'!$AA16+'Cap Table'!$AB16)*G$122+('Cap Table'!$I16+'Cap Table'!$J16)*G$133</f>
        <v>#DIV/0!</v>
      </c>
      <c r="H286" s="250" t="e">
        <f ca="1">('Cap Table'!$EB16+'Cap Table'!$EC16)*H$57+H$70*('Cap Table'!$DG16+'Cap Table'!$DH16)+H$83*('Cap Table'!$CL16+'Cap Table'!$CM16)+H$96*('Cap Table'!$BQ16+'Cap Table'!$BR16)+H$109*('Cap Table'!$AV16+'Cap Table'!$AW16)+('Cap Table'!$AA16+'Cap Table'!$AB16)*H$122+('Cap Table'!$I16+'Cap Table'!$J16)*H$133</f>
        <v>#DIV/0!</v>
      </c>
      <c r="I286" s="250" t="e">
        <f ca="1">('Cap Table'!$EB16+'Cap Table'!$EC16)*I$57+I$70*('Cap Table'!$DG16+'Cap Table'!$DH16)+I$83*('Cap Table'!$CL16+'Cap Table'!$CM16)+I$96*('Cap Table'!$BQ16+'Cap Table'!$BR16)+I$109*('Cap Table'!$AV16+'Cap Table'!$AW16)+('Cap Table'!$AA16+'Cap Table'!$AB16)*I$122+('Cap Table'!$I16+'Cap Table'!$J16)*I$133</f>
        <v>#DIV/0!</v>
      </c>
      <c r="J286" s="250" t="e">
        <f ca="1">('Cap Table'!$EB16+'Cap Table'!$EC16)*J$57+J$70*('Cap Table'!$DG16+'Cap Table'!$DH16)+J$83*('Cap Table'!$CL16+'Cap Table'!$CM16)+J$96*('Cap Table'!$BQ16+'Cap Table'!$BR16)+J$109*('Cap Table'!$AV16+'Cap Table'!$AW16)+('Cap Table'!$AA16+'Cap Table'!$AB16)*J$122+('Cap Table'!$I16+'Cap Table'!$J16)*J$133</f>
        <v>#DIV/0!</v>
      </c>
      <c r="K286" s="250" t="e">
        <f ca="1">('Cap Table'!$EB16+'Cap Table'!$EC16)*K$57+K$70*('Cap Table'!$DG16+'Cap Table'!$DH16)+K$83*('Cap Table'!$CL16+'Cap Table'!$CM16)+K$96*('Cap Table'!$BQ16+'Cap Table'!$BR16)+K$109*('Cap Table'!$AV16+'Cap Table'!$AW16)+('Cap Table'!$AA16+'Cap Table'!$AB16)*K$122+('Cap Table'!$I16+'Cap Table'!$J16)*K$133</f>
        <v>#DIV/0!</v>
      </c>
      <c r="L286" s="250" t="e">
        <f ca="1">('Cap Table'!$EB16+'Cap Table'!$EC16)*L$57+L$70*('Cap Table'!$DG16+'Cap Table'!$DH16)+L$83*('Cap Table'!$CL16+'Cap Table'!$CM16)+L$96*('Cap Table'!$BQ16+'Cap Table'!$BR16)+L$109*('Cap Table'!$AV16+'Cap Table'!$AW16)+('Cap Table'!$AA16+'Cap Table'!$AB16)*L$122+('Cap Table'!$I16+'Cap Table'!$J16)*L$133</f>
        <v>#DIV/0!</v>
      </c>
    </row>
    <row r="287" spans="2:13">
      <c r="B287" s="6" t="str">
        <f>'Cap Table'!B17</f>
        <v>na</v>
      </c>
      <c r="C287" s="217" t="str">
        <f>'Cap Table'!$D$60</f>
        <v>$</v>
      </c>
      <c r="D287" s="250" t="e">
        <f ca="1">('Cap Table'!$EB17+'Cap Table'!$EC17)*D$57+D$70*('Cap Table'!$DG17+'Cap Table'!$DH17)+D$83*('Cap Table'!$CL17+'Cap Table'!$CM17)+D$96*('Cap Table'!$BQ17+'Cap Table'!$BR17)+D$109*('Cap Table'!$AV17+'Cap Table'!$AW17)+('Cap Table'!$AA17+'Cap Table'!$AB17)*D$122+('Cap Table'!$I17+'Cap Table'!$J17)*D$133</f>
        <v>#DIV/0!</v>
      </c>
      <c r="E287" s="250" t="e">
        <f ca="1">('Cap Table'!$EB17+'Cap Table'!$EC17)*E$57+E$70*('Cap Table'!$DG17+'Cap Table'!$DH17)+E$83*('Cap Table'!$CL17+'Cap Table'!$CM17)+E$96*('Cap Table'!$BQ17+'Cap Table'!$BR17)+E$109*('Cap Table'!$AV17+'Cap Table'!$AW17)+('Cap Table'!$AA17+'Cap Table'!$AB17)*E$122+('Cap Table'!$I17+'Cap Table'!$J17)*E$133</f>
        <v>#DIV/0!</v>
      </c>
      <c r="F287" s="250" t="e">
        <f ca="1">('Cap Table'!$EB17+'Cap Table'!$EC17)*F$57+F$70*('Cap Table'!$DG17+'Cap Table'!$DH17)+F$83*('Cap Table'!$CL17+'Cap Table'!$CM17)+F$96*('Cap Table'!$BQ17+'Cap Table'!$BR17)+F$109*('Cap Table'!$AV17+'Cap Table'!$AW17)+('Cap Table'!$AA17+'Cap Table'!$AB17)*F$122+('Cap Table'!$I17+'Cap Table'!$J17)*F$133</f>
        <v>#DIV/0!</v>
      </c>
      <c r="G287" s="250" t="e">
        <f ca="1">('Cap Table'!$EB17+'Cap Table'!$EC17)*G$57+G$70*('Cap Table'!$DG17+'Cap Table'!$DH17)+G$83*('Cap Table'!$CL17+'Cap Table'!$CM17)+G$96*('Cap Table'!$BQ17+'Cap Table'!$BR17)+G$109*('Cap Table'!$AV17+'Cap Table'!$AW17)+('Cap Table'!$AA17+'Cap Table'!$AB17)*G$122+('Cap Table'!$I17+'Cap Table'!$J17)*G$133</f>
        <v>#DIV/0!</v>
      </c>
      <c r="H287" s="250" t="e">
        <f ca="1">('Cap Table'!$EB17+'Cap Table'!$EC17)*H$57+H$70*('Cap Table'!$DG17+'Cap Table'!$DH17)+H$83*('Cap Table'!$CL17+'Cap Table'!$CM17)+H$96*('Cap Table'!$BQ17+'Cap Table'!$BR17)+H$109*('Cap Table'!$AV17+'Cap Table'!$AW17)+('Cap Table'!$AA17+'Cap Table'!$AB17)*H$122+('Cap Table'!$I17+'Cap Table'!$J17)*H$133</f>
        <v>#DIV/0!</v>
      </c>
      <c r="I287" s="250" t="e">
        <f ca="1">('Cap Table'!$EB17+'Cap Table'!$EC17)*I$57+I$70*('Cap Table'!$DG17+'Cap Table'!$DH17)+I$83*('Cap Table'!$CL17+'Cap Table'!$CM17)+I$96*('Cap Table'!$BQ17+'Cap Table'!$BR17)+I$109*('Cap Table'!$AV17+'Cap Table'!$AW17)+('Cap Table'!$AA17+'Cap Table'!$AB17)*I$122+('Cap Table'!$I17+'Cap Table'!$J17)*I$133</f>
        <v>#DIV/0!</v>
      </c>
      <c r="J287" s="250" t="e">
        <f ca="1">('Cap Table'!$EB17+'Cap Table'!$EC17)*J$57+J$70*('Cap Table'!$DG17+'Cap Table'!$DH17)+J$83*('Cap Table'!$CL17+'Cap Table'!$CM17)+J$96*('Cap Table'!$BQ17+'Cap Table'!$BR17)+J$109*('Cap Table'!$AV17+'Cap Table'!$AW17)+('Cap Table'!$AA17+'Cap Table'!$AB17)*J$122+('Cap Table'!$I17+'Cap Table'!$J17)*J$133</f>
        <v>#DIV/0!</v>
      </c>
      <c r="K287" s="250" t="e">
        <f ca="1">('Cap Table'!$EB17+'Cap Table'!$EC17)*K$57+K$70*('Cap Table'!$DG17+'Cap Table'!$DH17)+K$83*('Cap Table'!$CL17+'Cap Table'!$CM17)+K$96*('Cap Table'!$BQ17+'Cap Table'!$BR17)+K$109*('Cap Table'!$AV17+'Cap Table'!$AW17)+('Cap Table'!$AA17+'Cap Table'!$AB17)*K$122+('Cap Table'!$I17+'Cap Table'!$J17)*K$133</f>
        <v>#DIV/0!</v>
      </c>
      <c r="L287" s="250" t="e">
        <f ca="1">('Cap Table'!$EB17+'Cap Table'!$EC17)*L$57+L$70*('Cap Table'!$DG17+'Cap Table'!$DH17)+L$83*('Cap Table'!$CL17+'Cap Table'!$CM17)+L$96*('Cap Table'!$BQ17+'Cap Table'!$BR17)+L$109*('Cap Table'!$AV17+'Cap Table'!$AW17)+('Cap Table'!$AA17+'Cap Table'!$AB17)*L$122+('Cap Table'!$I17+'Cap Table'!$J17)*L$133</f>
        <v>#DIV/0!</v>
      </c>
    </row>
    <row r="288" spans="2:13">
      <c r="B288" s="6" t="str">
        <f>'Cap Table'!B18</f>
        <v>na</v>
      </c>
      <c r="C288" s="217" t="str">
        <f>'Cap Table'!$D$60</f>
        <v>$</v>
      </c>
      <c r="D288" s="250" t="e">
        <f ca="1">('Cap Table'!$EB18+'Cap Table'!$EC18)*D$57+D$70*('Cap Table'!$DG18+'Cap Table'!$DH18)+D$83*('Cap Table'!$CL18+'Cap Table'!$CM18)+D$96*('Cap Table'!$BQ18+'Cap Table'!$BR18)+D$109*('Cap Table'!$AV18+'Cap Table'!$AW18)+('Cap Table'!$AA18+'Cap Table'!$AB18)*D$122+('Cap Table'!$I18+'Cap Table'!$J18)*D$133</f>
        <v>#DIV/0!</v>
      </c>
      <c r="E288" s="250" t="e">
        <f ca="1">('Cap Table'!$EB18+'Cap Table'!$EC18)*E$57+E$70*('Cap Table'!$DG18+'Cap Table'!$DH18)+E$83*('Cap Table'!$CL18+'Cap Table'!$CM18)+E$96*('Cap Table'!$BQ18+'Cap Table'!$BR18)+E$109*('Cap Table'!$AV18+'Cap Table'!$AW18)+('Cap Table'!$AA18+'Cap Table'!$AB18)*E$122+('Cap Table'!$I18+'Cap Table'!$J18)*E$133</f>
        <v>#DIV/0!</v>
      </c>
      <c r="F288" s="250" t="e">
        <f ca="1">('Cap Table'!$EB18+'Cap Table'!$EC18)*F$57+F$70*('Cap Table'!$DG18+'Cap Table'!$DH18)+F$83*('Cap Table'!$CL18+'Cap Table'!$CM18)+F$96*('Cap Table'!$BQ18+'Cap Table'!$BR18)+F$109*('Cap Table'!$AV18+'Cap Table'!$AW18)+('Cap Table'!$AA18+'Cap Table'!$AB18)*F$122+('Cap Table'!$I18+'Cap Table'!$J18)*F$133</f>
        <v>#DIV/0!</v>
      </c>
      <c r="G288" s="250" t="e">
        <f ca="1">('Cap Table'!$EB18+'Cap Table'!$EC18)*G$57+G$70*('Cap Table'!$DG18+'Cap Table'!$DH18)+G$83*('Cap Table'!$CL18+'Cap Table'!$CM18)+G$96*('Cap Table'!$BQ18+'Cap Table'!$BR18)+G$109*('Cap Table'!$AV18+'Cap Table'!$AW18)+('Cap Table'!$AA18+'Cap Table'!$AB18)*G$122+('Cap Table'!$I18+'Cap Table'!$J18)*G$133</f>
        <v>#DIV/0!</v>
      </c>
      <c r="H288" s="250" t="e">
        <f ca="1">('Cap Table'!$EB18+'Cap Table'!$EC18)*H$57+H$70*('Cap Table'!$DG18+'Cap Table'!$DH18)+H$83*('Cap Table'!$CL18+'Cap Table'!$CM18)+H$96*('Cap Table'!$BQ18+'Cap Table'!$BR18)+H$109*('Cap Table'!$AV18+'Cap Table'!$AW18)+('Cap Table'!$AA18+'Cap Table'!$AB18)*H$122+('Cap Table'!$I18+'Cap Table'!$J18)*H$133</f>
        <v>#DIV/0!</v>
      </c>
      <c r="I288" s="250" t="e">
        <f ca="1">('Cap Table'!$EB18+'Cap Table'!$EC18)*I$57+I$70*('Cap Table'!$DG18+'Cap Table'!$DH18)+I$83*('Cap Table'!$CL18+'Cap Table'!$CM18)+I$96*('Cap Table'!$BQ18+'Cap Table'!$BR18)+I$109*('Cap Table'!$AV18+'Cap Table'!$AW18)+('Cap Table'!$AA18+'Cap Table'!$AB18)*I$122+('Cap Table'!$I18+'Cap Table'!$J18)*I$133</f>
        <v>#DIV/0!</v>
      </c>
      <c r="J288" s="250" t="e">
        <f ca="1">('Cap Table'!$EB18+'Cap Table'!$EC18)*J$57+J$70*('Cap Table'!$DG18+'Cap Table'!$DH18)+J$83*('Cap Table'!$CL18+'Cap Table'!$CM18)+J$96*('Cap Table'!$BQ18+'Cap Table'!$BR18)+J$109*('Cap Table'!$AV18+'Cap Table'!$AW18)+('Cap Table'!$AA18+'Cap Table'!$AB18)*J$122+('Cap Table'!$I18+'Cap Table'!$J18)*J$133</f>
        <v>#DIV/0!</v>
      </c>
      <c r="K288" s="250" t="e">
        <f ca="1">('Cap Table'!$EB18+'Cap Table'!$EC18)*K$57+K$70*('Cap Table'!$DG18+'Cap Table'!$DH18)+K$83*('Cap Table'!$CL18+'Cap Table'!$CM18)+K$96*('Cap Table'!$BQ18+'Cap Table'!$BR18)+K$109*('Cap Table'!$AV18+'Cap Table'!$AW18)+('Cap Table'!$AA18+'Cap Table'!$AB18)*K$122+('Cap Table'!$I18+'Cap Table'!$J18)*K$133</f>
        <v>#DIV/0!</v>
      </c>
      <c r="L288" s="250" t="e">
        <f ca="1">('Cap Table'!$EB18+'Cap Table'!$EC18)*L$57+L$70*('Cap Table'!$DG18+'Cap Table'!$DH18)+L$83*('Cap Table'!$CL18+'Cap Table'!$CM18)+L$96*('Cap Table'!$BQ18+'Cap Table'!$BR18)+L$109*('Cap Table'!$AV18+'Cap Table'!$AW18)+('Cap Table'!$AA18+'Cap Table'!$AB18)*L$122+('Cap Table'!$I18+'Cap Table'!$J18)*L$133</f>
        <v>#DIV/0!</v>
      </c>
    </row>
    <row r="289" spans="2:12">
      <c r="B289" s="6" t="str">
        <f>'Cap Table'!B19</f>
        <v>na</v>
      </c>
      <c r="C289" s="217" t="str">
        <f>'Cap Table'!$D$60</f>
        <v>$</v>
      </c>
      <c r="D289" s="250" t="e">
        <f ca="1">('Cap Table'!$EB19+'Cap Table'!$EC19)*D$57+D$70*('Cap Table'!$DG19+'Cap Table'!$DH19)+D$83*('Cap Table'!$CL19+'Cap Table'!$CM19)+D$96*('Cap Table'!$BQ19+'Cap Table'!$BR19)+D$109*('Cap Table'!$AV19+'Cap Table'!$AW19)+('Cap Table'!$AA19+'Cap Table'!$AB19)*D$122+('Cap Table'!$I19+'Cap Table'!$J19)*D$133</f>
        <v>#DIV/0!</v>
      </c>
      <c r="E289" s="250" t="e">
        <f ca="1">('Cap Table'!$EB19+'Cap Table'!$EC19)*E$57+E$70*('Cap Table'!$DG19+'Cap Table'!$DH19)+E$83*('Cap Table'!$CL19+'Cap Table'!$CM19)+E$96*('Cap Table'!$BQ19+'Cap Table'!$BR19)+E$109*('Cap Table'!$AV19+'Cap Table'!$AW19)+('Cap Table'!$AA19+'Cap Table'!$AB19)*E$122+('Cap Table'!$I19+'Cap Table'!$J19)*E$133</f>
        <v>#DIV/0!</v>
      </c>
      <c r="F289" s="250" t="e">
        <f ca="1">('Cap Table'!$EB19+'Cap Table'!$EC19)*F$57+F$70*('Cap Table'!$DG19+'Cap Table'!$DH19)+F$83*('Cap Table'!$CL19+'Cap Table'!$CM19)+F$96*('Cap Table'!$BQ19+'Cap Table'!$BR19)+F$109*('Cap Table'!$AV19+'Cap Table'!$AW19)+('Cap Table'!$AA19+'Cap Table'!$AB19)*F$122+('Cap Table'!$I19+'Cap Table'!$J19)*F$133</f>
        <v>#DIV/0!</v>
      </c>
      <c r="G289" s="250" t="e">
        <f ca="1">('Cap Table'!$EB19+'Cap Table'!$EC19)*G$57+G$70*('Cap Table'!$DG19+'Cap Table'!$DH19)+G$83*('Cap Table'!$CL19+'Cap Table'!$CM19)+G$96*('Cap Table'!$BQ19+'Cap Table'!$BR19)+G$109*('Cap Table'!$AV19+'Cap Table'!$AW19)+('Cap Table'!$AA19+'Cap Table'!$AB19)*G$122+('Cap Table'!$I19+'Cap Table'!$J19)*G$133</f>
        <v>#DIV/0!</v>
      </c>
      <c r="H289" s="250" t="e">
        <f ca="1">('Cap Table'!$EB19+'Cap Table'!$EC19)*H$57+H$70*('Cap Table'!$DG19+'Cap Table'!$DH19)+H$83*('Cap Table'!$CL19+'Cap Table'!$CM19)+H$96*('Cap Table'!$BQ19+'Cap Table'!$BR19)+H$109*('Cap Table'!$AV19+'Cap Table'!$AW19)+('Cap Table'!$AA19+'Cap Table'!$AB19)*H$122+('Cap Table'!$I19+'Cap Table'!$J19)*H$133</f>
        <v>#DIV/0!</v>
      </c>
      <c r="I289" s="250" t="e">
        <f ca="1">('Cap Table'!$EB19+'Cap Table'!$EC19)*I$57+I$70*('Cap Table'!$DG19+'Cap Table'!$DH19)+I$83*('Cap Table'!$CL19+'Cap Table'!$CM19)+I$96*('Cap Table'!$BQ19+'Cap Table'!$BR19)+I$109*('Cap Table'!$AV19+'Cap Table'!$AW19)+('Cap Table'!$AA19+'Cap Table'!$AB19)*I$122+('Cap Table'!$I19+'Cap Table'!$J19)*I$133</f>
        <v>#DIV/0!</v>
      </c>
      <c r="J289" s="250" t="e">
        <f ca="1">('Cap Table'!$EB19+'Cap Table'!$EC19)*J$57+J$70*('Cap Table'!$DG19+'Cap Table'!$DH19)+J$83*('Cap Table'!$CL19+'Cap Table'!$CM19)+J$96*('Cap Table'!$BQ19+'Cap Table'!$BR19)+J$109*('Cap Table'!$AV19+'Cap Table'!$AW19)+('Cap Table'!$AA19+'Cap Table'!$AB19)*J$122+('Cap Table'!$I19+'Cap Table'!$J19)*J$133</f>
        <v>#DIV/0!</v>
      </c>
      <c r="K289" s="250" t="e">
        <f ca="1">('Cap Table'!$EB19+'Cap Table'!$EC19)*K$57+K$70*('Cap Table'!$DG19+'Cap Table'!$DH19)+K$83*('Cap Table'!$CL19+'Cap Table'!$CM19)+K$96*('Cap Table'!$BQ19+'Cap Table'!$BR19)+K$109*('Cap Table'!$AV19+'Cap Table'!$AW19)+('Cap Table'!$AA19+'Cap Table'!$AB19)*K$122+('Cap Table'!$I19+'Cap Table'!$J19)*K$133</f>
        <v>#DIV/0!</v>
      </c>
      <c r="L289" s="250" t="e">
        <f ca="1">('Cap Table'!$EB19+'Cap Table'!$EC19)*L$57+L$70*('Cap Table'!$DG19+'Cap Table'!$DH19)+L$83*('Cap Table'!$CL19+'Cap Table'!$CM19)+L$96*('Cap Table'!$BQ19+'Cap Table'!$BR19)+L$109*('Cap Table'!$AV19+'Cap Table'!$AW19)+('Cap Table'!$AA19+'Cap Table'!$AB19)*L$122+('Cap Table'!$I19+'Cap Table'!$J19)*L$133</f>
        <v>#DIV/0!</v>
      </c>
    </row>
    <row r="290" spans="2:12">
      <c r="B290" s="6" t="str">
        <f>'Cap Table'!B20</f>
        <v>na</v>
      </c>
      <c r="C290" s="217" t="str">
        <f>'Cap Table'!$D$60</f>
        <v>$</v>
      </c>
      <c r="D290" s="250" t="e">
        <f ca="1">('Cap Table'!$EB20+'Cap Table'!$EC20)*D$57+D$70*('Cap Table'!$DG20+'Cap Table'!$DH20)+D$83*('Cap Table'!$CL20+'Cap Table'!$CM20)+D$96*('Cap Table'!$BQ20+'Cap Table'!$BR20)+D$109*('Cap Table'!$AV20+'Cap Table'!$AW20)+('Cap Table'!$AA20+'Cap Table'!$AB20)*D$122+('Cap Table'!$I20+'Cap Table'!$J20)*D$133</f>
        <v>#DIV/0!</v>
      </c>
      <c r="E290" s="250" t="e">
        <f ca="1">('Cap Table'!$EB20+'Cap Table'!$EC20)*E$57+E$70*('Cap Table'!$DG20+'Cap Table'!$DH20)+E$83*('Cap Table'!$CL20+'Cap Table'!$CM20)+E$96*('Cap Table'!$BQ20+'Cap Table'!$BR20)+E$109*('Cap Table'!$AV20+'Cap Table'!$AW20)+('Cap Table'!$AA20+'Cap Table'!$AB20)*E$122+('Cap Table'!$I20+'Cap Table'!$J20)*E$133</f>
        <v>#DIV/0!</v>
      </c>
      <c r="F290" s="250" t="e">
        <f ca="1">('Cap Table'!$EB20+'Cap Table'!$EC20)*F$57+F$70*('Cap Table'!$DG20+'Cap Table'!$DH20)+F$83*('Cap Table'!$CL20+'Cap Table'!$CM20)+F$96*('Cap Table'!$BQ20+'Cap Table'!$BR20)+F$109*('Cap Table'!$AV20+'Cap Table'!$AW20)+('Cap Table'!$AA20+'Cap Table'!$AB20)*F$122+('Cap Table'!$I20+'Cap Table'!$J20)*F$133</f>
        <v>#DIV/0!</v>
      </c>
      <c r="G290" s="250" t="e">
        <f ca="1">('Cap Table'!$EB20+'Cap Table'!$EC20)*G$57+G$70*('Cap Table'!$DG20+'Cap Table'!$DH20)+G$83*('Cap Table'!$CL20+'Cap Table'!$CM20)+G$96*('Cap Table'!$BQ20+'Cap Table'!$BR20)+G$109*('Cap Table'!$AV20+'Cap Table'!$AW20)+('Cap Table'!$AA20+'Cap Table'!$AB20)*G$122+('Cap Table'!$I20+'Cap Table'!$J20)*G$133</f>
        <v>#DIV/0!</v>
      </c>
      <c r="H290" s="250" t="e">
        <f ca="1">('Cap Table'!$EB20+'Cap Table'!$EC20)*H$57+H$70*('Cap Table'!$DG20+'Cap Table'!$DH20)+H$83*('Cap Table'!$CL20+'Cap Table'!$CM20)+H$96*('Cap Table'!$BQ20+'Cap Table'!$BR20)+H$109*('Cap Table'!$AV20+'Cap Table'!$AW20)+('Cap Table'!$AA20+'Cap Table'!$AB20)*H$122+('Cap Table'!$I20+'Cap Table'!$J20)*H$133</f>
        <v>#DIV/0!</v>
      </c>
      <c r="I290" s="250" t="e">
        <f ca="1">('Cap Table'!$EB20+'Cap Table'!$EC20)*I$57+I$70*('Cap Table'!$DG20+'Cap Table'!$DH20)+I$83*('Cap Table'!$CL20+'Cap Table'!$CM20)+I$96*('Cap Table'!$BQ20+'Cap Table'!$BR20)+I$109*('Cap Table'!$AV20+'Cap Table'!$AW20)+('Cap Table'!$AA20+'Cap Table'!$AB20)*I$122+('Cap Table'!$I20+'Cap Table'!$J20)*I$133</f>
        <v>#DIV/0!</v>
      </c>
      <c r="J290" s="250" t="e">
        <f ca="1">('Cap Table'!$EB20+'Cap Table'!$EC20)*J$57+J$70*('Cap Table'!$DG20+'Cap Table'!$DH20)+J$83*('Cap Table'!$CL20+'Cap Table'!$CM20)+J$96*('Cap Table'!$BQ20+'Cap Table'!$BR20)+J$109*('Cap Table'!$AV20+'Cap Table'!$AW20)+('Cap Table'!$AA20+'Cap Table'!$AB20)*J$122+('Cap Table'!$I20+'Cap Table'!$J20)*J$133</f>
        <v>#DIV/0!</v>
      </c>
      <c r="K290" s="250" t="e">
        <f ca="1">('Cap Table'!$EB20+'Cap Table'!$EC20)*K$57+K$70*('Cap Table'!$DG20+'Cap Table'!$DH20)+K$83*('Cap Table'!$CL20+'Cap Table'!$CM20)+K$96*('Cap Table'!$BQ20+'Cap Table'!$BR20)+K$109*('Cap Table'!$AV20+'Cap Table'!$AW20)+('Cap Table'!$AA20+'Cap Table'!$AB20)*K$122+('Cap Table'!$I20+'Cap Table'!$J20)*K$133</f>
        <v>#DIV/0!</v>
      </c>
      <c r="L290" s="250" t="e">
        <f ca="1">('Cap Table'!$EB20+'Cap Table'!$EC20)*L$57+L$70*('Cap Table'!$DG20+'Cap Table'!$DH20)+L$83*('Cap Table'!$CL20+'Cap Table'!$CM20)+L$96*('Cap Table'!$BQ20+'Cap Table'!$BR20)+L$109*('Cap Table'!$AV20+'Cap Table'!$AW20)+('Cap Table'!$AA20+'Cap Table'!$AB20)*L$122+('Cap Table'!$I20+'Cap Table'!$J20)*L$133</f>
        <v>#DIV/0!</v>
      </c>
    </row>
    <row r="291" spans="2:12">
      <c r="B291" s="6" t="str">
        <f>'Cap Table'!B21</f>
        <v>na</v>
      </c>
      <c r="C291" s="217" t="str">
        <f>'Cap Table'!$D$60</f>
        <v>$</v>
      </c>
      <c r="D291" s="250" t="e">
        <f ca="1">('Cap Table'!$EB21+'Cap Table'!$EC21)*D$57+D$70*('Cap Table'!$DG21+'Cap Table'!$DH21)+D$83*('Cap Table'!$CL21+'Cap Table'!$CM21)+D$96*('Cap Table'!$BQ21+'Cap Table'!$BR21)+D$109*('Cap Table'!$AV21+'Cap Table'!$AW21)+('Cap Table'!$AA21+'Cap Table'!$AB21)*D$122+('Cap Table'!$I21+'Cap Table'!$J21)*D$133</f>
        <v>#DIV/0!</v>
      </c>
      <c r="E291" s="250" t="e">
        <f ca="1">('Cap Table'!$EB21+'Cap Table'!$EC21)*E$57+E$70*('Cap Table'!$DG21+'Cap Table'!$DH21)+E$83*('Cap Table'!$CL21+'Cap Table'!$CM21)+E$96*('Cap Table'!$BQ21+'Cap Table'!$BR21)+E$109*('Cap Table'!$AV21+'Cap Table'!$AW21)+('Cap Table'!$AA21+'Cap Table'!$AB21)*E$122+('Cap Table'!$I21+'Cap Table'!$J21)*E$133</f>
        <v>#DIV/0!</v>
      </c>
      <c r="F291" s="250" t="e">
        <f ca="1">('Cap Table'!$EB21+'Cap Table'!$EC21)*F$57+F$70*('Cap Table'!$DG21+'Cap Table'!$DH21)+F$83*('Cap Table'!$CL21+'Cap Table'!$CM21)+F$96*('Cap Table'!$BQ21+'Cap Table'!$BR21)+F$109*('Cap Table'!$AV21+'Cap Table'!$AW21)+('Cap Table'!$AA21+'Cap Table'!$AB21)*F$122+('Cap Table'!$I21+'Cap Table'!$J21)*F$133</f>
        <v>#DIV/0!</v>
      </c>
      <c r="G291" s="250" t="e">
        <f ca="1">('Cap Table'!$EB21+'Cap Table'!$EC21)*G$57+G$70*('Cap Table'!$DG21+'Cap Table'!$DH21)+G$83*('Cap Table'!$CL21+'Cap Table'!$CM21)+G$96*('Cap Table'!$BQ21+'Cap Table'!$BR21)+G$109*('Cap Table'!$AV21+'Cap Table'!$AW21)+('Cap Table'!$AA21+'Cap Table'!$AB21)*G$122+('Cap Table'!$I21+'Cap Table'!$J21)*G$133</f>
        <v>#DIV/0!</v>
      </c>
      <c r="H291" s="250" t="e">
        <f ca="1">('Cap Table'!$EB21+'Cap Table'!$EC21)*H$57+H$70*('Cap Table'!$DG21+'Cap Table'!$DH21)+H$83*('Cap Table'!$CL21+'Cap Table'!$CM21)+H$96*('Cap Table'!$BQ21+'Cap Table'!$BR21)+H$109*('Cap Table'!$AV21+'Cap Table'!$AW21)+('Cap Table'!$AA21+'Cap Table'!$AB21)*H$122+('Cap Table'!$I21+'Cap Table'!$J21)*H$133</f>
        <v>#DIV/0!</v>
      </c>
      <c r="I291" s="250" t="e">
        <f ca="1">('Cap Table'!$EB21+'Cap Table'!$EC21)*I$57+I$70*('Cap Table'!$DG21+'Cap Table'!$DH21)+I$83*('Cap Table'!$CL21+'Cap Table'!$CM21)+I$96*('Cap Table'!$BQ21+'Cap Table'!$BR21)+I$109*('Cap Table'!$AV21+'Cap Table'!$AW21)+('Cap Table'!$AA21+'Cap Table'!$AB21)*I$122+('Cap Table'!$I21+'Cap Table'!$J21)*I$133</f>
        <v>#DIV/0!</v>
      </c>
      <c r="J291" s="250" t="e">
        <f ca="1">('Cap Table'!$EB21+'Cap Table'!$EC21)*J$57+J$70*('Cap Table'!$DG21+'Cap Table'!$DH21)+J$83*('Cap Table'!$CL21+'Cap Table'!$CM21)+J$96*('Cap Table'!$BQ21+'Cap Table'!$BR21)+J$109*('Cap Table'!$AV21+'Cap Table'!$AW21)+('Cap Table'!$AA21+'Cap Table'!$AB21)*J$122+('Cap Table'!$I21+'Cap Table'!$J21)*J$133</f>
        <v>#DIV/0!</v>
      </c>
      <c r="K291" s="250" t="e">
        <f ca="1">('Cap Table'!$EB21+'Cap Table'!$EC21)*K$57+K$70*('Cap Table'!$DG21+'Cap Table'!$DH21)+K$83*('Cap Table'!$CL21+'Cap Table'!$CM21)+K$96*('Cap Table'!$BQ21+'Cap Table'!$BR21)+K$109*('Cap Table'!$AV21+'Cap Table'!$AW21)+('Cap Table'!$AA21+'Cap Table'!$AB21)*K$122+('Cap Table'!$I21+'Cap Table'!$J21)*K$133</f>
        <v>#DIV/0!</v>
      </c>
      <c r="L291" s="250" t="e">
        <f ca="1">('Cap Table'!$EB21+'Cap Table'!$EC21)*L$57+L$70*('Cap Table'!$DG21+'Cap Table'!$DH21)+L$83*('Cap Table'!$CL21+'Cap Table'!$CM21)+L$96*('Cap Table'!$BQ21+'Cap Table'!$BR21)+L$109*('Cap Table'!$AV21+'Cap Table'!$AW21)+('Cap Table'!$AA21+'Cap Table'!$AB21)*L$122+('Cap Table'!$I21+'Cap Table'!$J21)*L$133</f>
        <v>#DIV/0!</v>
      </c>
    </row>
    <row r="292" spans="2:12">
      <c r="B292" s="6" t="str">
        <f>'Cap Table'!B22</f>
        <v>na</v>
      </c>
      <c r="C292" s="217" t="str">
        <f>'Cap Table'!$D$60</f>
        <v>$</v>
      </c>
      <c r="D292" s="250" t="e">
        <f ca="1">('Cap Table'!$EB22+'Cap Table'!$EC22)*D$57+D$70*('Cap Table'!$DG22+'Cap Table'!$DH22)+D$83*('Cap Table'!$CL22+'Cap Table'!$CM22)+D$96*('Cap Table'!$BQ22+'Cap Table'!$BR22)+D$109*('Cap Table'!$AV22+'Cap Table'!$AW22)+('Cap Table'!$AA22+'Cap Table'!$AB22)*D$122+('Cap Table'!$I22+'Cap Table'!$J22)*D$133</f>
        <v>#DIV/0!</v>
      </c>
      <c r="E292" s="250" t="e">
        <f ca="1">('Cap Table'!$EB22+'Cap Table'!$EC22)*E$57+E$70*('Cap Table'!$DG22+'Cap Table'!$DH22)+E$83*('Cap Table'!$CL22+'Cap Table'!$CM22)+E$96*('Cap Table'!$BQ22+'Cap Table'!$BR22)+E$109*('Cap Table'!$AV22+'Cap Table'!$AW22)+('Cap Table'!$AA22+'Cap Table'!$AB22)*E$122+('Cap Table'!$I22+'Cap Table'!$J22)*E$133</f>
        <v>#DIV/0!</v>
      </c>
      <c r="F292" s="250" t="e">
        <f ca="1">('Cap Table'!$EB22+'Cap Table'!$EC22)*F$57+F$70*('Cap Table'!$DG22+'Cap Table'!$DH22)+F$83*('Cap Table'!$CL22+'Cap Table'!$CM22)+F$96*('Cap Table'!$BQ22+'Cap Table'!$BR22)+F$109*('Cap Table'!$AV22+'Cap Table'!$AW22)+('Cap Table'!$AA22+'Cap Table'!$AB22)*F$122+('Cap Table'!$I22+'Cap Table'!$J22)*F$133</f>
        <v>#DIV/0!</v>
      </c>
      <c r="G292" s="250" t="e">
        <f ca="1">('Cap Table'!$EB22+'Cap Table'!$EC22)*G$57+G$70*('Cap Table'!$DG22+'Cap Table'!$DH22)+G$83*('Cap Table'!$CL22+'Cap Table'!$CM22)+G$96*('Cap Table'!$BQ22+'Cap Table'!$BR22)+G$109*('Cap Table'!$AV22+'Cap Table'!$AW22)+('Cap Table'!$AA22+'Cap Table'!$AB22)*G$122+('Cap Table'!$I22+'Cap Table'!$J22)*G$133</f>
        <v>#DIV/0!</v>
      </c>
      <c r="H292" s="250" t="e">
        <f ca="1">('Cap Table'!$EB22+'Cap Table'!$EC22)*H$57+H$70*('Cap Table'!$DG22+'Cap Table'!$DH22)+H$83*('Cap Table'!$CL22+'Cap Table'!$CM22)+H$96*('Cap Table'!$BQ22+'Cap Table'!$BR22)+H$109*('Cap Table'!$AV22+'Cap Table'!$AW22)+('Cap Table'!$AA22+'Cap Table'!$AB22)*H$122+('Cap Table'!$I22+'Cap Table'!$J22)*H$133</f>
        <v>#DIV/0!</v>
      </c>
      <c r="I292" s="250" t="e">
        <f ca="1">('Cap Table'!$EB22+'Cap Table'!$EC22)*I$57+I$70*('Cap Table'!$DG22+'Cap Table'!$DH22)+I$83*('Cap Table'!$CL22+'Cap Table'!$CM22)+I$96*('Cap Table'!$BQ22+'Cap Table'!$BR22)+I$109*('Cap Table'!$AV22+'Cap Table'!$AW22)+('Cap Table'!$AA22+'Cap Table'!$AB22)*I$122+('Cap Table'!$I22+'Cap Table'!$J22)*I$133</f>
        <v>#DIV/0!</v>
      </c>
      <c r="J292" s="250" t="e">
        <f ca="1">('Cap Table'!$EB22+'Cap Table'!$EC22)*J$57+J$70*('Cap Table'!$DG22+'Cap Table'!$DH22)+J$83*('Cap Table'!$CL22+'Cap Table'!$CM22)+J$96*('Cap Table'!$BQ22+'Cap Table'!$BR22)+J$109*('Cap Table'!$AV22+'Cap Table'!$AW22)+('Cap Table'!$AA22+'Cap Table'!$AB22)*J$122+('Cap Table'!$I22+'Cap Table'!$J22)*J$133</f>
        <v>#DIV/0!</v>
      </c>
      <c r="K292" s="250" t="e">
        <f ca="1">('Cap Table'!$EB22+'Cap Table'!$EC22)*K$57+K$70*('Cap Table'!$DG22+'Cap Table'!$DH22)+K$83*('Cap Table'!$CL22+'Cap Table'!$CM22)+K$96*('Cap Table'!$BQ22+'Cap Table'!$BR22)+K$109*('Cap Table'!$AV22+'Cap Table'!$AW22)+('Cap Table'!$AA22+'Cap Table'!$AB22)*K$122+('Cap Table'!$I22+'Cap Table'!$J22)*K$133</f>
        <v>#DIV/0!</v>
      </c>
      <c r="L292" s="250" t="e">
        <f ca="1">('Cap Table'!$EB22+'Cap Table'!$EC22)*L$57+L$70*('Cap Table'!$DG22+'Cap Table'!$DH22)+L$83*('Cap Table'!$CL22+'Cap Table'!$CM22)+L$96*('Cap Table'!$BQ22+'Cap Table'!$BR22)+L$109*('Cap Table'!$AV22+'Cap Table'!$AW22)+('Cap Table'!$AA22+'Cap Table'!$AB22)*L$122+('Cap Table'!$I22+'Cap Table'!$J22)*L$133</f>
        <v>#DIV/0!</v>
      </c>
    </row>
    <row r="293" spans="2:12">
      <c r="B293" s="6" t="str">
        <f>'Cap Table'!B23</f>
        <v>na</v>
      </c>
      <c r="C293" s="217" t="str">
        <f>'Cap Table'!$D$60</f>
        <v>$</v>
      </c>
      <c r="D293" s="250" t="e">
        <f ca="1">('Cap Table'!$EB23+'Cap Table'!$EC23)*D$57+D$70*('Cap Table'!$DG23+'Cap Table'!$DH23)+D$83*('Cap Table'!$CL23+'Cap Table'!$CM23)+D$96*('Cap Table'!$BQ23+'Cap Table'!$BR23)+D$109*('Cap Table'!$AV23+'Cap Table'!$AW23)+('Cap Table'!$AA23+'Cap Table'!$AB23)*D$122+('Cap Table'!$I23+'Cap Table'!$J23)*D$133</f>
        <v>#DIV/0!</v>
      </c>
      <c r="E293" s="250" t="e">
        <f ca="1">('Cap Table'!$EB23+'Cap Table'!$EC23)*E$57+E$70*('Cap Table'!$DG23+'Cap Table'!$DH23)+E$83*('Cap Table'!$CL23+'Cap Table'!$CM23)+E$96*('Cap Table'!$BQ23+'Cap Table'!$BR23)+E$109*('Cap Table'!$AV23+'Cap Table'!$AW23)+('Cap Table'!$AA23+'Cap Table'!$AB23)*E$122+('Cap Table'!$I23+'Cap Table'!$J23)*E$133</f>
        <v>#DIV/0!</v>
      </c>
      <c r="F293" s="250" t="e">
        <f ca="1">('Cap Table'!$EB23+'Cap Table'!$EC23)*F$57+F$70*('Cap Table'!$DG23+'Cap Table'!$DH23)+F$83*('Cap Table'!$CL23+'Cap Table'!$CM23)+F$96*('Cap Table'!$BQ23+'Cap Table'!$BR23)+F$109*('Cap Table'!$AV23+'Cap Table'!$AW23)+('Cap Table'!$AA23+'Cap Table'!$AB23)*F$122+('Cap Table'!$I23+'Cap Table'!$J23)*F$133</f>
        <v>#DIV/0!</v>
      </c>
      <c r="G293" s="250" t="e">
        <f ca="1">('Cap Table'!$EB23+'Cap Table'!$EC23)*G$57+G$70*('Cap Table'!$DG23+'Cap Table'!$DH23)+G$83*('Cap Table'!$CL23+'Cap Table'!$CM23)+G$96*('Cap Table'!$BQ23+'Cap Table'!$BR23)+G$109*('Cap Table'!$AV23+'Cap Table'!$AW23)+('Cap Table'!$AA23+'Cap Table'!$AB23)*G$122+('Cap Table'!$I23+'Cap Table'!$J23)*G$133</f>
        <v>#DIV/0!</v>
      </c>
      <c r="H293" s="250" t="e">
        <f ca="1">('Cap Table'!$EB23+'Cap Table'!$EC23)*H$57+H$70*('Cap Table'!$DG23+'Cap Table'!$DH23)+H$83*('Cap Table'!$CL23+'Cap Table'!$CM23)+H$96*('Cap Table'!$BQ23+'Cap Table'!$BR23)+H$109*('Cap Table'!$AV23+'Cap Table'!$AW23)+('Cap Table'!$AA23+'Cap Table'!$AB23)*H$122+('Cap Table'!$I23+'Cap Table'!$J23)*H$133</f>
        <v>#DIV/0!</v>
      </c>
      <c r="I293" s="250" t="e">
        <f ca="1">('Cap Table'!$EB23+'Cap Table'!$EC23)*I$57+I$70*('Cap Table'!$DG23+'Cap Table'!$DH23)+I$83*('Cap Table'!$CL23+'Cap Table'!$CM23)+I$96*('Cap Table'!$BQ23+'Cap Table'!$BR23)+I$109*('Cap Table'!$AV23+'Cap Table'!$AW23)+('Cap Table'!$AA23+'Cap Table'!$AB23)*I$122+('Cap Table'!$I23+'Cap Table'!$J23)*I$133</f>
        <v>#DIV/0!</v>
      </c>
      <c r="J293" s="250" t="e">
        <f ca="1">('Cap Table'!$EB23+'Cap Table'!$EC23)*J$57+J$70*('Cap Table'!$DG23+'Cap Table'!$DH23)+J$83*('Cap Table'!$CL23+'Cap Table'!$CM23)+J$96*('Cap Table'!$BQ23+'Cap Table'!$BR23)+J$109*('Cap Table'!$AV23+'Cap Table'!$AW23)+('Cap Table'!$AA23+'Cap Table'!$AB23)*J$122+('Cap Table'!$I23+'Cap Table'!$J23)*J$133</f>
        <v>#DIV/0!</v>
      </c>
      <c r="K293" s="250" t="e">
        <f ca="1">('Cap Table'!$EB23+'Cap Table'!$EC23)*K$57+K$70*('Cap Table'!$DG23+'Cap Table'!$DH23)+K$83*('Cap Table'!$CL23+'Cap Table'!$CM23)+K$96*('Cap Table'!$BQ23+'Cap Table'!$BR23)+K$109*('Cap Table'!$AV23+'Cap Table'!$AW23)+('Cap Table'!$AA23+'Cap Table'!$AB23)*K$122+('Cap Table'!$I23+'Cap Table'!$J23)*K$133</f>
        <v>#DIV/0!</v>
      </c>
      <c r="L293" s="250" t="e">
        <f ca="1">('Cap Table'!$EB23+'Cap Table'!$EC23)*L$57+L$70*('Cap Table'!$DG23+'Cap Table'!$DH23)+L$83*('Cap Table'!$CL23+'Cap Table'!$CM23)+L$96*('Cap Table'!$BQ23+'Cap Table'!$BR23)+L$109*('Cap Table'!$AV23+'Cap Table'!$AW23)+('Cap Table'!$AA23+'Cap Table'!$AB23)*L$122+('Cap Table'!$I23+'Cap Table'!$J23)*L$133</f>
        <v>#DIV/0!</v>
      </c>
    </row>
    <row r="294" spans="2:12">
      <c r="B294" s="6" t="str">
        <f>'Cap Table'!B24</f>
        <v>na</v>
      </c>
      <c r="C294" s="217" t="str">
        <f>'Cap Table'!$D$60</f>
        <v>$</v>
      </c>
      <c r="D294" s="250" t="e">
        <f ca="1">('Cap Table'!$EB24+'Cap Table'!$EC24)*D$57+D$70*('Cap Table'!$DG24+'Cap Table'!$DH24)+D$83*('Cap Table'!$CL24+'Cap Table'!$CM24)+D$96*('Cap Table'!$BQ24+'Cap Table'!$BR24)+D$109*('Cap Table'!$AV24+'Cap Table'!$AW24)+('Cap Table'!$AA24+'Cap Table'!$AB24)*D$122+('Cap Table'!$I24+'Cap Table'!$J24)*D$133</f>
        <v>#DIV/0!</v>
      </c>
      <c r="E294" s="250" t="e">
        <f ca="1">('Cap Table'!$EB24+'Cap Table'!$EC24)*E$57+E$70*('Cap Table'!$DG24+'Cap Table'!$DH24)+E$83*('Cap Table'!$CL24+'Cap Table'!$CM24)+E$96*('Cap Table'!$BQ24+'Cap Table'!$BR24)+E$109*('Cap Table'!$AV24+'Cap Table'!$AW24)+('Cap Table'!$AA24+'Cap Table'!$AB24)*E$122+('Cap Table'!$I24+'Cap Table'!$J24)*E$133</f>
        <v>#DIV/0!</v>
      </c>
      <c r="F294" s="250" t="e">
        <f ca="1">('Cap Table'!$EB24+'Cap Table'!$EC24)*F$57+F$70*('Cap Table'!$DG24+'Cap Table'!$DH24)+F$83*('Cap Table'!$CL24+'Cap Table'!$CM24)+F$96*('Cap Table'!$BQ24+'Cap Table'!$BR24)+F$109*('Cap Table'!$AV24+'Cap Table'!$AW24)+('Cap Table'!$AA24+'Cap Table'!$AB24)*F$122+('Cap Table'!$I24+'Cap Table'!$J24)*F$133</f>
        <v>#DIV/0!</v>
      </c>
      <c r="G294" s="250" t="e">
        <f ca="1">('Cap Table'!$EB24+'Cap Table'!$EC24)*G$57+G$70*('Cap Table'!$DG24+'Cap Table'!$DH24)+G$83*('Cap Table'!$CL24+'Cap Table'!$CM24)+G$96*('Cap Table'!$BQ24+'Cap Table'!$BR24)+G$109*('Cap Table'!$AV24+'Cap Table'!$AW24)+('Cap Table'!$AA24+'Cap Table'!$AB24)*G$122+('Cap Table'!$I24+'Cap Table'!$J24)*G$133</f>
        <v>#DIV/0!</v>
      </c>
      <c r="H294" s="250" t="e">
        <f ca="1">('Cap Table'!$EB24+'Cap Table'!$EC24)*H$57+H$70*('Cap Table'!$DG24+'Cap Table'!$DH24)+H$83*('Cap Table'!$CL24+'Cap Table'!$CM24)+H$96*('Cap Table'!$BQ24+'Cap Table'!$BR24)+H$109*('Cap Table'!$AV24+'Cap Table'!$AW24)+('Cap Table'!$AA24+'Cap Table'!$AB24)*H$122+('Cap Table'!$I24+'Cap Table'!$J24)*H$133</f>
        <v>#DIV/0!</v>
      </c>
      <c r="I294" s="250" t="e">
        <f ca="1">('Cap Table'!$EB24+'Cap Table'!$EC24)*I$57+I$70*('Cap Table'!$DG24+'Cap Table'!$DH24)+I$83*('Cap Table'!$CL24+'Cap Table'!$CM24)+I$96*('Cap Table'!$BQ24+'Cap Table'!$BR24)+I$109*('Cap Table'!$AV24+'Cap Table'!$AW24)+('Cap Table'!$AA24+'Cap Table'!$AB24)*I$122+('Cap Table'!$I24+'Cap Table'!$J24)*I$133</f>
        <v>#DIV/0!</v>
      </c>
      <c r="J294" s="250" t="e">
        <f ca="1">('Cap Table'!$EB24+'Cap Table'!$EC24)*J$57+J$70*('Cap Table'!$DG24+'Cap Table'!$DH24)+J$83*('Cap Table'!$CL24+'Cap Table'!$CM24)+J$96*('Cap Table'!$BQ24+'Cap Table'!$BR24)+J$109*('Cap Table'!$AV24+'Cap Table'!$AW24)+('Cap Table'!$AA24+'Cap Table'!$AB24)*J$122+('Cap Table'!$I24+'Cap Table'!$J24)*J$133</f>
        <v>#DIV/0!</v>
      </c>
      <c r="K294" s="250" t="e">
        <f ca="1">('Cap Table'!$EB24+'Cap Table'!$EC24)*K$57+K$70*('Cap Table'!$DG24+'Cap Table'!$DH24)+K$83*('Cap Table'!$CL24+'Cap Table'!$CM24)+K$96*('Cap Table'!$BQ24+'Cap Table'!$BR24)+K$109*('Cap Table'!$AV24+'Cap Table'!$AW24)+('Cap Table'!$AA24+'Cap Table'!$AB24)*K$122+('Cap Table'!$I24+'Cap Table'!$J24)*K$133</f>
        <v>#DIV/0!</v>
      </c>
      <c r="L294" s="250" t="e">
        <f ca="1">('Cap Table'!$EB24+'Cap Table'!$EC24)*L$57+L$70*('Cap Table'!$DG24+'Cap Table'!$DH24)+L$83*('Cap Table'!$CL24+'Cap Table'!$CM24)+L$96*('Cap Table'!$BQ24+'Cap Table'!$BR24)+L$109*('Cap Table'!$AV24+'Cap Table'!$AW24)+('Cap Table'!$AA24+'Cap Table'!$AB24)*L$122+('Cap Table'!$I24+'Cap Table'!$J24)*L$133</f>
        <v>#DIV/0!</v>
      </c>
    </row>
    <row r="295" spans="2:12">
      <c r="B295" s="6" t="str">
        <f>'Cap Table'!B25</f>
        <v>na</v>
      </c>
      <c r="C295" s="217" t="str">
        <f>'Cap Table'!$D$60</f>
        <v>$</v>
      </c>
      <c r="D295" s="250" t="e">
        <f ca="1">('Cap Table'!$EB25+'Cap Table'!$EC25)*D$57+D$70*('Cap Table'!$DG25+'Cap Table'!$DH25)+D$83*('Cap Table'!$CL25+'Cap Table'!$CM25)+D$96*('Cap Table'!$BQ25+'Cap Table'!$BR25)+D$109*('Cap Table'!$AV25+'Cap Table'!$AW25)+('Cap Table'!$AA25+'Cap Table'!$AB25)*D$122+('Cap Table'!$I25+'Cap Table'!$J25)*D$133</f>
        <v>#DIV/0!</v>
      </c>
      <c r="E295" s="250" t="e">
        <f ca="1">('Cap Table'!$EB25+'Cap Table'!$EC25)*E$57+E$70*('Cap Table'!$DG25+'Cap Table'!$DH25)+E$83*('Cap Table'!$CL25+'Cap Table'!$CM25)+E$96*('Cap Table'!$BQ25+'Cap Table'!$BR25)+E$109*('Cap Table'!$AV25+'Cap Table'!$AW25)+('Cap Table'!$AA25+'Cap Table'!$AB25)*E$122+('Cap Table'!$I25+'Cap Table'!$J25)*E$133</f>
        <v>#DIV/0!</v>
      </c>
      <c r="F295" s="250" t="e">
        <f ca="1">('Cap Table'!$EB25+'Cap Table'!$EC25)*F$57+F$70*('Cap Table'!$DG25+'Cap Table'!$DH25)+F$83*('Cap Table'!$CL25+'Cap Table'!$CM25)+F$96*('Cap Table'!$BQ25+'Cap Table'!$BR25)+F$109*('Cap Table'!$AV25+'Cap Table'!$AW25)+('Cap Table'!$AA25+'Cap Table'!$AB25)*F$122+('Cap Table'!$I25+'Cap Table'!$J25)*F$133</f>
        <v>#DIV/0!</v>
      </c>
      <c r="G295" s="250" t="e">
        <f ca="1">('Cap Table'!$EB25+'Cap Table'!$EC25)*G$57+G$70*('Cap Table'!$DG25+'Cap Table'!$DH25)+G$83*('Cap Table'!$CL25+'Cap Table'!$CM25)+G$96*('Cap Table'!$BQ25+'Cap Table'!$BR25)+G$109*('Cap Table'!$AV25+'Cap Table'!$AW25)+('Cap Table'!$AA25+'Cap Table'!$AB25)*G$122+('Cap Table'!$I25+'Cap Table'!$J25)*G$133</f>
        <v>#DIV/0!</v>
      </c>
      <c r="H295" s="250" t="e">
        <f ca="1">('Cap Table'!$EB25+'Cap Table'!$EC25)*H$57+H$70*('Cap Table'!$DG25+'Cap Table'!$DH25)+H$83*('Cap Table'!$CL25+'Cap Table'!$CM25)+H$96*('Cap Table'!$BQ25+'Cap Table'!$BR25)+H$109*('Cap Table'!$AV25+'Cap Table'!$AW25)+('Cap Table'!$AA25+'Cap Table'!$AB25)*H$122+('Cap Table'!$I25+'Cap Table'!$J25)*H$133</f>
        <v>#DIV/0!</v>
      </c>
      <c r="I295" s="250" t="e">
        <f ca="1">('Cap Table'!$EB25+'Cap Table'!$EC25)*I$57+I$70*('Cap Table'!$DG25+'Cap Table'!$DH25)+I$83*('Cap Table'!$CL25+'Cap Table'!$CM25)+I$96*('Cap Table'!$BQ25+'Cap Table'!$BR25)+I$109*('Cap Table'!$AV25+'Cap Table'!$AW25)+('Cap Table'!$AA25+'Cap Table'!$AB25)*I$122+('Cap Table'!$I25+'Cap Table'!$J25)*I$133</f>
        <v>#DIV/0!</v>
      </c>
      <c r="J295" s="250" t="e">
        <f ca="1">('Cap Table'!$EB25+'Cap Table'!$EC25)*J$57+J$70*('Cap Table'!$DG25+'Cap Table'!$DH25)+J$83*('Cap Table'!$CL25+'Cap Table'!$CM25)+J$96*('Cap Table'!$BQ25+'Cap Table'!$BR25)+J$109*('Cap Table'!$AV25+'Cap Table'!$AW25)+('Cap Table'!$AA25+'Cap Table'!$AB25)*J$122+('Cap Table'!$I25+'Cap Table'!$J25)*J$133</f>
        <v>#DIV/0!</v>
      </c>
      <c r="K295" s="250" t="e">
        <f ca="1">('Cap Table'!$EB25+'Cap Table'!$EC25)*K$57+K$70*('Cap Table'!$DG25+'Cap Table'!$DH25)+K$83*('Cap Table'!$CL25+'Cap Table'!$CM25)+K$96*('Cap Table'!$BQ25+'Cap Table'!$BR25)+K$109*('Cap Table'!$AV25+'Cap Table'!$AW25)+('Cap Table'!$AA25+'Cap Table'!$AB25)*K$122+('Cap Table'!$I25+'Cap Table'!$J25)*K$133</f>
        <v>#DIV/0!</v>
      </c>
      <c r="L295" s="250" t="e">
        <f ca="1">('Cap Table'!$EB25+'Cap Table'!$EC25)*L$57+L$70*('Cap Table'!$DG25+'Cap Table'!$DH25)+L$83*('Cap Table'!$CL25+'Cap Table'!$CM25)+L$96*('Cap Table'!$BQ25+'Cap Table'!$BR25)+L$109*('Cap Table'!$AV25+'Cap Table'!$AW25)+('Cap Table'!$AA25+'Cap Table'!$AB25)*L$122+('Cap Table'!$I25+'Cap Table'!$J25)*L$133</f>
        <v>#DIV/0!</v>
      </c>
    </row>
    <row r="296" spans="2:12">
      <c r="B296" s="6" t="str">
        <f>'Cap Table'!B26</f>
        <v>na</v>
      </c>
      <c r="C296" s="217" t="str">
        <f>'Cap Table'!$D$60</f>
        <v>$</v>
      </c>
      <c r="D296" s="250" t="e">
        <f ca="1">('Cap Table'!$EB26+'Cap Table'!$EC26)*D$57+D$70*('Cap Table'!$DG26+'Cap Table'!$DH26)+D$83*('Cap Table'!$CL26+'Cap Table'!$CM26)+D$96*('Cap Table'!$BQ26+'Cap Table'!$BR26)+D$109*('Cap Table'!$AV26+'Cap Table'!$AW26)+('Cap Table'!$AA26+'Cap Table'!$AB26)*D$122+('Cap Table'!$I26+'Cap Table'!$J26)*D$133</f>
        <v>#DIV/0!</v>
      </c>
      <c r="E296" s="250" t="e">
        <f ca="1">('Cap Table'!$EB26+'Cap Table'!$EC26)*E$57+E$70*('Cap Table'!$DG26+'Cap Table'!$DH26)+E$83*('Cap Table'!$CL26+'Cap Table'!$CM26)+E$96*('Cap Table'!$BQ26+'Cap Table'!$BR26)+E$109*('Cap Table'!$AV26+'Cap Table'!$AW26)+('Cap Table'!$AA26+'Cap Table'!$AB26)*E$122+('Cap Table'!$I26+'Cap Table'!$J26)*E$133</f>
        <v>#DIV/0!</v>
      </c>
      <c r="F296" s="250" t="e">
        <f ca="1">('Cap Table'!$EB26+'Cap Table'!$EC26)*F$57+F$70*('Cap Table'!$DG26+'Cap Table'!$DH26)+F$83*('Cap Table'!$CL26+'Cap Table'!$CM26)+F$96*('Cap Table'!$BQ26+'Cap Table'!$BR26)+F$109*('Cap Table'!$AV26+'Cap Table'!$AW26)+('Cap Table'!$AA26+'Cap Table'!$AB26)*F$122+('Cap Table'!$I26+'Cap Table'!$J26)*F$133</f>
        <v>#DIV/0!</v>
      </c>
      <c r="G296" s="250" t="e">
        <f ca="1">('Cap Table'!$EB26+'Cap Table'!$EC26)*G$57+G$70*('Cap Table'!$DG26+'Cap Table'!$DH26)+G$83*('Cap Table'!$CL26+'Cap Table'!$CM26)+G$96*('Cap Table'!$BQ26+'Cap Table'!$BR26)+G$109*('Cap Table'!$AV26+'Cap Table'!$AW26)+('Cap Table'!$AA26+'Cap Table'!$AB26)*G$122+('Cap Table'!$I26+'Cap Table'!$J26)*G$133</f>
        <v>#DIV/0!</v>
      </c>
      <c r="H296" s="250" t="e">
        <f ca="1">('Cap Table'!$EB26+'Cap Table'!$EC26)*H$57+H$70*('Cap Table'!$DG26+'Cap Table'!$DH26)+H$83*('Cap Table'!$CL26+'Cap Table'!$CM26)+H$96*('Cap Table'!$BQ26+'Cap Table'!$BR26)+H$109*('Cap Table'!$AV26+'Cap Table'!$AW26)+('Cap Table'!$AA26+'Cap Table'!$AB26)*H$122+('Cap Table'!$I26+'Cap Table'!$J26)*H$133</f>
        <v>#DIV/0!</v>
      </c>
      <c r="I296" s="250" t="e">
        <f ca="1">('Cap Table'!$EB26+'Cap Table'!$EC26)*I$57+I$70*('Cap Table'!$DG26+'Cap Table'!$DH26)+I$83*('Cap Table'!$CL26+'Cap Table'!$CM26)+I$96*('Cap Table'!$BQ26+'Cap Table'!$BR26)+I$109*('Cap Table'!$AV26+'Cap Table'!$AW26)+('Cap Table'!$AA26+'Cap Table'!$AB26)*I$122+('Cap Table'!$I26+'Cap Table'!$J26)*I$133</f>
        <v>#DIV/0!</v>
      </c>
      <c r="J296" s="250" t="e">
        <f ca="1">('Cap Table'!$EB26+'Cap Table'!$EC26)*J$57+J$70*('Cap Table'!$DG26+'Cap Table'!$DH26)+J$83*('Cap Table'!$CL26+'Cap Table'!$CM26)+J$96*('Cap Table'!$BQ26+'Cap Table'!$BR26)+J$109*('Cap Table'!$AV26+'Cap Table'!$AW26)+('Cap Table'!$AA26+'Cap Table'!$AB26)*J$122+('Cap Table'!$I26+'Cap Table'!$J26)*J$133</f>
        <v>#DIV/0!</v>
      </c>
      <c r="K296" s="250" t="e">
        <f ca="1">('Cap Table'!$EB26+'Cap Table'!$EC26)*K$57+K$70*('Cap Table'!$DG26+'Cap Table'!$DH26)+K$83*('Cap Table'!$CL26+'Cap Table'!$CM26)+K$96*('Cap Table'!$BQ26+'Cap Table'!$BR26)+K$109*('Cap Table'!$AV26+'Cap Table'!$AW26)+('Cap Table'!$AA26+'Cap Table'!$AB26)*K$122+('Cap Table'!$I26+'Cap Table'!$J26)*K$133</f>
        <v>#DIV/0!</v>
      </c>
      <c r="L296" s="250" t="e">
        <f ca="1">('Cap Table'!$EB26+'Cap Table'!$EC26)*L$57+L$70*('Cap Table'!$DG26+'Cap Table'!$DH26)+L$83*('Cap Table'!$CL26+'Cap Table'!$CM26)+L$96*('Cap Table'!$BQ26+'Cap Table'!$BR26)+L$109*('Cap Table'!$AV26+'Cap Table'!$AW26)+('Cap Table'!$AA26+'Cap Table'!$AB26)*L$122+('Cap Table'!$I26+'Cap Table'!$J26)*L$133</f>
        <v>#DIV/0!</v>
      </c>
    </row>
    <row r="297" spans="2:12">
      <c r="B297" s="6" t="str">
        <f>'Cap Table'!B27</f>
        <v>Options - Granted</v>
      </c>
      <c r="C297" s="217" t="str">
        <f>'Cap Table'!$D$60</f>
        <v>$</v>
      </c>
      <c r="D297" s="250" t="e">
        <f ca="1">'Cap Table'!$EF27*D$133</f>
        <v>#DIV/0!</v>
      </c>
      <c r="E297" s="250" t="e">
        <f ca="1">'Cap Table'!$EF27*E$133</f>
        <v>#DIV/0!</v>
      </c>
      <c r="F297" s="250" t="e">
        <f ca="1">'Cap Table'!$EF27*F$133</f>
        <v>#DIV/0!</v>
      </c>
      <c r="G297" s="250" t="e">
        <f ca="1">'Cap Table'!$EF27*G$133</f>
        <v>#DIV/0!</v>
      </c>
      <c r="H297" s="250" t="e">
        <f ca="1">'Cap Table'!$EF27*H$133</f>
        <v>#DIV/0!</v>
      </c>
      <c r="I297" s="250" t="e">
        <f ca="1">'Cap Table'!$EF27*I$133</f>
        <v>#DIV/0!</v>
      </c>
      <c r="J297" s="250" t="e">
        <f ca="1">'Cap Table'!$EF27*J$133</f>
        <v>#DIV/0!</v>
      </c>
      <c r="K297" s="250" t="e">
        <f ca="1">'Cap Table'!$EF27*K$133</f>
        <v>#DIV/0!</v>
      </c>
      <c r="L297" s="250" t="e">
        <f ca="1">'Cap Table'!$EF27*L$133</f>
        <v>#DIV/0!</v>
      </c>
    </row>
    <row r="298" spans="2:12">
      <c r="B298" s="6" t="str">
        <f>'Cap Table'!B28</f>
        <v>Option Pool - Available, Ungranted</v>
      </c>
      <c r="C298" s="217" t="str">
        <f>'Cap Table'!$D$60</f>
        <v>$</v>
      </c>
      <c r="D298" s="250">
        <v>0</v>
      </c>
      <c r="E298" s="250">
        <v>0</v>
      </c>
      <c r="F298" s="250">
        <v>0</v>
      </c>
      <c r="G298" s="250">
        <v>0</v>
      </c>
      <c r="H298" s="250">
        <v>0</v>
      </c>
      <c r="I298" s="250">
        <v>0</v>
      </c>
      <c r="J298" s="250">
        <v>0</v>
      </c>
      <c r="K298" s="250">
        <v>0</v>
      </c>
      <c r="L298" s="250">
        <v>0</v>
      </c>
    </row>
    <row r="299" spans="2:12">
      <c r="B299" s="6" t="s">
        <v>20</v>
      </c>
      <c r="C299" s="217" t="str">
        <f>'Cap Table'!$D$60</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formula1>"Non Participating Preferred,Full Participating Preferred,Participating Preferred with a Cap"</formula1>
    </dataValidation>
    <dataValidation type="list" allowBlank="1" showInputMessage="1" showErrorMessage="1" sqref="D11">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2"/>
  <sheetViews>
    <sheetView showGridLines="0" workbookViewId="0">
      <pane xSplit="2" topLeftCell="I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4">
      <c r="B6" s="28" t="s">
        <v>55</v>
      </c>
      <c r="C6" s="27" t="s">
        <v>178</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G23/G26</f>
        <v>0.2</v>
      </c>
      <c r="H28" s="10"/>
    </row>
    <row r="29" spans="2:12">
      <c r="H29" s="10"/>
    </row>
    <row r="30" spans="2:12">
      <c r="F30" s="2" t="s">
        <v>115</v>
      </c>
      <c r="G30" s="29">
        <v>0.2</v>
      </c>
      <c r="H30" s="10" t="s">
        <v>78</v>
      </c>
    </row>
    <row r="31" spans="2:12">
      <c r="F31" s="2" t="s">
        <v>114</v>
      </c>
      <c r="G31" s="4">
        <f>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 Ownership</vt:lpstr>
      <vt:lpstr>3 - Conversion, $ Invested</vt:lpstr>
      <vt:lpstr>4 - Option Pool + Conversion</vt:lpstr>
      <vt:lpstr>5 - Exit Waterfall Distribution</vt:lpstr>
      <vt:lpstr>6 - VC Valuation</vt:lpstr>
      <vt:lpstr>Changelog</vt:lpstr>
    </vt:vector>
  </TitlesOfParts>
  <Manager/>
  <Company>Unstructured Ventures, LLC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cp:lastModifiedBy>
  <cp:lastPrinted>2018-05-05T18:47:23Z</cp:lastPrinted>
  <dcterms:created xsi:type="dcterms:W3CDTF">2015-08-20T17:23:19Z</dcterms:created>
  <dcterms:modified xsi:type="dcterms:W3CDTF">2019-03-14T14:45:15Z</dcterms:modified>
  <cp:category/>
</cp:coreProperties>
</file>