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codeName="ThisWorkbook" autoCompressPictures="0"/>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346EA3CA-7887-F548-A9F3-C720E0917315}" xr6:coauthVersionLast="45" xr6:coauthVersionMax="45" xr10:uidLastSave="{00000000-0000-0000-0000-000000000000}"/>
  <bookViews>
    <workbookView xWindow="0" yWindow="460" windowWidth="28800" windowHeight="17540" tabRatio="654" xr2:uid="{00000000-000D-0000-FFFF-FFFF00000000}"/>
  </bookViews>
  <sheets>
    <sheet name="README" sheetId="41" r:id="rId1"/>
    <sheet name="Disclaimer" sheetId="31" r:id="rId2"/>
    <sheet name="License" sheetId="42" r:id="rId3"/>
    <sheet name="Scenarios" sheetId="45" r:id="rId4"/>
    <sheet name="1 - Base Cap Table" sheetId="27" r:id="rId5"/>
    <sheet name="2 - Equity Issuance" sheetId="10" r:id="rId6"/>
    <sheet name="2 - Equity Issuance, 2nd Round" sheetId="11" r:id="rId7"/>
    <sheet name="3 - Premoney Option Pool" sheetId="14" r:id="rId8"/>
    <sheet name="3 - Postmoney Option Pool" sheetId="15" r:id="rId9"/>
    <sheet name="3 - Option Pool, 2nd Round" sheetId="21" r:id="rId10"/>
    <sheet name="4 - Convertible Issuance" sheetId="12" r:id="rId11"/>
    <sheet name="4 - Conversion, Premoney" sheetId="13" r:id="rId12"/>
    <sheet name="4 - Conversion, Postmoney" sheetId="33" r:id="rId13"/>
    <sheet name="4 - Conversion, % Ownership" sheetId="16" r:id="rId14"/>
    <sheet name="4 - Conversion, $ Invested" sheetId="17" r:id="rId15"/>
    <sheet name="5 - Exit Waterfall" sheetId="44" r:id="rId16"/>
    <sheet name="6 - Venture Valuation" sheetId="24" r:id="rId17"/>
    <sheet name="Changelog" sheetId="5" r:id="rId18"/>
  </sheets>
  <externalReferences>
    <externalReference r:id="rId19"/>
  </externalReferences>
  <definedNames>
    <definedName name="A_1" localSheetId="3">SUM([1]!CurrentAssets[[ ]])</definedName>
    <definedName name="A_1">SUM([1]!CurrentAssets[[ ]])</definedName>
    <definedName name="A_2" localSheetId="3">SUM([1]!CurrentAssets[[  ]])</definedName>
    <definedName name="A_2">SUM([1]!CurrentAssets[[  ]])</definedName>
    <definedName name="B" localSheetId="3">SUM([1]!CurrentLiabilities[[ ]])</definedName>
    <definedName name="B">SUM([1]!CurrentLiabilities[[ ]])</definedName>
    <definedName name="C_">INDEX([1]!CurrentAssets[[ ]],MATCH("*[C]*",[1]!CurrentAssets[Current Assets],0))</definedName>
    <definedName name="D">INDEX([1]!CurrentAssets[[ ]],MATCH("*[D]*",[1]!CurrentAssets[Current Assets],0))</definedName>
    <definedName name="E">[1]balance!$C$47</definedName>
    <definedName name="F">[1]balance!$G$15</definedName>
    <definedName name="G">INDEX([1]!OtherLiabilities[[ ]],MATCH("*[G]*",[1]!OtherLiabilities[Other Liabilities],0))</definedName>
    <definedName name="H">INDEX([1]!CurrentLiabilities[[ ]],MATCH("*[H]*",[1]!CurrentLiabilities[Current Liabilities],0))</definedName>
    <definedName name="_xlnm.Print_Area" localSheetId="0">README!$B$2:$B$21</definedName>
    <definedName name="solver_eng" localSheetId="6" hidden="1">1</definedName>
    <definedName name="solver_lin" localSheetId="6" hidden="1">2</definedName>
    <definedName name="solver_neg" localSheetId="6" hidden="1">1</definedName>
    <definedName name="solver_num" localSheetId="6" hidden="1">0</definedName>
    <definedName name="solver_opt" localSheetId="6" hidden="1">'2 - Equity Issuance, 2nd Round'!$M$14</definedName>
    <definedName name="solver_typ" localSheetId="6" hidden="1">1</definedName>
    <definedName name="solver_val" localSheetId="6" hidden="1">0</definedName>
    <definedName name="solver_ver" localSheetId="6"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83" i="44" l="1"/>
  <c r="O84" i="44"/>
  <c r="O85" i="44"/>
  <c r="O86" i="44"/>
  <c r="O87" i="44"/>
  <c r="O88" i="44"/>
  <c r="O89" i="44"/>
  <c r="O90" i="44"/>
  <c r="O92" i="44"/>
  <c r="O95" i="44"/>
  <c r="O96" i="44"/>
  <c r="O97" i="44"/>
  <c r="O98" i="44"/>
  <c r="O99" i="44"/>
  <c r="O100" i="44"/>
  <c r="O101" i="44"/>
  <c r="O102" i="44"/>
  <c r="O103" i="44"/>
  <c r="B93" i="44" l="1"/>
  <c r="O54" i="44" l="1"/>
  <c r="O58" i="44"/>
  <c r="O69" i="44"/>
  <c r="O71" i="44"/>
  <c r="O72" i="44"/>
  <c r="O73" i="44"/>
  <c r="O74" i="44"/>
  <c r="O75" i="44"/>
  <c r="O76" i="44"/>
  <c r="O42" i="44" l="1"/>
  <c r="O44" i="44"/>
  <c r="O48" i="44"/>
  <c r="O49" i="44"/>
  <c r="O50" i="44"/>
  <c r="O77" i="44"/>
  <c r="O78" i="44"/>
  <c r="O80" i="44"/>
  <c r="O81" i="44"/>
  <c r="O82" i="44"/>
  <c r="O112" i="44"/>
  <c r="O113" i="44"/>
  <c r="O134" i="44"/>
  <c r="O135" i="44"/>
  <c r="O136" i="44"/>
  <c r="O137" i="44"/>
  <c r="O138" i="44"/>
  <c r="O139" i="44"/>
  <c r="O140" i="44"/>
  <c r="O141" i="44"/>
  <c r="O142" i="44"/>
  <c r="O143" i="44"/>
  <c r="O144" i="44"/>
  <c r="O145" i="44"/>
  <c r="O146" i="44"/>
  <c r="O147" i="44"/>
  <c r="O148" i="44"/>
  <c r="O149" i="44"/>
  <c r="O150" i="44"/>
  <c r="O151" i="44"/>
  <c r="O152" i="44"/>
  <c r="O153" i="44"/>
  <c r="O154" i="44"/>
  <c r="O155" i="44"/>
  <c r="O156" i="44"/>
  <c r="O157" i="44"/>
  <c r="O158" i="44"/>
  <c r="O159" i="44"/>
  <c r="O160" i="44"/>
  <c r="O161" i="44"/>
  <c r="O162" i="44"/>
  <c r="O163" i="44"/>
  <c r="O164" i="44"/>
  <c r="O165" i="44"/>
  <c r="O166" i="44"/>
  <c r="O167" i="44"/>
  <c r="O168" i="44"/>
  <c r="O169" i="44"/>
  <c r="O170" i="44"/>
  <c r="O171" i="44"/>
  <c r="O172" i="44"/>
  <c r="O173" i="44"/>
  <c r="O174" i="44"/>
  <c r="O175" i="44"/>
  <c r="O176" i="44"/>
  <c r="O177" i="44"/>
  <c r="O178" i="44"/>
  <c r="O179" i="44"/>
  <c r="O180" i="44"/>
  <c r="O181" i="44"/>
  <c r="O182" i="44"/>
  <c r="O183" i="44"/>
  <c r="O184" i="44"/>
  <c r="O185" i="44"/>
  <c r="O186" i="44"/>
  <c r="O187" i="44"/>
  <c r="O188" i="44"/>
  <c r="O189" i="44"/>
  <c r="O190" i="44"/>
  <c r="O191" i="44"/>
  <c r="O192" i="44"/>
  <c r="O193" i="44"/>
  <c r="O194" i="44"/>
  <c r="O195" i="44"/>
  <c r="O196" i="44"/>
  <c r="O197" i="44"/>
  <c r="O198" i="44"/>
  <c r="O199" i="44"/>
  <c r="O200" i="44"/>
  <c r="O201" i="44"/>
  <c r="O202" i="44"/>
  <c r="O203" i="44"/>
  <c r="O204" i="44"/>
  <c r="O205" i="44"/>
  <c r="O206" i="44"/>
  <c r="O207" i="44"/>
  <c r="O208" i="44"/>
  <c r="O209" i="44"/>
  <c r="O210" i="44"/>
  <c r="O211" i="44"/>
  <c r="O214" i="44"/>
  <c r="O215" i="44"/>
  <c r="O216" i="44"/>
  <c r="O217" i="44"/>
  <c r="O218" i="44"/>
  <c r="O219" i="44"/>
  <c r="O220" i="44"/>
  <c r="O223" i="44"/>
  <c r="O224" i="44"/>
  <c r="O225" i="44"/>
  <c r="O226" i="44"/>
  <c r="O227" i="44"/>
  <c r="O228" i="44"/>
  <c r="O229" i="44"/>
  <c r="O230" i="44"/>
  <c r="O231" i="44"/>
  <c r="O233" i="44"/>
  <c r="O234" i="44"/>
  <c r="O235" i="44"/>
  <c r="O236" i="44"/>
  <c r="O237" i="44"/>
  <c r="O238" i="44"/>
  <c r="O241" i="44"/>
  <c r="O242" i="44"/>
  <c r="O243" i="44"/>
  <c r="O244" i="44"/>
  <c r="O245" i="44"/>
  <c r="O246" i="44"/>
  <c r="O247" i="44"/>
  <c r="O248" i="44"/>
  <c r="O249" i="44"/>
  <c r="O250" i="44"/>
  <c r="O251" i="44"/>
  <c r="O252" i="44"/>
  <c r="O253" i="44"/>
  <c r="O336" i="44" l="1"/>
  <c r="O335" i="44"/>
  <c r="O334" i="44"/>
  <c r="O333" i="44"/>
  <c r="O331" i="44"/>
  <c r="O330" i="44"/>
  <c r="O329" i="44"/>
  <c r="O328" i="44"/>
  <c r="O325" i="44"/>
  <c r="O324" i="44"/>
  <c r="O323" i="44"/>
  <c r="O322" i="44"/>
  <c r="O321" i="44"/>
  <c r="O320" i="44"/>
  <c r="O319" i="44"/>
  <c r="O318" i="44"/>
  <c r="O317" i="44"/>
  <c r="O316" i="44"/>
  <c r="O315" i="44"/>
  <c r="O314" i="44"/>
  <c r="O313" i="44"/>
  <c r="O312" i="44"/>
  <c r="O311" i="44"/>
  <c r="O310" i="44"/>
  <c r="O309" i="44"/>
  <c r="O308" i="44"/>
  <c r="O307" i="44"/>
  <c r="O306" i="44"/>
  <c r="O305" i="44"/>
  <c r="O304" i="44"/>
  <c r="O303" i="44"/>
  <c r="O302" i="44"/>
  <c r="O301" i="44"/>
  <c r="O300" i="44"/>
  <c r="O299" i="44"/>
  <c r="O298" i="44"/>
  <c r="O297" i="44"/>
  <c r="O296" i="44"/>
  <c r="O294" i="44"/>
  <c r="O293" i="44"/>
  <c r="O292" i="44"/>
  <c r="O291" i="44"/>
  <c r="O290" i="44"/>
  <c r="O289" i="44"/>
  <c r="O288" i="44"/>
  <c r="O287" i="44"/>
  <c r="O286" i="44"/>
  <c r="O285" i="44"/>
  <c r="O284" i="44"/>
  <c r="O283" i="44"/>
  <c r="O282" i="44"/>
  <c r="O281" i="44"/>
  <c r="O280" i="44"/>
  <c r="O279" i="44"/>
  <c r="O278" i="44"/>
  <c r="O277" i="44"/>
  <c r="O276" i="44"/>
  <c r="O275" i="44"/>
  <c r="O274" i="44"/>
  <c r="O273" i="44"/>
  <c r="O272" i="44"/>
  <c r="O271" i="44"/>
  <c r="O270" i="44"/>
  <c r="O269" i="44"/>
  <c r="O268" i="44"/>
  <c r="O267" i="44"/>
  <c r="O265" i="44"/>
  <c r="O264" i="44"/>
  <c r="O263" i="44"/>
  <c r="O262" i="44"/>
  <c r="O261" i="44"/>
  <c r="B261" i="44"/>
  <c r="O260" i="44"/>
  <c r="B260" i="44"/>
  <c r="O259" i="44"/>
  <c r="B259" i="44"/>
  <c r="O258" i="44"/>
  <c r="B258" i="44"/>
  <c r="O257" i="44"/>
  <c r="B257" i="44"/>
  <c r="O256" i="44"/>
  <c r="B256" i="44"/>
  <c r="O255" i="44"/>
  <c r="B255" i="44"/>
  <c r="B254" i="44"/>
  <c r="F250" i="44"/>
  <c r="F249" i="44"/>
  <c r="F248" i="44"/>
  <c r="B248" i="44"/>
  <c r="F247" i="44"/>
  <c r="B247" i="44"/>
  <c r="F246" i="44"/>
  <c r="B246" i="44"/>
  <c r="F245" i="44"/>
  <c r="B245" i="44"/>
  <c r="F244" i="44"/>
  <c r="B244" i="44"/>
  <c r="F243" i="44"/>
  <c r="B243" i="44"/>
  <c r="F242" i="44"/>
  <c r="B242" i="44"/>
  <c r="F241" i="44"/>
  <c r="B241" i="44"/>
  <c r="F102" i="44"/>
  <c r="F101" i="44"/>
  <c r="B101" i="44"/>
  <c r="F100" i="44"/>
  <c r="B100" i="44"/>
  <c r="F99" i="44"/>
  <c r="B99" i="44"/>
  <c r="F98" i="44"/>
  <c r="B98" i="44"/>
  <c r="F97" i="44"/>
  <c r="B97" i="44"/>
  <c r="F96" i="44"/>
  <c r="B96" i="44"/>
  <c r="F95" i="44"/>
  <c r="B95" i="44"/>
  <c r="F94" i="44"/>
  <c r="B94" i="44"/>
  <c r="F237" i="44"/>
  <c r="F236" i="44"/>
  <c r="F235" i="44"/>
  <c r="F234" i="44"/>
  <c r="F233" i="44"/>
  <c r="F232" i="44"/>
  <c r="F229" i="44"/>
  <c r="F228" i="44"/>
  <c r="F227" i="44"/>
  <c r="F226" i="44"/>
  <c r="F225" i="44"/>
  <c r="F222" i="44"/>
  <c r="F221" i="44"/>
  <c r="F220" i="44"/>
  <c r="F219" i="44"/>
  <c r="F218" i="44"/>
  <c r="F217" i="44"/>
  <c r="F216" i="44"/>
  <c r="F213" i="44"/>
  <c r="F212" i="44"/>
  <c r="F210" i="44"/>
  <c r="F209" i="44"/>
  <c r="F208" i="44"/>
  <c r="F202" i="44"/>
  <c r="F199" i="44"/>
  <c r="F198" i="44"/>
  <c r="F197" i="44"/>
  <c r="F196" i="44"/>
  <c r="F193" i="44"/>
  <c r="B193" i="44"/>
  <c r="F192" i="44"/>
  <c r="B192" i="44"/>
  <c r="F191" i="44"/>
  <c r="B191" i="44"/>
  <c r="F188" i="44"/>
  <c r="F187" i="44"/>
  <c r="B187" i="44"/>
  <c r="F186" i="44"/>
  <c r="B186" i="44"/>
  <c r="F185" i="44"/>
  <c r="B185" i="44"/>
  <c r="F184" i="44"/>
  <c r="F183" i="44"/>
  <c r="F180" i="44"/>
  <c r="F177" i="44"/>
  <c r="F176" i="44"/>
  <c r="F175" i="44"/>
  <c r="F174" i="44"/>
  <c r="F171" i="44"/>
  <c r="B171" i="44"/>
  <c r="F170" i="44"/>
  <c r="B170" i="44"/>
  <c r="F169" i="44"/>
  <c r="B169" i="44"/>
  <c r="F166" i="44"/>
  <c r="F165" i="44"/>
  <c r="B165" i="44"/>
  <c r="F164" i="44"/>
  <c r="B164" i="44"/>
  <c r="F163" i="44"/>
  <c r="B163" i="44"/>
  <c r="F162" i="44"/>
  <c r="F161" i="44"/>
  <c r="F158" i="44"/>
  <c r="F155" i="44"/>
  <c r="F154" i="44"/>
  <c r="F153" i="44"/>
  <c r="F152" i="44"/>
  <c r="F149" i="44"/>
  <c r="B149" i="44"/>
  <c r="F148" i="44"/>
  <c r="B148" i="44"/>
  <c r="F147" i="44"/>
  <c r="B147" i="44"/>
  <c r="F144" i="44"/>
  <c r="F143" i="44"/>
  <c r="B143" i="44"/>
  <c r="F142" i="44"/>
  <c r="B142" i="44"/>
  <c r="F141" i="44"/>
  <c r="B141" i="44"/>
  <c r="F140" i="44"/>
  <c r="F139" i="44"/>
  <c r="F136" i="44"/>
  <c r="F133" i="44"/>
  <c r="F132" i="44"/>
  <c r="F131" i="44"/>
  <c r="F130" i="44"/>
  <c r="F127" i="44"/>
  <c r="B127" i="44"/>
  <c r="F126" i="44"/>
  <c r="B126" i="44"/>
  <c r="F125" i="44"/>
  <c r="B125" i="44"/>
  <c r="F122" i="44"/>
  <c r="F121" i="44"/>
  <c r="B121" i="44"/>
  <c r="F120" i="44"/>
  <c r="B120" i="44"/>
  <c r="F119" i="44"/>
  <c r="B119" i="44"/>
  <c r="F118" i="44"/>
  <c r="F117" i="44"/>
  <c r="F114" i="44"/>
  <c r="F111" i="44"/>
  <c r="F106" i="44"/>
  <c r="H105" i="44"/>
  <c r="I105" i="44" s="1"/>
  <c r="J105" i="44" s="1"/>
  <c r="K105" i="44" s="1"/>
  <c r="L105" i="44" s="1"/>
  <c r="M105" i="44" s="1"/>
  <c r="F105" i="44"/>
  <c r="F104" i="44"/>
  <c r="J91" i="44"/>
  <c r="I91" i="44" s="1"/>
  <c r="F91" i="44"/>
  <c r="B66" i="44"/>
  <c r="B65" i="44"/>
  <c r="F61" i="44"/>
  <c r="F60" i="44"/>
  <c r="L56" i="44"/>
  <c r="B76" i="44" s="1"/>
  <c r="K56" i="44"/>
  <c r="B84" i="44" s="1"/>
  <c r="J56" i="44"/>
  <c r="I56" i="44"/>
  <c r="I57" i="44" s="1"/>
  <c r="H56" i="44"/>
  <c r="B72" i="44" s="1"/>
  <c r="G56" i="44"/>
  <c r="B80" i="44" s="1"/>
  <c r="J48" i="44"/>
  <c r="I48" i="44"/>
  <c r="H48" i="44"/>
  <c r="G48" i="44"/>
  <c r="F48" i="44"/>
  <c r="AC45" i="44"/>
  <c r="F45" i="44"/>
  <c r="L52" i="44"/>
  <c r="K52" i="44"/>
  <c r="J52" i="44"/>
  <c r="I52" i="44"/>
  <c r="H52" i="44"/>
  <c r="G52" i="44"/>
  <c r="J41" i="44"/>
  <c r="I41" i="44"/>
  <c r="H41" i="44"/>
  <c r="G41" i="44"/>
  <c r="F40" i="44"/>
  <c r="L39" i="44"/>
  <c r="K39" i="44"/>
  <c r="F39" i="44"/>
  <c r="L38" i="44"/>
  <c r="K38" i="44"/>
  <c r="J38" i="44"/>
  <c r="I38" i="44"/>
  <c r="H38" i="44"/>
  <c r="G38" i="44"/>
  <c r="F38" i="44"/>
  <c r="O37" i="44"/>
  <c r="O36" i="44"/>
  <c r="M36" i="44"/>
  <c r="F36" i="44"/>
  <c r="B36" i="44"/>
  <c r="O35" i="44"/>
  <c r="M35" i="44"/>
  <c r="F35" i="44"/>
  <c r="B35" i="44"/>
  <c r="O34" i="44"/>
  <c r="M34" i="44"/>
  <c r="F34" i="44"/>
  <c r="B34" i="44"/>
  <c r="O33" i="44"/>
  <c r="M33" i="44"/>
  <c r="F33" i="44"/>
  <c r="B33" i="44"/>
  <c r="O32" i="44"/>
  <c r="M32" i="44"/>
  <c r="F32" i="44"/>
  <c r="B32" i="44"/>
  <c r="O31" i="44"/>
  <c r="M31" i="44"/>
  <c r="F31" i="44"/>
  <c r="B31" i="44"/>
  <c r="O30" i="44"/>
  <c r="M30" i="44"/>
  <c r="F30" i="44"/>
  <c r="B30" i="44"/>
  <c r="O29" i="44"/>
  <c r="M29" i="44"/>
  <c r="F29" i="44"/>
  <c r="B29" i="44"/>
  <c r="M28" i="44"/>
  <c r="F28" i="44"/>
  <c r="B28" i="44"/>
  <c r="O26" i="44"/>
  <c r="O25" i="44"/>
  <c r="O24" i="44"/>
  <c r="L24" i="44"/>
  <c r="K24" i="44"/>
  <c r="J24" i="44"/>
  <c r="J39" i="44" s="1"/>
  <c r="J45" i="44" s="1"/>
  <c r="I24" i="44"/>
  <c r="I39" i="44" s="1"/>
  <c r="I45" i="44" s="1"/>
  <c r="H24" i="44"/>
  <c r="H39" i="44" s="1"/>
  <c r="H45" i="44" s="1"/>
  <c r="G24" i="44"/>
  <c r="O23" i="44"/>
  <c r="M22" i="44"/>
  <c r="M21" i="44"/>
  <c r="O20" i="44"/>
  <c r="M20" i="44"/>
  <c r="O19" i="44"/>
  <c r="M19" i="44"/>
  <c r="O18" i="44"/>
  <c r="M18" i="44"/>
  <c r="O17" i="44"/>
  <c r="M17" i="44"/>
  <c r="O16" i="44"/>
  <c r="M16" i="44"/>
  <c r="O15" i="44"/>
  <c r="M15" i="44"/>
  <c r="M14" i="44"/>
  <c r="O13" i="44"/>
  <c r="O12" i="44"/>
  <c r="O10" i="44"/>
  <c r="O6" i="44"/>
  <c r="G6" i="44"/>
  <c r="B74" i="44" l="1"/>
  <c r="J57" i="44"/>
  <c r="J65" i="44" s="1" a="1"/>
  <c r="J65" i="44" s="1"/>
  <c r="M38" i="44"/>
  <c r="M48" i="44"/>
  <c r="M24" i="44"/>
  <c r="K57" i="44"/>
  <c r="L57" i="44" s="1"/>
  <c r="L65" i="44" s="1" a="1"/>
  <c r="L65" i="44" s="1"/>
  <c r="G57" i="44"/>
  <c r="G62" i="44" s="1" a="1"/>
  <c r="G62" i="44" s="1"/>
  <c r="H57" i="44"/>
  <c r="H65" i="44" s="1" a="1"/>
  <c r="H65" i="44" s="1"/>
  <c r="G39" i="44"/>
  <c r="O7" i="44"/>
  <c r="I65" i="44" a="1"/>
  <c r="I65" i="44" s="1"/>
  <c r="I62" i="44" a="1"/>
  <c r="I62" i="44" s="1"/>
  <c r="K65" i="44" a="1"/>
  <c r="K65" i="44" s="1"/>
  <c r="G68" i="44"/>
  <c r="B113" i="44" s="1"/>
  <c r="K68" i="44"/>
  <c r="B201" i="44" s="1"/>
  <c r="B81" i="44"/>
  <c r="B83" i="44"/>
  <c r="B85" i="44"/>
  <c r="H91" i="44"/>
  <c r="H68" i="44"/>
  <c r="B135" i="44" s="1"/>
  <c r="L68" i="44"/>
  <c r="B71" i="44"/>
  <c r="B73" i="44"/>
  <c r="B75" i="44"/>
  <c r="H62" i="44" a="1"/>
  <c r="H62" i="44" s="1"/>
  <c r="J62" i="44" a="1"/>
  <c r="J62" i="44" s="1"/>
  <c r="I68" i="44"/>
  <c r="B157" i="44" s="1"/>
  <c r="B82" i="44"/>
  <c r="K91" i="44"/>
  <c r="J68" i="44"/>
  <c r="B179" i="44" s="1"/>
  <c r="K62" i="44" l="1" a="1"/>
  <c r="K62" i="44" s="1"/>
  <c r="G65" i="44" a="1"/>
  <c r="G65" i="44" s="1"/>
  <c r="L62" i="44" a="1"/>
  <c r="L62" i="44" s="1"/>
  <c r="M107" i="44"/>
  <c r="I107" i="44"/>
  <c r="L107" i="44"/>
  <c r="H107" i="44"/>
  <c r="K107" i="44"/>
  <c r="G107" i="44"/>
  <c r="J107" i="44"/>
  <c r="H25" i="44"/>
  <c r="G25" i="44"/>
  <c r="H59" i="44" a="1"/>
  <c r="H59" i="44" s="1"/>
  <c r="H66" i="44" s="1" a="1"/>
  <c r="H66" i="44" s="1"/>
  <c r="M25" i="44"/>
  <c r="G59" i="44" a="1"/>
  <c r="G59" i="44" s="1"/>
  <c r="G74" i="44" s="1" a="1"/>
  <c r="G74" i="44" s="1"/>
  <c r="J59" i="44" a="1"/>
  <c r="J59" i="44" s="1"/>
  <c r="J64" i="44" a="1"/>
  <c r="J64" i="44" s="1"/>
  <c r="I59" i="44" a="1"/>
  <c r="I59" i="44" s="1"/>
  <c r="L59" i="44" a="1"/>
  <c r="L59" i="44" s="1"/>
  <c r="L75" i="44" s="1" a="1"/>
  <c r="L75" i="44" s="1"/>
  <c r="I25" i="44"/>
  <c r="I63" i="44" a="1"/>
  <c r="I63" i="44" s="1"/>
  <c r="L25" i="44"/>
  <c r="K59" i="44" a="1"/>
  <c r="K59" i="44" s="1"/>
  <c r="K63" i="44" s="1" a="1"/>
  <c r="K63" i="44" s="1"/>
  <c r="J25" i="44"/>
  <c r="K25" i="44"/>
  <c r="B219" i="44"/>
  <c r="B228" i="44" s="1"/>
  <c r="B235" i="44"/>
  <c r="B198" i="44"/>
  <c r="B182" i="44"/>
  <c r="B234" i="44"/>
  <c r="B218" i="44"/>
  <c r="B227" i="44" s="1"/>
  <c r="B176" i="44"/>
  <c r="B160" i="44"/>
  <c r="K145" i="44"/>
  <c r="K146" i="44" s="1"/>
  <c r="G145" i="44"/>
  <c r="G146" i="44" s="1"/>
  <c r="J140" i="44"/>
  <c r="J145" i="44"/>
  <c r="J146" i="44" s="1"/>
  <c r="M140" i="44"/>
  <c r="I140" i="44"/>
  <c r="M145" i="44"/>
  <c r="M146" i="44" s="1"/>
  <c r="I145" i="44"/>
  <c r="I146" i="44" s="1"/>
  <c r="L140" i="44"/>
  <c r="H140" i="44"/>
  <c r="L145" i="44"/>
  <c r="L146" i="44" s="1"/>
  <c r="H145" i="44"/>
  <c r="H146" i="44" s="1"/>
  <c r="K140" i="44"/>
  <c r="G140" i="44"/>
  <c r="L123" i="44"/>
  <c r="L124" i="44" s="1"/>
  <c r="H123" i="44"/>
  <c r="H124" i="44" s="1"/>
  <c r="K118" i="44"/>
  <c r="G118" i="44"/>
  <c r="K123" i="44"/>
  <c r="K124" i="44" s="1"/>
  <c r="G123" i="44"/>
  <c r="G124" i="44" s="1"/>
  <c r="J118" i="44"/>
  <c r="J123" i="44"/>
  <c r="J124" i="44" s="1"/>
  <c r="M118" i="44"/>
  <c r="I118" i="44"/>
  <c r="M123" i="44"/>
  <c r="M124" i="44" s="1"/>
  <c r="I123" i="44"/>
  <c r="I124" i="44" s="1"/>
  <c r="L118" i="44"/>
  <c r="H118" i="44"/>
  <c r="I75" i="44" a="1"/>
  <c r="I75" i="44" s="1"/>
  <c r="G75" i="44" a="1"/>
  <c r="G75" i="44" s="1"/>
  <c r="J75" i="44" a="1"/>
  <c r="J75" i="44" s="1"/>
  <c r="H75" i="44" a="1"/>
  <c r="H75" i="44" s="1"/>
  <c r="B217" i="44"/>
  <c r="B226" i="44" s="1"/>
  <c r="B233" i="44"/>
  <c r="B154" i="44"/>
  <c r="B138" i="44"/>
  <c r="G91" i="44"/>
  <c r="B236" i="44"/>
  <c r="B220" i="44"/>
  <c r="B229" i="44" s="1"/>
  <c r="B209" i="44"/>
  <c r="O8" i="44"/>
  <c r="K60" i="44" a="1"/>
  <c r="K60" i="44" s="1"/>
  <c r="I60" i="44" a="1"/>
  <c r="I60" i="44" s="1"/>
  <c r="G60" i="44" a="1"/>
  <c r="G60" i="44" s="1"/>
  <c r="G45" i="44"/>
  <c r="L60" i="44" a="1"/>
  <c r="L60" i="44" s="1"/>
  <c r="J60" i="44" a="1"/>
  <c r="J60" i="44" s="1"/>
  <c r="H60" i="44" a="1"/>
  <c r="H60" i="44" s="1"/>
  <c r="M39" i="44"/>
  <c r="L138" i="44"/>
  <c r="H138" i="44"/>
  <c r="K138" i="44"/>
  <c r="G138" i="44"/>
  <c r="J138" i="44"/>
  <c r="M138" i="44"/>
  <c r="I138" i="44"/>
  <c r="L91" i="44"/>
  <c r="I73" i="44" a="1"/>
  <c r="I73" i="44" s="1"/>
  <c r="G73" i="44" a="1"/>
  <c r="G73" i="44" s="1"/>
  <c r="L73" i="44" a="1"/>
  <c r="L73" i="44" s="1"/>
  <c r="J73" i="44" a="1"/>
  <c r="J73" i="44" s="1"/>
  <c r="H73" i="44" a="1"/>
  <c r="H73" i="44" s="1"/>
  <c r="B232" i="44"/>
  <c r="B216" i="44"/>
  <c r="B225" i="44" s="1"/>
  <c r="B132" i="44"/>
  <c r="B116" i="44"/>
  <c r="L167" i="44"/>
  <c r="L168" i="44" s="1"/>
  <c r="H167" i="44"/>
  <c r="H168" i="44" s="1"/>
  <c r="K162" i="44"/>
  <c r="G162" i="44"/>
  <c r="K167" i="44"/>
  <c r="K168" i="44" s="1"/>
  <c r="G167" i="44"/>
  <c r="G168" i="44" s="1"/>
  <c r="J162" i="44"/>
  <c r="J167" i="44"/>
  <c r="J168" i="44" s="1"/>
  <c r="M162" i="44"/>
  <c r="I162" i="44"/>
  <c r="M167" i="44"/>
  <c r="M168" i="44" s="1"/>
  <c r="I167" i="44"/>
  <c r="I168" i="44" s="1"/>
  <c r="L162" i="44"/>
  <c r="H162" i="44"/>
  <c r="L116" i="44"/>
  <c r="J116" i="44"/>
  <c r="L182" i="44"/>
  <c r="H182" i="44"/>
  <c r="K182" i="44"/>
  <c r="G182" i="44"/>
  <c r="J182" i="44"/>
  <c r="M182" i="44"/>
  <c r="I182" i="44"/>
  <c r="J184" i="44"/>
  <c r="M184" i="44"/>
  <c r="I184" i="44"/>
  <c r="L184" i="44"/>
  <c r="H184" i="44"/>
  <c r="K184" i="44"/>
  <c r="G184" i="44"/>
  <c r="I71" i="44" a="1"/>
  <c r="I71" i="44" s="1"/>
  <c r="L71" i="44" a="1"/>
  <c r="L71" i="44" s="1"/>
  <c r="J71" i="44" a="1"/>
  <c r="J71" i="44" s="1"/>
  <c r="H71" i="44" a="1"/>
  <c r="H71" i="44" s="1"/>
  <c r="K160" i="44"/>
  <c r="G160" i="44"/>
  <c r="J160" i="44"/>
  <c r="M160" i="44"/>
  <c r="I160" i="44"/>
  <c r="L160" i="44"/>
  <c r="H160" i="44"/>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116" i="44" l="1"/>
  <c r="K116" i="44"/>
  <c r="M116" i="44"/>
  <c r="K75" i="44" a="1"/>
  <c r="K75" i="44" s="1"/>
  <c r="G71" i="44" a="1"/>
  <c r="G71" i="44" s="1"/>
  <c r="G116" i="44"/>
  <c r="H116" i="44"/>
  <c r="H76" i="44" a="1"/>
  <c r="H76" i="44" s="1"/>
  <c r="H64" i="44" a="1"/>
  <c r="H64" i="44" s="1"/>
  <c r="H63" i="44" a="1"/>
  <c r="H63" i="44" s="1"/>
  <c r="H72" i="44" a="1"/>
  <c r="H72" i="44" s="1"/>
  <c r="H67" i="44" a="1"/>
  <c r="H67" i="44" s="1"/>
  <c r="H74" i="44" a="1"/>
  <c r="H74" i="44" s="1"/>
  <c r="G64" i="44" a="1"/>
  <c r="G64" i="44" s="1"/>
  <c r="L67" i="44" a="1"/>
  <c r="L67" i="44" s="1"/>
  <c r="L76" i="44" a="1"/>
  <c r="L76" i="44" s="1"/>
  <c r="L66" i="44" a="1"/>
  <c r="L66" i="44" s="1"/>
  <c r="L72" i="44" a="1"/>
  <c r="L72" i="44" s="1"/>
  <c r="J72" i="44" a="1"/>
  <c r="J72" i="44" s="1"/>
  <c r="J76" i="44" a="1"/>
  <c r="J76" i="44" s="1"/>
  <c r="L64" i="44" a="1"/>
  <c r="L64" i="44" s="1"/>
  <c r="K76" i="44" a="1"/>
  <c r="K76" i="44" s="1"/>
  <c r="K74" i="44" a="1"/>
  <c r="K74" i="44" s="1"/>
  <c r="K66" i="44" a="1"/>
  <c r="K66" i="44" s="1"/>
  <c r="K67" i="44" a="1"/>
  <c r="K67" i="44" s="1"/>
  <c r="K72" i="44" a="1"/>
  <c r="K72" i="44" s="1"/>
  <c r="K64" i="44" a="1"/>
  <c r="K64" i="44" s="1"/>
  <c r="M59" i="44"/>
  <c r="L74" i="44" a="1"/>
  <c r="L74" i="44" s="1"/>
  <c r="I76" i="44" a="1"/>
  <c r="I76" i="44" s="1"/>
  <c r="I66" i="44" a="1"/>
  <c r="I66" i="44" s="1"/>
  <c r="I64" i="44" a="1"/>
  <c r="I64" i="44" s="1"/>
  <c r="I67" i="44" a="1"/>
  <c r="I67" i="44" s="1"/>
  <c r="I72" i="44" a="1"/>
  <c r="I72" i="44" s="1"/>
  <c r="G72" i="44" a="1"/>
  <c r="G72" i="44" s="1"/>
  <c r="G66" i="44" a="1"/>
  <c r="G66" i="44" s="1"/>
  <c r="G63" i="44" a="1"/>
  <c r="G63" i="44" s="1"/>
  <c r="G76" i="44" a="1"/>
  <c r="G76" i="44" s="1"/>
  <c r="G67" i="44" a="1"/>
  <c r="G67" i="44" s="1"/>
  <c r="J66" i="44" a="1"/>
  <c r="J66" i="44" s="1"/>
  <c r="J63" i="44" a="1"/>
  <c r="J63" i="44" s="1"/>
  <c r="K73" i="44" a="1"/>
  <c r="K73" i="44" s="1"/>
  <c r="K71" i="44" a="1"/>
  <c r="K71" i="44" s="1"/>
  <c r="I74" i="44" a="1"/>
  <c r="I74" i="44" s="1"/>
  <c r="J74" i="44" a="1"/>
  <c r="J74" i="44" s="1"/>
  <c r="J67" i="44" a="1"/>
  <c r="J67" i="44" s="1"/>
  <c r="L63" i="44" a="1"/>
  <c r="L63" i="44" s="1"/>
  <c r="M60" i="44"/>
  <c r="O9" i="44"/>
  <c r="M91" i="44"/>
  <c r="M45" i="44"/>
  <c r="L61" i="44" a="1"/>
  <c r="L61" i="44" s="1"/>
  <c r="J61" i="44" a="1"/>
  <c r="J61" i="44" s="1"/>
  <c r="H61" i="44" a="1"/>
  <c r="H61" i="44" s="1"/>
  <c r="H81" i="44" s="1" a="1"/>
  <c r="H81" i="44" s="1"/>
  <c r="G61" i="44" a="1"/>
  <c r="G61" i="44" s="1"/>
  <c r="G80" i="44" s="1" a="1"/>
  <c r="G80" i="44" s="1"/>
  <c r="I61" i="44" a="1"/>
  <c r="I61" i="44" s="1"/>
  <c r="K61" i="44" a="1"/>
  <c r="K61" i="44" s="1"/>
  <c r="K84" i="44" s="1" a="1"/>
  <c r="K84" i="44" s="1"/>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J77" i="44" l="1"/>
  <c r="H77" i="44"/>
  <c r="G77" i="44"/>
  <c r="K77" i="44"/>
  <c r="L77" i="44"/>
  <c r="I77" i="44"/>
  <c r="K183" i="44"/>
  <c r="G183" i="44"/>
  <c r="J183" i="44"/>
  <c r="M183" i="44"/>
  <c r="I183" i="44"/>
  <c r="L183" i="44"/>
  <c r="H183" i="44"/>
  <c r="J84" i="44" a="1"/>
  <c r="J84" i="44" s="1"/>
  <c r="J80" i="44" a="1"/>
  <c r="J80" i="44" s="1"/>
  <c r="J83" i="44" a="1"/>
  <c r="J83" i="44" s="1"/>
  <c r="J81" i="44" a="1"/>
  <c r="J81" i="44" s="1"/>
  <c r="J85" i="44" a="1"/>
  <c r="J85" i="44" s="1"/>
  <c r="J82" i="44" a="1"/>
  <c r="J82" i="44" s="1"/>
  <c r="L84" i="44" a="1"/>
  <c r="L84" i="44" s="1"/>
  <c r="L80" i="44" a="1"/>
  <c r="L80" i="44" s="1"/>
  <c r="L83" i="44" a="1"/>
  <c r="L83" i="44" s="1"/>
  <c r="L81" i="44" a="1"/>
  <c r="L81" i="44" s="1"/>
  <c r="L85" i="44" a="1"/>
  <c r="L85" i="44" s="1"/>
  <c r="L82" i="44" a="1"/>
  <c r="L82" i="44" s="1"/>
  <c r="O11" i="44"/>
  <c r="O14" i="44" s="1"/>
  <c r="K80" i="44" a="1"/>
  <c r="K80" i="44" s="1"/>
  <c r="K81" i="44" a="1"/>
  <c r="K81" i="44" s="1"/>
  <c r="K85" i="44" a="1"/>
  <c r="K85" i="44" s="1"/>
  <c r="K83" i="44" a="1"/>
  <c r="K83" i="44" s="1"/>
  <c r="K82" i="44" a="1"/>
  <c r="K82" i="44" s="1"/>
  <c r="L117" i="44"/>
  <c r="H117" i="44"/>
  <c r="K117" i="44"/>
  <c r="G117" i="44"/>
  <c r="J117" i="44"/>
  <c r="M117" i="44"/>
  <c r="I117" i="44"/>
  <c r="M61" i="44"/>
  <c r="G84" i="44" a="1"/>
  <c r="G84" i="44" s="1"/>
  <c r="G83" i="44" a="1"/>
  <c r="G83" i="44" s="1"/>
  <c r="G82" i="44" a="1"/>
  <c r="G82" i="44" s="1"/>
  <c r="G81" i="44" a="1"/>
  <c r="G81" i="44" s="1"/>
  <c r="G85" i="44" a="1"/>
  <c r="G85" i="44" s="1"/>
  <c r="L161" i="44"/>
  <c r="K161" i="44"/>
  <c r="M161" i="44"/>
  <c r="I161" i="44"/>
  <c r="J161" i="44"/>
  <c r="H161" i="44"/>
  <c r="G161" i="44"/>
  <c r="I80" i="44" a="1"/>
  <c r="I80" i="44" s="1"/>
  <c r="I84" i="44" a="1"/>
  <c r="I84" i="44" s="1"/>
  <c r="I82" i="44" a="1"/>
  <c r="I82" i="44" s="1"/>
  <c r="I83" i="44" a="1"/>
  <c r="I83" i="44" s="1"/>
  <c r="I81" i="44" a="1"/>
  <c r="I81" i="44" s="1"/>
  <c r="I85" i="44" a="1"/>
  <c r="I85" i="44" s="1"/>
  <c r="K139" i="44"/>
  <c r="G139" i="44"/>
  <c r="J139" i="44"/>
  <c r="M139" i="44"/>
  <c r="I139" i="44"/>
  <c r="L139" i="44"/>
  <c r="H139" i="44"/>
  <c r="H80" i="44" a="1"/>
  <c r="H80" i="44" s="1"/>
  <c r="H84" i="44" a="1"/>
  <c r="H84" i="44" s="1"/>
  <c r="H85" i="44" a="1"/>
  <c r="H85" i="44" s="1"/>
  <c r="H82" i="44" a="1"/>
  <c r="H82" i="44" s="1"/>
  <c r="H83" i="44" a="1"/>
  <c r="H83" i="44" s="1"/>
  <c r="C25" i="27"/>
  <c r="G86" i="44" l="1"/>
  <c r="I86" i="44"/>
  <c r="L86" i="44"/>
  <c r="J86" i="44"/>
  <c r="H86" i="44"/>
  <c r="K86" i="44"/>
  <c r="O21" i="44"/>
  <c r="D25" i="27"/>
  <c r="E23" i="27"/>
  <c r="E22" i="27"/>
  <c r="E21" i="27"/>
  <c r="E15" i="27"/>
  <c r="E14" i="27"/>
  <c r="E13" i="27"/>
  <c r="E12" i="27"/>
  <c r="E11" i="27"/>
  <c r="E10" i="27"/>
  <c r="E9" i="27"/>
  <c r="E8" i="27"/>
  <c r="O22" i="44" l="1"/>
  <c r="E25" i="27"/>
  <c r="Y25" i="27"/>
  <c r="H23" i="27"/>
  <c r="H22" i="27"/>
  <c r="H21" i="27"/>
  <c r="H15" i="27"/>
  <c r="H14" i="27"/>
  <c r="H13" i="27"/>
  <c r="H12" i="27"/>
  <c r="H11" i="27"/>
  <c r="H10" i="27"/>
  <c r="H9" i="27"/>
  <c r="H8" i="27"/>
  <c r="G25" i="27"/>
  <c r="AM25" i="27"/>
  <c r="AC25" i="27"/>
  <c r="T25" i="27"/>
  <c r="K25" i="27"/>
  <c r="AD21" i="27"/>
  <c r="O27" i="44" l="1"/>
  <c r="O28" i="44" s="1"/>
  <c r="O38" i="44" s="1"/>
  <c r="O39" i="44" s="1"/>
  <c r="O40" i="44" s="1"/>
  <c r="O41" i="44" s="1"/>
  <c r="O43" i="44" s="1"/>
  <c r="O45" i="44" s="1"/>
  <c r="F19" i="27"/>
  <c r="F18" i="27"/>
  <c r="F17" i="27"/>
  <c r="F16" i="27"/>
  <c r="F23" i="27"/>
  <c r="F14" i="27"/>
  <c r="F10" i="27"/>
  <c r="F13" i="27"/>
  <c r="F9" i="27"/>
  <c r="F21" i="27"/>
  <c r="F12" i="27"/>
  <c r="F8" i="27"/>
  <c r="F15" i="27"/>
  <c r="F11" i="27"/>
  <c r="F22" i="27"/>
  <c r="H25" i="27"/>
  <c r="I19" i="27" s="1"/>
  <c r="O46" i="44" l="1"/>
  <c r="O47" i="44" s="1"/>
  <c r="O51" i="44" s="1"/>
  <c r="O52" i="44" s="1"/>
  <c r="O53" i="44" s="1"/>
  <c r="I17" i="27"/>
  <c r="I18" i="27"/>
  <c r="I15" i="27"/>
  <c r="I16" i="27"/>
  <c r="F25" i="27"/>
  <c r="I14" i="27"/>
  <c r="I21" i="27"/>
  <c r="I10" i="27"/>
  <c r="I12" i="27"/>
  <c r="I13" i="27"/>
  <c r="I8" i="27"/>
  <c r="I11" i="27"/>
  <c r="I23" i="27"/>
  <c r="I9" i="27"/>
  <c r="I22" i="27"/>
  <c r="I25" i="27" l="1"/>
  <c r="AH8" i="27" l="1"/>
  <c r="D20" i="41"/>
  <c r="B4" i="31"/>
  <c r="AD49" i="27"/>
  <c r="G32" i="33"/>
  <c r="X16" i="33"/>
  <c r="X15" i="33"/>
  <c r="X12" i="33"/>
  <c r="X11" i="33"/>
  <c r="X10" i="33"/>
  <c r="X9" i="33"/>
  <c r="X8" i="33"/>
  <c r="D13" i="41"/>
  <c r="B12" i="41"/>
  <c r="B7" i="41"/>
  <c r="B6" i="41"/>
  <c r="B5" i="41"/>
  <c r="B2" i="41"/>
  <c r="AD34" i="27" l="1"/>
  <c r="L32" i="27" l="1"/>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AF14" i="27" s="1"/>
  <c r="P10" i="27"/>
  <c r="P15" i="27"/>
  <c r="P17" i="27"/>
  <c r="P13" i="27"/>
  <c r="P9" i="27"/>
  <c r="P11" i="27"/>
  <c r="P16" i="27"/>
  <c r="P12" i="27"/>
  <c r="L35" i="27"/>
  <c r="AD25" i="27"/>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G28" i="15"/>
  <c r="G31" i="15"/>
  <c r="O9" i="16"/>
  <c r="L18" i="16"/>
  <c r="G26" i="21"/>
  <c r="G29" i="21" s="1"/>
  <c r="G34" i="21" s="1"/>
  <c r="H19" i="21" s="1"/>
  <c r="I19" i="21" s="1"/>
  <c r="M8" i="16"/>
  <c r="O8" i="16"/>
  <c r="V8" i="16"/>
  <c r="AF23" i="27"/>
  <c r="AJ23" i="27" s="1"/>
  <c r="AF22" i="27"/>
  <c r="AJ22" i="27" s="1"/>
  <c r="G28" i="14"/>
  <c r="H17" i="15"/>
  <c r="G16" i="24"/>
  <c r="I8" i="10"/>
  <c r="H17" i="10"/>
  <c r="G30" i="21"/>
  <c r="G9" i="21"/>
  <c r="H9" i="21" s="1"/>
  <c r="I9"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G18" i="21" l="1"/>
  <c r="G19" i="21"/>
  <c r="G14" i="21"/>
  <c r="H14" i="21" s="1"/>
  <c r="I14" i="21" s="1"/>
  <c r="G16" i="21"/>
  <c r="H16" i="21" s="1"/>
  <c r="I16" i="21" s="1"/>
  <c r="K18" i="21"/>
  <c r="AE25" i="27"/>
  <c r="AJ16" i="27"/>
  <c r="AG16" i="27"/>
  <c r="AJ18" i="27"/>
  <c r="AG18" i="27"/>
  <c r="AJ17" i="27"/>
  <c r="AG17" i="27"/>
  <c r="AJ19" i="27"/>
  <c r="AG19" i="27"/>
  <c r="AF25" i="27"/>
  <c r="AD30" i="27"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J18" i="11" l="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37" i="24"/>
  <c r="P147" i="24"/>
  <c r="P131" i="24"/>
  <c r="P117" i="24"/>
  <c r="P124" i="24"/>
  <c r="P139" i="24"/>
  <c r="P144" i="24"/>
  <c r="P146" i="24"/>
  <c r="P116" i="24"/>
  <c r="P130" i="24"/>
  <c r="P138" i="24"/>
  <c r="P148" i="24"/>
  <c r="P145" i="24"/>
  <c r="P132" i="24"/>
  <c r="P109" i="24"/>
  <c r="P140" i="24"/>
  <c r="P110" i="24"/>
  <c r="P123" i="24"/>
  <c r="W18" i="33" l="1"/>
  <c r="T24" i="33" s="1"/>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Q14" i="21" l="1"/>
  <c r="Q19" i="21"/>
  <c r="Q9" i="21"/>
  <c r="Q10" i="21"/>
  <c r="Q16" i="21"/>
  <c r="Q15" i="21"/>
  <c r="Q11" i="21"/>
  <c r="Q8" i="21"/>
  <c r="Q18" i="21"/>
  <c r="Q12" i="21"/>
  <c r="AD18" i="13"/>
  <c r="F78" i="24"/>
  <c r="L118" i="24"/>
  <c r="F77" i="24"/>
  <c r="L111" i="24"/>
  <c r="F79" i="24"/>
  <c r="L125" i="24"/>
  <c r="F21" i="24"/>
  <c r="G18" i="24"/>
  <c r="F35" i="24"/>
  <c r="F37" i="24"/>
  <c r="F25" i="24"/>
  <c r="AD18" i="17"/>
  <c r="F56" i="24"/>
  <c r="F57" i="24"/>
  <c r="P111" i="24"/>
  <c r="P118" i="24"/>
  <c r="P125"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26" i="24"/>
  <c r="P112" i="24"/>
  <c r="P119" i="24"/>
  <c r="P133"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13" i="24"/>
  <c r="P120" i="24"/>
  <c r="P141" i="24"/>
  <c r="P134" i="24"/>
  <c r="P127"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14" i="24"/>
  <c r="P142" i="24"/>
  <c r="P135" i="24"/>
  <c r="P121" i="24"/>
  <c r="P149" i="24"/>
  <c r="P128"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D32" i="27"/>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AG8" i="27"/>
  <c r="AG9" i="27"/>
  <c r="AG10" i="27"/>
  <c r="AG11" i="27"/>
  <c r="AG12" i="27"/>
  <c r="AG13" i="27"/>
  <c r="AG14" i="27"/>
  <c r="AG15" i="27"/>
  <c r="AG21" i="27"/>
  <c r="AG22" i="27"/>
  <c r="AG23" i="27"/>
  <c r="AD36" i="27"/>
  <c r="AI19" i="27" s="1"/>
  <c r="AK19" i="27" s="1"/>
  <c r="AN19" i="27" s="1"/>
  <c r="AP19" i="27" l="1"/>
  <c r="AS19" i="27"/>
  <c r="AI17" i="27"/>
  <c r="AK17" i="27" s="1"/>
  <c r="AN17" i="27" s="1"/>
  <c r="AP17" i="27" s="1"/>
  <c r="AI18" i="27"/>
  <c r="AK18" i="27" s="1"/>
  <c r="AN18" i="27" s="1"/>
  <c r="AI15" i="27"/>
  <c r="AK15" i="27" s="1"/>
  <c r="AN15" i="27" s="1"/>
  <c r="AP15" i="27" s="1"/>
  <c r="AI16" i="27"/>
  <c r="AK16" i="27" s="1"/>
  <c r="AN16" i="27" s="1"/>
  <c r="AD35" i="27"/>
  <c r="AI14" i="27"/>
  <c r="AI13" i="27"/>
  <c r="AJ13" i="27" s="1"/>
  <c r="AI12" i="27"/>
  <c r="AK12" i="27" s="1"/>
  <c r="AN12" i="27" s="1"/>
  <c r="AI11" i="27"/>
  <c r="AK11" i="27" s="1"/>
  <c r="AN11" i="27" s="1"/>
  <c r="AI10" i="27"/>
  <c r="AK10" i="27" s="1"/>
  <c r="AN10" i="27" s="1"/>
  <c r="AI9" i="27"/>
  <c r="AK9" i="27" s="1"/>
  <c r="AN9" i="27" s="1"/>
  <c r="AI8" i="27"/>
  <c r="AK8" i="27" s="1"/>
  <c r="AG25" i="27"/>
  <c r="AD31" i="27" s="1"/>
  <c r="AI23" i="27"/>
  <c r="AK23" i="27" s="1"/>
  <c r="AD41" i="27"/>
  <c r="AI22" i="27"/>
  <c r="AK22" i="27" s="1"/>
  <c r="AI21" i="27"/>
  <c r="AK21" i="27" s="1"/>
  <c r="AS17" i="27" l="1"/>
  <c r="AP18" i="27"/>
  <c r="AS18" i="27"/>
  <c r="AS15" i="27"/>
  <c r="AP16" i="27"/>
  <c r="AS16" i="27"/>
  <c r="AP12" i="27"/>
  <c r="AS12" i="27"/>
  <c r="AP9" i="27"/>
  <c r="AS9" i="27"/>
  <c r="AK13" i="27"/>
  <c r="AN8" i="27"/>
  <c r="AP10" i="27"/>
  <c r="AS10" i="27"/>
  <c r="AN21" i="27"/>
  <c r="AL22" i="27"/>
  <c r="AP11" i="27"/>
  <c r="AS11" i="27"/>
  <c r="AD50" i="27" l="1"/>
  <c r="AJ14" i="27" s="1"/>
  <c r="AN13" i="27"/>
  <c r="AP21" i="27"/>
  <c r="AS21" i="27"/>
  <c r="AL23" i="27"/>
  <c r="AN23" i="27" s="1"/>
  <c r="AN22" i="27"/>
  <c r="AP8" i="27"/>
  <c r="AS8" i="27"/>
  <c r="AK14" i="27" l="1"/>
  <c r="AL25" i="27"/>
  <c r="AP22" i="27"/>
  <c r="AS22" i="27"/>
  <c r="AP23" i="27"/>
  <c r="AS23" i="27"/>
  <c r="AS13" i="27"/>
  <c r="AP13" i="27"/>
  <c r="AN14" i="27" l="1"/>
  <c r="AK25" i="27"/>
  <c r="AS14" i="27" l="1"/>
  <c r="AS25" i="27" s="1"/>
  <c r="AT19" i="27" s="1"/>
  <c r="AN25" i="27"/>
  <c r="AP14" i="27"/>
  <c r="AP25" i="27" s="1"/>
  <c r="AD48" i="27" s="1"/>
  <c r="AT18" i="27" l="1"/>
  <c r="AT17" i="27"/>
  <c r="AT23" i="27"/>
  <c r="AT8" i="27"/>
  <c r="AT21" i="27"/>
  <c r="AT9" i="27"/>
  <c r="AT10" i="27"/>
  <c r="AT11" i="27"/>
  <c r="AT13" i="27"/>
  <c r="AT16" i="27"/>
  <c r="AT22" i="27"/>
  <c r="AT12" i="27"/>
  <c r="AT15" i="27"/>
  <c r="AT14" i="27"/>
  <c r="AO19" i="27"/>
  <c r="AO14" i="27"/>
  <c r="AO22" i="27"/>
  <c r="AO12" i="27"/>
  <c r="AO16" i="27"/>
  <c r="AO23" i="27"/>
  <c r="AO8" i="27"/>
  <c r="AO17" i="27"/>
  <c r="AO21" i="27"/>
  <c r="AO15" i="27"/>
  <c r="AO10" i="27"/>
  <c r="AO13" i="27"/>
  <c r="AO18" i="27"/>
  <c r="AO9" i="27"/>
  <c r="AO11" i="27"/>
  <c r="AT25" i="27" l="1"/>
  <c r="AO25" i="27"/>
  <c r="G189" i="44" l="1"/>
  <c r="G190" i="44" s="1"/>
  <c r="G205" i="44" s="1"/>
  <c r="H189" i="44"/>
  <c r="H190" i="44" s="1"/>
  <c r="H205" i="44" s="1"/>
  <c r="I189" i="44"/>
  <c r="I190" i="44" s="1"/>
  <c r="I205" i="44" s="1"/>
  <c r="J189" i="44"/>
  <c r="J190" i="44" s="1"/>
  <c r="J205" i="44" s="1"/>
  <c r="K189" i="44"/>
  <c r="K190" i="44" s="1"/>
  <c r="K205" i="44" s="1"/>
  <c r="L189" i="44"/>
  <c r="L190" i="44" s="1"/>
  <c r="L205" i="44" s="1"/>
  <c r="M189" i="44"/>
  <c r="M190" i="44" s="1"/>
  <c r="M205" i="44" s="1"/>
  <c r="G102" i="44"/>
  <c r="G104" i="44" s="1"/>
  <c r="G106" i="44" s="1"/>
  <c r="G114" i="44" l="1"/>
  <c r="G119" i="44" s="1"/>
  <c r="G125" i="44" l="1"/>
  <c r="H102" i="44"/>
  <c r="H104" i="44" s="1"/>
  <c r="H106" i="44" s="1"/>
  <c r="I102" i="44"/>
  <c r="I104" i="44" s="1"/>
  <c r="I106" i="44" s="1"/>
  <c r="J102" i="44"/>
  <c r="K102" i="44"/>
  <c r="K104" i="44" s="1"/>
  <c r="K106" i="44" s="1"/>
  <c r="L102" i="44"/>
  <c r="L104" i="44" s="1"/>
  <c r="L106" i="44" s="1"/>
  <c r="M102" i="44"/>
  <c r="M104" i="44" s="1"/>
  <c r="M106" i="44" s="1"/>
  <c r="J104" i="44"/>
  <c r="J106" i="44" s="1"/>
  <c r="I114" i="44" l="1"/>
  <c r="I119" i="44" s="1"/>
  <c r="M114" i="44"/>
  <c r="M119" i="44" s="1"/>
  <c r="L114" i="44"/>
  <c r="L119" i="44" s="1"/>
  <c r="H114" i="44"/>
  <c r="H119" i="44" s="1"/>
  <c r="J114" i="44"/>
  <c r="J119" i="44" s="1"/>
  <c r="K114" i="44"/>
  <c r="K119" i="44" s="1"/>
  <c r="H125" i="44" l="1"/>
  <c r="K125" i="44"/>
  <c r="M125" i="44"/>
  <c r="L125" i="44"/>
  <c r="J125" i="44"/>
  <c r="I125" i="44"/>
  <c r="G108" i="44" a="1"/>
  <c r="G108" i="44" s="1"/>
  <c r="G109" i="44" s="1"/>
  <c r="G110" i="44" s="1"/>
  <c r="G188" i="44" s="1"/>
  <c r="H108" i="44" a="1"/>
  <c r="H108" i="44" s="1"/>
  <c r="H109" i="44" s="1"/>
  <c r="H110" i="44" s="1"/>
  <c r="I108" i="44" a="1"/>
  <c r="I108" i="44" s="1"/>
  <c r="I109" i="44" s="1"/>
  <c r="I110" i="44" s="1"/>
  <c r="I186" i="44" s="1"/>
  <c r="I192" i="44" s="1"/>
  <c r="J108" i="44" a="1"/>
  <c r="J108" i="44" s="1"/>
  <c r="J109" i="44" s="1"/>
  <c r="J110" i="44" s="1"/>
  <c r="K108" i="44" a="1"/>
  <c r="K108" i="44" s="1"/>
  <c r="K109" i="44" s="1"/>
  <c r="K110" i="44" s="1"/>
  <c r="K188" i="44" s="1"/>
  <c r="L108" i="44" a="1"/>
  <c r="L108" i="44" s="1"/>
  <c r="L109" i="44" s="1"/>
  <c r="L110" i="44" s="1"/>
  <c r="M108" i="44" a="1"/>
  <c r="M108" i="44" s="1"/>
  <c r="M109" i="44" s="1"/>
  <c r="M110" i="44" s="1"/>
  <c r="M188" i="44" s="1"/>
  <c r="J186" i="44"/>
  <c r="J192" i="44" s="1"/>
  <c r="M186" i="44"/>
  <c r="M192" i="44" s="1"/>
  <c r="H188" i="44"/>
  <c r="I188" i="44"/>
  <c r="J188" i="44"/>
  <c r="L188" i="44"/>
  <c r="G204" i="44"/>
  <c r="H204" i="44"/>
  <c r="I204" i="44"/>
  <c r="J204" i="44"/>
  <c r="K204" i="44"/>
  <c r="L204" i="44"/>
  <c r="M204" i="44"/>
  <c r="L111" i="44" l="1"/>
  <c r="L122" i="44"/>
  <c r="L142" i="44"/>
  <c r="L148" i="44" s="1"/>
  <c r="L164" i="44"/>
  <c r="L170" i="44" s="1"/>
  <c r="L120" i="44"/>
  <c r="L126" i="44" s="1"/>
  <c r="L144" i="44"/>
  <c r="L115" i="44"/>
  <c r="L166" i="44"/>
  <c r="H111" i="44"/>
  <c r="H122" i="44"/>
  <c r="H142" i="44"/>
  <c r="H148" i="44" s="1"/>
  <c r="H164" i="44"/>
  <c r="H170" i="44" s="1"/>
  <c r="H120" i="44"/>
  <c r="H126" i="44" s="1"/>
  <c r="H144" i="44"/>
  <c r="H115" i="44"/>
  <c r="H166" i="44"/>
  <c r="K164" i="44"/>
  <c r="K170" i="44" s="1"/>
  <c r="K120" i="44"/>
  <c r="K126" i="44" s="1"/>
  <c r="K144" i="44"/>
  <c r="K115" i="44"/>
  <c r="K166" i="44"/>
  <c r="K111" i="44"/>
  <c r="K122" i="44"/>
  <c r="K142" i="44"/>
  <c r="K148" i="44" s="1"/>
  <c r="G164" i="44"/>
  <c r="G170" i="44" s="1"/>
  <c r="G120" i="44"/>
  <c r="G126" i="44" s="1"/>
  <c r="G144" i="44"/>
  <c r="G115" i="44"/>
  <c r="G166" i="44"/>
  <c r="G111" i="44"/>
  <c r="G122" i="44"/>
  <c r="G142" i="44"/>
  <c r="G148" i="44" s="1"/>
  <c r="L186" i="44"/>
  <c r="L192" i="44" s="1"/>
  <c r="H186" i="44"/>
  <c r="H192" i="44" s="1"/>
  <c r="J120" i="44"/>
  <c r="J126" i="44" s="1"/>
  <c r="J144" i="44"/>
  <c r="J115" i="44"/>
  <c r="J166" i="44"/>
  <c r="J111" i="44"/>
  <c r="J122" i="44"/>
  <c r="J142" i="44"/>
  <c r="J148" i="44" s="1"/>
  <c r="J164" i="44"/>
  <c r="J170" i="44" s="1"/>
  <c r="K186" i="44"/>
  <c r="K192" i="44" s="1"/>
  <c r="G186" i="44"/>
  <c r="G192" i="44" s="1"/>
  <c r="M115" i="44"/>
  <c r="M166" i="44"/>
  <c r="M111" i="44"/>
  <c r="M122" i="44"/>
  <c r="M142" i="44"/>
  <c r="M148" i="44" s="1"/>
  <c r="M164" i="44"/>
  <c r="M170" i="44" s="1"/>
  <c r="M120" i="44"/>
  <c r="M126" i="44" s="1"/>
  <c r="M144" i="44"/>
  <c r="I115" i="44"/>
  <c r="I166" i="44"/>
  <c r="I111" i="44"/>
  <c r="I122" i="44"/>
  <c r="I142" i="44"/>
  <c r="I148" i="44" s="1"/>
  <c r="I164" i="44"/>
  <c r="I170" i="44" s="1"/>
  <c r="I120" i="44"/>
  <c r="I126" i="44" s="1"/>
  <c r="I144" i="44"/>
  <c r="M128" i="44" l="1"/>
  <c r="M232" i="44"/>
  <c r="J128" i="44"/>
  <c r="J232" i="44"/>
  <c r="I128" i="44"/>
  <c r="I232" i="44"/>
  <c r="G128" i="44"/>
  <c r="G232" i="44"/>
  <c r="K128" i="44"/>
  <c r="K232" i="44"/>
  <c r="H128" i="44"/>
  <c r="H232" i="44"/>
  <c r="L128" i="44"/>
  <c r="L232" i="44"/>
  <c r="L129" i="44" l="1"/>
  <c r="L131" i="44"/>
  <c r="L136" i="44" s="1"/>
  <c r="I129" i="44"/>
  <c r="I131" i="44"/>
  <c r="I136" i="44" s="1"/>
  <c r="J131" i="44"/>
  <c r="J136" i="44" s="1"/>
  <c r="J129" i="44"/>
  <c r="M129" i="44"/>
  <c r="M131" i="44"/>
  <c r="G131" i="44"/>
  <c r="G136" i="44" s="1"/>
  <c r="G129" i="44"/>
  <c r="H129" i="44"/>
  <c r="H131" i="44"/>
  <c r="H136" i="44" s="1"/>
  <c r="K131" i="44"/>
  <c r="K136" i="44" s="1"/>
  <c r="K129" i="44"/>
  <c r="L141" i="44" l="1"/>
  <c r="L233" i="44"/>
  <c r="I141" i="44"/>
  <c r="I233" i="44"/>
  <c r="H141" i="44"/>
  <c r="H233" i="44"/>
  <c r="G130" i="44"/>
  <c r="G137" i="44"/>
  <c r="K130" i="44"/>
  <c r="K137" i="44"/>
  <c r="G141" i="44"/>
  <c r="G233" i="44"/>
  <c r="K132" i="44"/>
  <c r="J141" i="44"/>
  <c r="J233" i="44"/>
  <c r="M130" i="44"/>
  <c r="M132" i="44" s="1"/>
  <c r="M137" i="44"/>
  <c r="K141" i="44"/>
  <c r="K233" i="44"/>
  <c r="H130" i="44"/>
  <c r="H132" i="44" s="1"/>
  <c r="H137" i="44"/>
  <c r="G132" i="44"/>
  <c r="M136" i="44"/>
  <c r="J130" i="44"/>
  <c r="J132" i="44" s="1"/>
  <c r="J137" i="44"/>
  <c r="I130" i="44"/>
  <c r="I132" i="44" s="1"/>
  <c r="I137" i="44"/>
  <c r="L130" i="44"/>
  <c r="L132" i="44" s="1"/>
  <c r="L137" i="44"/>
  <c r="I133" i="44" l="1"/>
  <c r="M133" i="44"/>
  <c r="L133" i="44"/>
  <c r="G133" i="44"/>
  <c r="H133" i="44"/>
  <c r="M141" i="44"/>
  <c r="M233" i="44"/>
  <c r="J150" i="44"/>
  <c r="J147" i="44"/>
  <c r="J133" i="44"/>
  <c r="K133" i="44"/>
  <c r="I147" i="44"/>
  <c r="I150" i="44"/>
  <c r="K147" i="44"/>
  <c r="K150" i="44"/>
  <c r="G147" i="44"/>
  <c r="G150" i="44"/>
  <c r="H147" i="44"/>
  <c r="H150" i="44"/>
  <c r="L147" i="44"/>
  <c r="L150" i="44"/>
  <c r="G151" i="44" l="1"/>
  <c r="G153" i="44"/>
  <c r="G158" i="44" s="1"/>
  <c r="H151" i="44"/>
  <c r="H153" i="44"/>
  <c r="M147" i="44"/>
  <c r="M150" i="44"/>
  <c r="K151" i="44"/>
  <c r="K153" i="44"/>
  <c r="K158" i="44" s="1"/>
  <c r="I153" i="44"/>
  <c r="I158" i="44" s="1"/>
  <c r="I151" i="44"/>
  <c r="L151" i="44"/>
  <c r="L153" i="44"/>
  <c r="L158" i="44" s="1"/>
  <c r="J153" i="44"/>
  <c r="J158" i="44" s="1"/>
  <c r="J151" i="44"/>
  <c r="K163" i="44" l="1"/>
  <c r="K234" i="44"/>
  <c r="I163" i="44"/>
  <c r="I234" i="44"/>
  <c r="G163" i="44"/>
  <c r="G234" i="44"/>
  <c r="J163" i="44"/>
  <c r="J234" i="44"/>
  <c r="J152" i="44"/>
  <c r="J159" i="44"/>
  <c r="L152" i="44"/>
  <c r="L154" i="44" s="1"/>
  <c r="L159" i="44"/>
  <c r="L163" i="44"/>
  <c r="L234" i="44"/>
  <c r="K152" i="44"/>
  <c r="K154" i="44" s="1"/>
  <c r="K159" i="44"/>
  <c r="H152" i="44"/>
  <c r="H154" i="44" s="1"/>
  <c r="H159" i="44"/>
  <c r="G152" i="44"/>
  <c r="G154" i="44" s="1"/>
  <c r="G159" i="44"/>
  <c r="J154" i="44"/>
  <c r="I152" i="44"/>
  <c r="I154" i="44" s="1"/>
  <c r="I159" i="44"/>
  <c r="M153" i="44"/>
  <c r="M158" i="44" s="1"/>
  <c r="M151" i="44"/>
  <c r="H158" i="44"/>
  <c r="K155" i="44" l="1"/>
  <c r="L155" i="44"/>
  <c r="H155" i="44"/>
  <c r="M163" i="44"/>
  <c r="M234" i="44"/>
  <c r="I155" i="44"/>
  <c r="H163" i="44"/>
  <c r="H234" i="44"/>
  <c r="G155" i="44"/>
  <c r="M152" i="44"/>
  <c r="M159" i="44"/>
  <c r="J169" i="44"/>
  <c r="J172" i="44"/>
  <c r="I172" i="44"/>
  <c r="I169" i="44"/>
  <c r="L169" i="44"/>
  <c r="L172" i="44"/>
  <c r="M154" i="44"/>
  <c r="J155" i="44"/>
  <c r="G169" i="44"/>
  <c r="G172" i="44"/>
  <c r="K169" i="44"/>
  <c r="K172" i="44"/>
  <c r="H169" i="44" l="1"/>
  <c r="H172" i="44"/>
  <c r="K173" i="44"/>
  <c r="K175" i="44"/>
  <c r="K180" i="44" s="1"/>
  <c r="M172" i="44"/>
  <c r="M169" i="44"/>
  <c r="M155" i="44"/>
  <c r="G173" i="44"/>
  <c r="G175" i="44"/>
  <c r="G180" i="44" s="1"/>
  <c r="L175" i="44"/>
  <c r="L180" i="44" s="1"/>
  <c r="L173" i="44"/>
  <c r="I175" i="44"/>
  <c r="I180" i="44" s="1"/>
  <c r="I173" i="44"/>
  <c r="J173" i="44"/>
  <c r="J175" i="44"/>
  <c r="J180" i="44" s="1"/>
  <c r="K185" i="44" l="1"/>
  <c r="K235" i="44"/>
  <c r="K237" i="44" s="1"/>
  <c r="L235" i="44"/>
  <c r="L237" i="44" s="1"/>
  <c r="L185" i="44"/>
  <c r="G185" i="44"/>
  <c r="G235" i="44"/>
  <c r="G237" i="44" s="1"/>
  <c r="J174" i="44"/>
  <c r="J176" i="44" s="1"/>
  <c r="J181" i="44"/>
  <c r="L174" i="44"/>
  <c r="L176" i="44" s="1"/>
  <c r="L181" i="44"/>
  <c r="G174" i="44"/>
  <c r="G176" i="44" s="1"/>
  <c r="G181" i="44"/>
  <c r="J185" i="44"/>
  <c r="J235" i="44"/>
  <c r="J237" i="44" s="1"/>
  <c r="I174" i="44"/>
  <c r="I176" i="44" s="1"/>
  <c r="I181" i="44"/>
  <c r="M175" i="44"/>
  <c r="M180" i="44" s="1"/>
  <c r="M173" i="44"/>
  <c r="I235" i="44"/>
  <c r="I237" i="44" s="1"/>
  <c r="I185" i="44"/>
  <c r="H175" i="44"/>
  <c r="H180" i="44" s="1"/>
  <c r="H173" i="44"/>
  <c r="K174" i="44"/>
  <c r="K176" i="44" s="1"/>
  <c r="K181" i="44"/>
  <c r="I177" i="44" l="1"/>
  <c r="M235" i="44"/>
  <c r="M237" i="44" s="1"/>
  <c r="M185" i="44"/>
  <c r="H235" i="44"/>
  <c r="H237" i="44" s="1"/>
  <c r="H185" i="44"/>
  <c r="L177" i="44"/>
  <c r="K177" i="44"/>
  <c r="L191" i="44"/>
  <c r="L194" i="44"/>
  <c r="H174" i="44"/>
  <c r="H181" i="44"/>
  <c r="I194" i="44"/>
  <c r="I191" i="44"/>
  <c r="J177" i="44"/>
  <c r="J191" i="44"/>
  <c r="J194" i="44"/>
  <c r="G177" i="44"/>
  <c r="H176" i="44"/>
  <c r="M174" i="44"/>
  <c r="M176" i="44" s="1"/>
  <c r="M181" i="44"/>
  <c r="G191" i="44"/>
  <c r="G194" i="44"/>
  <c r="K191" i="44"/>
  <c r="K194" i="44"/>
  <c r="M177" i="44" l="1"/>
  <c r="J195" i="44"/>
  <c r="J197" i="44"/>
  <c r="I197" i="44"/>
  <c r="I202" i="44" s="1"/>
  <c r="I208" i="44" s="1"/>
  <c r="I195" i="44"/>
  <c r="L197" i="44"/>
  <c r="L202" i="44" s="1"/>
  <c r="L208" i="44" s="1"/>
  <c r="L195" i="44"/>
  <c r="M194" i="44"/>
  <c r="M191" i="44"/>
  <c r="K195" i="44"/>
  <c r="K197" i="44"/>
  <c r="H177" i="44"/>
  <c r="H191" i="44"/>
  <c r="H194" i="44"/>
  <c r="G195" i="44"/>
  <c r="G197" i="44"/>
  <c r="M197" i="44" l="1"/>
  <c r="M195" i="44"/>
  <c r="I196" i="44"/>
  <c r="I198" i="44" s="1"/>
  <c r="I206" i="44"/>
  <c r="I207" i="44" s="1"/>
  <c r="I203" i="44"/>
  <c r="G196" i="44"/>
  <c r="G198" i="44" s="1"/>
  <c r="G206" i="44"/>
  <c r="G207" i="44" s="1"/>
  <c r="G203" i="44"/>
  <c r="K196" i="44"/>
  <c r="K206" i="44"/>
  <c r="K207" i="44" s="1"/>
  <c r="K203" i="44"/>
  <c r="L196" i="44"/>
  <c r="L198" i="44" s="1"/>
  <c r="L206" i="44"/>
  <c r="L207" i="44" s="1"/>
  <c r="L210" i="44" s="1"/>
  <c r="L203" i="44"/>
  <c r="I210" i="44"/>
  <c r="J196" i="44"/>
  <c r="J198" i="44" s="1"/>
  <c r="J206" i="44"/>
  <c r="J207" i="44" s="1"/>
  <c r="J203" i="44"/>
  <c r="H197" i="44"/>
  <c r="H202" i="44" s="1"/>
  <c r="H208" i="44" s="1"/>
  <c r="H195" i="44"/>
  <c r="K198" i="44"/>
  <c r="G202" i="44"/>
  <c r="G208" i="44" s="1"/>
  <c r="G210" i="44" s="1"/>
  <c r="K202" i="44"/>
  <c r="K208" i="44" s="1"/>
  <c r="K210" i="44" s="1"/>
  <c r="J202" i="44"/>
  <c r="J208" i="44" s="1"/>
  <c r="J210" i="44" s="1"/>
  <c r="I199" i="44" l="1"/>
  <c r="L199" i="44"/>
  <c r="L165" i="44"/>
  <c r="L171" i="44" s="1"/>
  <c r="L121" i="44"/>
  <c r="L127" i="44" s="1"/>
  <c r="L143" i="44"/>
  <c r="L149" i="44" s="1"/>
  <c r="L187" i="44"/>
  <c r="L193" i="44" s="1"/>
  <c r="L209" i="44"/>
  <c r="L212" i="44" s="1"/>
  <c r="L213" i="44" s="1"/>
  <c r="J199" i="44"/>
  <c r="G121" i="44"/>
  <c r="G127" i="44" s="1"/>
  <c r="G143" i="44"/>
  <c r="G149" i="44" s="1"/>
  <c r="G165" i="44"/>
  <c r="G171" i="44" s="1"/>
  <c r="G209" i="44"/>
  <c r="G212" i="44" s="1"/>
  <c r="G213" i="44" s="1"/>
  <c r="G187" i="44"/>
  <c r="G193" i="44" s="1"/>
  <c r="G199" i="44"/>
  <c r="K121" i="44"/>
  <c r="K127" i="44" s="1"/>
  <c r="K143" i="44"/>
  <c r="K149" i="44" s="1"/>
  <c r="K165" i="44"/>
  <c r="K171" i="44" s="1"/>
  <c r="K209" i="44"/>
  <c r="K212" i="44" s="1"/>
  <c r="K213" i="44" s="1"/>
  <c r="K187" i="44"/>
  <c r="K193" i="44" s="1"/>
  <c r="J143" i="44"/>
  <c r="J149" i="44" s="1"/>
  <c r="J165" i="44"/>
  <c r="J171" i="44" s="1"/>
  <c r="J121" i="44"/>
  <c r="J127" i="44" s="1"/>
  <c r="J209" i="44"/>
  <c r="J212" i="44" s="1"/>
  <c r="J213" i="44" s="1"/>
  <c r="J187" i="44"/>
  <c r="J193" i="44" s="1"/>
  <c r="K199" i="44"/>
  <c r="K216" i="44"/>
  <c r="K219" i="44"/>
  <c r="K228" i="44" s="1"/>
  <c r="K220" i="44"/>
  <c r="K229" i="44" s="1"/>
  <c r="K218" i="44"/>
  <c r="K227" i="44" s="1"/>
  <c r="M196" i="44"/>
  <c r="M198" i="44" s="1"/>
  <c r="M206" i="44"/>
  <c r="M207" i="44" s="1"/>
  <c r="M203" i="44"/>
  <c r="I143" i="44"/>
  <c r="I149" i="44" s="1"/>
  <c r="I165" i="44"/>
  <c r="I171" i="44" s="1"/>
  <c r="I121" i="44"/>
  <c r="I127" i="44" s="1"/>
  <c r="I209" i="44"/>
  <c r="I212" i="44" s="1"/>
  <c r="I213" i="44" s="1"/>
  <c r="I187" i="44"/>
  <c r="I193" i="44" s="1"/>
  <c r="H196" i="44"/>
  <c r="H198" i="44" s="1"/>
  <c r="H206" i="44"/>
  <c r="H207" i="44" s="1"/>
  <c r="H210" i="44" s="1"/>
  <c r="H203" i="44"/>
  <c r="M202" i="44"/>
  <c r="M208" i="44" s="1"/>
  <c r="M210" i="44" s="1"/>
  <c r="G220" i="44" l="1"/>
  <c r="G229" i="44" s="1"/>
  <c r="K217" i="44"/>
  <c r="K226" i="44" s="1"/>
  <c r="M199" i="44"/>
  <c r="H165" i="44"/>
  <c r="H171" i="44" s="1"/>
  <c r="H121" i="44"/>
  <c r="H127" i="44" s="1"/>
  <c r="H143" i="44"/>
  <c r="H149" i="44" s="1"/>
  <c r="H187" i="44"/>
  <c r="H193" i="44" s="1"/>
  <c r="H209" i="44"/>
  <c r="H212" i="44" s="1"/>
  <c r="H213" i="44" s="1"/>
  <c r="H199" i="44"/>
  <c r="K221" i="44"/>
  <c r="K222" i="44" s="1"/>
  <c r="K225" i="44"/>
  <c r="G217" i="44"/>
  <c r="G226" i="44" s="1"/>
  <c r="G219" i="44"/>
  <c r="G228" i="44" s="1"/>
  <c r="J220" i="44"/>
  <c r="J229" i="44" s="1"/>
  <c r="L217" i="44"/>
  <c r="L226" i="44" s="1"/>
  <c r="L220" i="44"/>
  <c r="L229" i="44" s="1"/>
  <c r="I216" i="44"/>
  <c r="G218" i="44"/>
  <c r="G227" i="44" s="1"/>
  <c r="J218" i="44"/>
  <c r="J227" i="44" s="1"/>
  <c r="J219" i="44"/>
  <c r="J228" i="44" s="1"/>
  <c r="L219" i="44"/>
  <c r="L228" i="44" s="1"/>
  <c r="I217" i="44"/>
  <c r="I226" i="44" s="1"/>
  <c r="G216" i="44"/>
  <c r="J216" i="44"/>
  <c r="L216" i="44"/>
  <c r="I218" i="44"/>
  <c r="I227" i="44" s="1"/>
  <c r="I219" i="44"/>
  <c r="I228" i="44" s="1"/>
  <c r="M143" i="44"/>
  <c r="M149" i="44" s="1"/>
  <c r="M165" i="44"/>
  <c r="M171" i="44" s="1"/>
  <c r="M121" i="44"/>
  <c r="M127" i="44" s="1"/>
  <c r="M209" i="44"/>
  <c r="M212" i="44" s="1"/>
  <c r="M213" i="44" s="1"/>
  <c r="M187" i="44"/>
  <c r="M193" i="44" s="1"/>
  <c r="J217" i="44"/>
  <c r="J226" i="44" s="1"/>
  <c r="L218" i="44"/>
  <c r="L227" i="44" s="1"/>
  <c r="I220" i="44"/>
  <c r="I229" i="44" s="1"/>
  <c r="H217" i="44" l="1"/>
  <c r="H226" i="44" s="1"/>
  <c r="H218" i="44"/>
  <c r="H227" i="44" s="1"/>
  <c r="G9" i="44"/>
  <c r="H219" i="44"/>
  <c r="H228" i="44" s="1"/>
  <c r="H220" i="44"/>
  <c r="H229" i="44" s="1"/>
  <c r="J221" i="44"/>
  <c r="J222" i="44" s="1"/>
  <c r="J225" i="44"/>
  <c r="H216" i="44"/>
  <c r="M218" i="44"/>
  <c r="M227" i="44" s="1"/>
  <c r="G221" i="44"/>
  <c r="G222" i="44" s="1"/>
  <c r="G225" i="44"/>
  <c r="K242" i="44"/>
  <c r="K255" i="44" s="1"/>
  <c r="K246" i="44"/>
  <c r="K259" i="44" s="1"/>
  <c r="K241" i="44"/>
  <c r="K245" i="44"/>
  <c r="K258" i="44" s="1"/>
  <c r="K247" i="44"/>
  <c r="K260" i="44" s="1"/>
  <c r="K244" i="44"/>
  <c r="K257" i="44" s="1"/>
  <c r="K243" i="44"/>
  <c r="K256" i="44" s="1"/>
  <c r="K248" i="44"/>
  <c r="K261" i="44" s="1"/>
  <c r="M216" i="44"/>
  <c r="M217" i="44"/>
  <c r="M226" i="44" s="1"/>
  <c r="M219" i="44"/>
  <c r="M228" i="44" s="1"/>
  <c r="L225" i="44"/>
  <c r="L221" i="44"/>
  <c r="L222" i="44" s="1"/>
  <c r="I225" i="44"/>
  <c r="I221" i="44"/>
  <c r="I222" i="44" s="1"/>
  <c r="M220" i="44"/>
  <c r="M229" i="44" s="1"/>
  <c r="I244" i="44" l="1"/>
  <c r="I257" i="44" s="1"/>
  <c r="I248" i="44"/>
  <c r="I261" i="44" s="1"/>
  <c r="I243" i="44"/>
  <c r="I256" i="44" s="1"/>
  <c r="I247" i="44"/>
  <c r="I260" i="44" s="1"/>
  <c r="I245" i="44"/>
  <c r="I258" i="44" s="1"/>
  <c r="I242" i="44"/>
  <c r="I255" i="44" s="1"/>
  <c r="I241" i="44"/>
  <c r="I246" i="44"/>
  <c r="I259" i="44" s="1"/>
  <c r="H225" i="44"/>
  <c r="H221" i="44"/>
  <c r="H222" i="44" s="1"/>
  <c r="L243" i="44"/>
  <c r="L256" i="44" s="1"/>
  <c r="L247" i="44"/>
  <c r="L260" i="44" s="1"/>
  <c r="L242" i="44"/>
  <c r="L255" i="44" s="1"/>
  <c r="L246" i="44"/>
  <c r="L259" i="44" s="1"/>
  <c r="L248" i="44"/>
  <c r="L261" i="44" s="1"/>
  <c r="L245" i="44"/>
  <c r="L258" i="44" s="1"/>
  <c r="L244" i="44"/>
  <c r="L257" i="44" s="1"/>
  <c r="L241" i="44"/>
  <c r="G242" i="44"/>
  <c r="G255" i="44" s="1"/>
  <c r="G246" i="44"/>
  <c r="G259" i="44" s="1"/>
  <c r="G241" i="44"/>
  <c r="G245" i="44"/>
  <c r="G258" i="44" s="1"/>
  <c r="G243" i="44"/>
  <c r="G256" i="44" s="1"/>
  <c r="G248" i="44"/>
  <c r="G261" i="44" s="1"/>
  <c r="G247" i="44"/>
  <c r="G260" i="44" s="1"/>
  <c r="G244" i="44"/>
  <c r="G257" i="44" s="1"/>
  <c r="J241" i="44"/>
  <c r="J245" i="44"/>
  <c r="J258" i="44" s="1"/>
  <c r="J244" i="44"/>
  <c r="J257" i="44" s="1"/>
  <c r="J248" i="44"/>
  <c r="J261" i="44" s="1"/>
  <c r="J246" i="44"/>
  <c r="J259" i="44" s="1"/>
  <c r="J243" i="44"/>
  <c r="J256" i="44" s="1"/>
  <c r="J242" i="44"/>
  <c r="J255" i="44" s="1"/>
  <c r="J247" i="44"/>
  <c r="J260" i="44" s="1"/>
  <c r="M225" i="44"/>
  <c r="M221" i="44"/>
  <c r="M222" i="44" s="1"/>
  <c r="K249" i="44"/>
  <c r="K254" i="44"/>
  <c r="M244" i="44" l="1"/>
  <c r="M257" i="44" s="1"/>
  <c r="M248" i="44"/>
  <c r="M261" i="44" s="1"/>
  <c r="M243" i="44"/>
  <c r="M256" i="44" s="1"/>
  <c r="M247" i="44"/>
  <c r="M260" i="44" s="1"/>
  <c r="M241" i="44"/>
  <c r="M246" i="44"/>
  <c r="M259" i="44" s="1"/>
  <c r="M245" i="44"/>
  <c r="M258" i="44" s="1"/>
  <c r="M242" i="44"/>
  <c r="M255" i="44" s="1"/>
  <c r="J249" i="44"/>
  <c r="J254" i="44"/>
  <c r="I254" i="44"/>
  <c r="I249" i="44"/>
  <c r="L254" i="44"/>
  <c r="L249" i="44"/>
  <c r="K250" i="44"/>
  <c r="K262" i="44"/>
  <c r="G249" i="44"/>
  <c r="G254" i="44"/>
  <c r="H243" i="44"/>
  <c r="H256" i="44" s="1"/>
  <c r="H247" i="44"/>
  <c r="H260" i="44" s="1"/>
  <c r="H242" i="44"/>
  <c r="H255" i="44" s="1"/>
  <c r="H246" i="44"/>
  <c r="H259" i="44" s="1"/>
  <c r="H244" i="44"/>
  <c r="H257" i="44" s="1"/>
  <c r="H241" i="44"/>
  <c r="H248" i="44"/>
  <c r="H261" i="44" s="1"/>
  <c r="H245" i="44"/>
  <c r="H258" i="44" s="1"/>
  <c r="H254" i="44" l="1"/>
  <c r="H249" i="44"/>
  <c r="I262" i="44"/>
  <c r="I250" i="44"/>
  <c r="L262" i="44"/>
  <c r="L250" i="44"/>
  <c r="G250" i="44"/>
  <c r="G262" i="44"/>
  <c r="J262" i="44"/>
  <c r="J250" i="44"/>
  <c r="M249" i="44"/>
  <c r="M254" i="44"/>
  <c r="M262" i="44" l="1"/>
  <c r="M250" i="44"/>
  <c r="H262" i="44"/>
  <c r="H250" i="44"/>
  <c r="O55" i="44" l="1"/>
  <c r="O56" i="44" l="1"/>
  <c r="O57" i="44"/>
  <c r="O59" i="44"/>
  <c r="O60" i="44" l="1"/>
  <c r="O61" i="44"/>
  <c r="O62" i="44" l="1"/>
  <c r="O63" i="44" l="1"/>
  <c r="O64" i="44"/>
  <c r="O65" i="44" l="1"/>
  <c r="O66" i="44" l="1"/>
  <c r="O67" i="44" l="1"/>
  <c r="O68" i="44" s="1"/>
  <c r="O70" i="44" s="1"/>
  <c r="O79" i="44" s="1"/>
  <c r="O91" i="44" s="1"/>
  <c r="O93" i="44" s="1"/>
  <c r="O94" i="44" s="1"/>
  <c r="O104" i="44" s="1"/>
  <c r="O105" i="44" s="1"/>
  <c r="O106" i="44" s="1"/>
  <c r="O107" i="44" l="1"/>
  <c r="O108" i="44" s="1"/>
  <c r="O109" i="44" s="1"/>
  <c r="O110" i="44" s="1"/>
  <c r="O111" i="44" s="1"/>
  <c r="O114" i="44" s="1"/>
  <c r="O115" i="44" s="1"/>
  <c r="O116" i="44" s="1"/>
  <c r="O117" i="44" s="1"/>
  <c r="O118" i="44" s="1"/>
  <c r="O119" i="44" s="1"/>
  <c r="O120" i="44" s="1"/>
  <c r="O121" i="44" s="1"/>
  <c r="O122" i="44" s="1"/>
  <c r="O123" i="44" s="1"/>
  <c r="O124" i="44" s="1"/>
  <c r="O125" i="44" s="1"/>
  <c r="O126" i="44" s="1"/>
  <c r="O127" i="44" s="1"/>
  <c r="O128" i="44" s="1"/>
  <c r="O129" i="44" s="1"/>
  <c r="O130" i="44" s="1"/>
  <c r="O131" i="44" s="1"/>
  <c r="O132" i="44" s="1"/>
  <c r="O133" i="44" s="1"/>
  <c r="O212" i="44" s="1"/>
  <c r="O213" i="44" s="1"/>
  <c r="O221" i="44" s="1"/>
  <c r="O222" i="44" s="1"/>
  <c r="O232" i="44" s="1"/>
  <c r="O239" i="44" s="1"/>
  <c r="O240" i="44" s="1"/>
  <c r="O254" i="44" s="1"/>
  <c r="O266" i="44" s="1"/>
  <c r="O295" i="44" s="1"/>
  <c r="O326" i="44" s="1"/>
  <c r="O327" i="44" s="1"/>
  <c r="O332" i="4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<sst xmlns="http://schemas.openxmlformats.org/spreadsheetml/2006/main" count="1343" uniqueCount="587">
  <si>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</si>
  <si>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</si>
  <si>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</si>
  <si>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</si>
  <si>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</si>
  <si>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</si>
  <si>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</si>
  <si>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</si>
  <si>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</si>
  <si>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</si>
  <si>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</si>
  <si>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</si>
  <si>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</si>
  <si>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</si>
  <si>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</si>
  <si>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</si>
  <si>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</si>
  <si>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</si>
  <si>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</si>
  <si>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</si>
  <si>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</si>
  <si>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</si>
  <si>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</si>
  <si>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</si>
  <si>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</si>
  <si>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</si>
  <si>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</si>
  <si>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</si>
  <si>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</si>
  <si>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</si>
  <si>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</si>
  <si>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</si>
  <si>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</si>
  <si>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</si>
  <si>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</si>
  <si>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</si>
  <si>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</si>
  <si>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</si>
  <si>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</si>
  <si>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</si>
  <si>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</si>
  <si>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</si>
  <si>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</si>
  <si>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</si>
  <si>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</si>
  <si>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</si>
  <si>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</si>
  <si>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</si>
  <si>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</si>
  <si>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</si>
  <si>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</si>
  <si>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</si>
  <si>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</si>
  <si>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</si>
  <si>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</si>
  <si>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</si>
  <si>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</si>
  <si>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</si>
  <si>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</si>
  <si>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</si>
  <si>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</si>
  <si>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</si>
  <si>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</si>
  <si>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</si>
  <si>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</si>
  <si>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</si>
  <si>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</si>
  <si>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</si>
  <si>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</si>
  <si>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</si>
  <si>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</si>
  <si>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</si>
  <si>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</si>
  <si>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</si>
  <si>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</si>
  <si>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</si>
  <si>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</si>
  <si>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</si>
  <si>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</si>
  <si>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</si>
  <si>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</si>
  <si>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</si>
  <si>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</si>
  <si>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</si>
  <si>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</si>
  <si>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</si>
  <si>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</si>
  <si>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</si>
  <si>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</si>
  <si>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</si>
  <si>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</si>
  <si>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</si>
  <si>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</si>
  <si>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</si>
  <si>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</si>
  <si>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</si>
  <si>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</si>
  <si>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</si>
  <si>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</si>
  <si>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</si>
  <si>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</si>
  <si>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</si>
  <si>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</si>
  <si>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</si>
  <si>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</si>
  <si>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</si>
  <si>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</si>
  <si>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</si>
  <si>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</si>
  <si>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</si>
  <si>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</si>
  <si>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</si>
  <si>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</si>
  <si>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</si>
  <si>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</si>
  <si>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</si>
  <si>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</si>
  <si>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</si>
  <si>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</si>
  <si>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</si>
  <si>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</si>
  <si>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</si>
  <si>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</si>
  <si>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</si>
  <si>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</si>
  <si>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</si>
  <si>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</si>
  <si>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</si>
  <si>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</si>
  <si>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</si>
  <si>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</si>
  <si>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</si>
  <si>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</si>
  <si>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</si>
  <si>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</si>
  <si>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</si>
  <si>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</si>
  <si>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</si>
  <si>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</si>
  <si>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</si>
  <si>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</si>
  <si>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</si>
  <si>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</si>
  <si>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</si>
  <si>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</si>
  <si>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</si>
  <si>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</si>
  <si>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</si>
  <si>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</si>
  <si>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</si>
  <si>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</si>
  <si>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</si>
  <si>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</si>
  <si>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</si>
  <si>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</si>
  <si>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</si>
  <si>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</si>
  <si>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</si>
  <si>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</si>
  <si>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</si>
  <si>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</si>
  <si>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</si>
  <si>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</si>
  <si>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</si>
  <si>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</si>
  <si>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</si>
  <si>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</si>
  <si>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</si>
  <si>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</si>
  <si>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</si>
  <si>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</si>
  <si>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</si>
  <si>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</si>
  <si>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</si>
  <si>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</si>
  <si>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</si>
  <si>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</si>
  <si>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</si>
  <si>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</si>
  <si>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</si>
  <si>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</si>
  <si>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</si>
  <si>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</si>
  <si>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</si>
  <si>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</si>
  <si>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</si>
  <si>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</si>
  <si>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</si>
  <si>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</si>
  <si>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</si>
  <si>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</si>
  <si>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</si>
  <si>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</si>
  <si>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</si>
  <si>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</si>
  <si>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</si>
  <si>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</si>
  <si>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</si>
  <si>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</si>
  <si>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</si>
  <si>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</si>
  <si>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</si>
  <si>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</si>
  <si>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</si>
  <si>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</si>
  <si>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</si>
  <si>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</si>
  <si>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</si>
  <si>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</si>
  <si>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</si>
  <si>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</si>
  <si>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</si>
  <si>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</si>
  <si>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</si>
  <si>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</si>
  <si>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</si>
  <si>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</si>
  <si>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</si>
  <si>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</si>
  <si>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</si>
  <si>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</si>
  <si>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</si>
  <si>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</si>
  <si>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</si>
  <si>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</si>
  <si>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</si>
  <si>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</si>
  <si>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</si>
  <si>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</si>
  <si>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</si>
  <si>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</si>
  <si>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</si>
  <si>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</si>
  <si>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</si>
  <si>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</si>
  <si>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</si>
  <si>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</si>
  <si>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</si>
  <si>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</si>
  <si>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</si>
  <si>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</si>
  <si>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</si>
  <si>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</si>
  <si>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</si>
  <si>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</si>
  <si>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</si>
  <si>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</si>
  <si>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</si>
  <si>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</si>
  <si>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</si>
  <si>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</si>
  <si>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</si>
  <si>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</si>
  <si>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</si>
  <si>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</si>
  <si>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</si>
  <si>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</si>
  <si>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</si>
  <si>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</si>
  <si>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</si>
  <si>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</si>
  <si>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</si>
  <si>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</si>
  <si>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</si>
  <si>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</si>
  <si>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</si>
  <si>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</si>
  <si>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</si>
  <si>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</si>
  <si>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</si>
  <si>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</si>
  <si>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</si>
  <si>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</si>
  <si>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</si>
  <si>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</si>
  <si>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</si>
  <si>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</si>
  <si>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</si>
  <si>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</si>
  <si>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</si>
  <si>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</si>
  <si>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</si>
  <si>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</si>
  <si>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</si>
  <si>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</si>
  <si>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</si>
  <si>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</si>
  <si>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</si>
  <si>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</si>
  <si>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</si>
  <si>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</si>
  <si>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</si>
  <si>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</si>
  <si>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</si>
  <si>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</si>
  <si>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</si>
  <si>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</si>
  <si>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</si>
  <si>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</si>
  <si>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</si>
  <si>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</si>
  <si>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</si>
  <si>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</si>
  <si>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</si>
  <si>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</si>
  <si>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</si>
  <si>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</si>
  <si>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</si>
  <si>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</si>
  <si>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</si>
  <si>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</si>
  <si>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</si>
  <si>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</si>
  <si>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</si>
  <si>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</si>
  <si>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</si>
  <si>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</si>
  <si>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</si>
  <si>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</si>
  <si>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</si>
  <si>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</si>
  <si>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</si>
  <si>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</si>
  <si>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</si>
  <si>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</si>
  <si>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</si>
  <si>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</si>
  <si>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</si>
  <si>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</si>
  <si>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</si>
  <si>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</si>
  <si>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</si>
  <si>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</si>
  <si>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</si>
  <si>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</si>
  <si>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</si>
  <si>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</si>
  <si>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</si>
  <si>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</si>
  <si>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</si>
  <si>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</si>
  <si>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</si>
  <si>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</si>
  <si>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</si>
  <si>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</si>
  <si>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</si>
  <si>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</si>
  <si>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</si>
  <si>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</si>
  <si>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</si>
  <si>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</si>
  <si>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</si>
  <si>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</si>
  <si>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</si>
  <si>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</si>
  <si>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</si>
  <si>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</si>
  <si>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</si>
  <si>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</si>
  <si>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</si>
  <si>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</si>
  <si>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</si>
  <si>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</si>
  <si>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</si>
  <si>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</si>
  <si>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</si>
  <si>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</si>
  <si>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</si>
  <si>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</si>
  <si>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</si>
  <si>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</si>
  <si>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</si>
  <si>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</si>
  <si>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</si>
  <si>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</si>
  <si>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</si>
  <si>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</si>
  <si>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</si>
  <si>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</si>
  <si>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</si>
  <si>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</si>
  <si>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</si>
  <si>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</si>
  <si>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</si>
  <si>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</si>
  <si>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</si>
  <si>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</si>
  <si>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</si>
  <si>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</si>
  <si>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</si>
  <si>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</si>
  <si>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</si>
  <si>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</si>
  <si>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</si>
  <si>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</si>
  <si>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</si>
  <si>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</si>
  <si>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</si>
  <si>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</si>
  <si>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</si>
  <si>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</si>
  <si>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</si>
  <si>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</si>
  <si>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</si>
  <si>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</si>
  <si>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</si>
  <si>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</si>
  <si>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</si>
  <si>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</si>
  <si>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</si>
  <si>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</si>
  <si>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</si>
  <si>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</si>
  <si>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</si>
  <si>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</si>
  <si>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</si>
  <si>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</si>
  <si>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</si>
  <si>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</si>
  <si>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</si>
  <si>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</si>
  <si>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</si>
  <si>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</si>
  <si>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</si>
  <si>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</si>
  <si>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</si>
  <si>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</si>
  <si>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</si>
  <si>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</si>
  <si>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</si>
  <si>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</si>
  <si>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</si>
  <si>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</si>
  <si>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</si>
  <si>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</si>
  <si>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</si>
  <si>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</si>
  <si>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</si>
  <si>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</si>
  <si>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</si>
  <si>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</si>
  <si>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</si>
  <si>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</si>
  <si>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</si>
  <si>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</si>
  <si>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</si>
  <si>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</si>
  <si>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</si>
  <si>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</si>
  <si>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</si>
  <si>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</si>
  <si>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</si>
  <si>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</si>
  <si>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</si>
  <si>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</si>
  <si>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</si>
  <si>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</si>
  <si>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</si>
  <si>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</si>
  <si>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</si>
  <si>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</si>
  <si>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</si>
  <si>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</si>
  <si>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</si>
  <si>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</si>
  <si>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</si>
  <si>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</si>
  <si>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</si>
  <si>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</si>
  <si>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</si>
  <si>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</si>
  <si>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</si>
  <si>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</si>
  <si>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</si>
  <si>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</si>
  <si>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</si>
  <si>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</si>
  <si>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</si>
  <si>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</si>
  <si>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</si>
  <si>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</si>
  <si>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</si>
  <si>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</si>
  <si>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</si>
  <si>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</si>
  <si>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</si>
  <si>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</si>
  <si>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</si>
  <si>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</si>
  <si>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</si>
  <si>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</si>
  <si>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</si>
  <si>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</si>
  <si>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</si>
  <si>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</si>
  <si>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</si>
  <si>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</si>
  <si>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</si>
  <si>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</si>
  <si>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</si>
  <si>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</si>
  <si>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</si>
  <si>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</si>
  <si>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</si>
  <si>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</si>
  <si>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</si>
  <si>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</si>
  <si>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</si>
  <si>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</si>
  <si>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</si>
  <si>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</si>
  <si>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</si>
  <si>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</si>
  <si>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</si>
  <si>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</si>
  <si>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</si>
  <si>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</si>
  <si>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</si>
  <si>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</si>
  <si>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</si>
  <si>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</si>
  <si>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</si>
  <si>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</si>
  <si>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</si>
  <si>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</si>
  <si>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</si>
  <si>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</si>
  <si>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</si>
  <si>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</si>
  <si>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</si>
  <si>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</si>
  <si>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</si>
  <si>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</si>
  <si>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</si>
  <si>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</si>
  <si>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</si>
  <si>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</si>
  <si>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</si>
  <si>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</si>
  <si>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</si>
  <si>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</si>
  <si>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</si>
  <si>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</si>
  <si>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</si>
  <si>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</si>
  <si>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</si>
  <si>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</si>
  <si>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</si>
  <si>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</si>
  <si>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</si>
  <si>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</si>
  <si>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</si>
  <si>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</si>
  <si>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</si>
  <si>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</si>
  <si>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</si>
  <si>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</si>
  <si>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</si>
  <si>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</si>
  <si>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</si>
  <si>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</si>
  <si>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</si>
  <si>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</si>
  <si>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</si>
  <si>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</si>
  <si>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</si>
  <si>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</si>
  <si>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</si>
  <si>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</si>
  <si>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</si>
  <si>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 of Options Exercised</t>
  </si>
  <si>
    <t>Calculation to allow for options or warrants to not be executed based on price per share for each exit valuation. There is prebuilt logic here, but you may have to adjust for your particular situation</t>
  </si>
  <si>
    <t># of Options Not Exercised</t>
  </si>
  <si>
    <t>Optional: If Options, Strike Price</t>
  </si>
  <si>
    <t>Total Issued and Outstanding Shares</t>
  </si>
  <si>
    <t>% of Issued and Outstanding Shares</t>
  </si>
  <si>
    <t>v 2.56 - 29 May 2020</t>
  </si>
  <si>
    <t>Exit Waterfall - changed % of options exercised calc to use common share price instead of blended overall share price</t>
  </si>
  <si>
    <t>expectation is that each note - or similar notes summed to total investment - are on their own rows</t>
  </si>
  <si>
    <t>this is to capture debt repayments (convertible notes, etc.) that are not captured through the distribution to equity shareholders. This is a manual calculation because of the complexity in calculating at different exit valuations, but many debt repayments are highly specific to the situation and may need to be adjusted.</t>
  </si>
  <si>
    <t>Exit Waterfall - moved the structure for handling unconverted convertible notes. This is manual; structuring this for each note under the specific terms of the note and testing for the different specific methods can be hard for convertible notes.</t>
  </si>
  <si>
    <t>SCENARIOS</t>
  </si>
  <si>
    <t>For scenarios, I like to leverage Excel and Google Sheets Add-ins to built out scenarios and analyze outputs based on distributions of assumptions.</t>
  </si>
  <si>
    <t>One tool I like is Causal - https://causal.app - which also has add-ins for Excel and Google Sheets. They can be installed into your Excel or Google Sheets, just click on the images below.</t>
  </si>
  <si>
    <t>Here's how to use it (instructions are for Google Sheets, same applies to Excel): https://www.causal.app/blog/google-sheets-add-on</t>
  </si>
  <si>
    <t>More at https://foresight.is/learn/scenarios</t>
  </si>
  <si>
    <t>There are many ways to use scenarios to help understand the impact of the inputs. One common way to use this is to vary round valuations on the cap table to see the impact on proceeds at exit on the exit waterfall.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</si>
</sst>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
      <patternFill patternType="solid">
        <fgColor theme="4"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60">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43" fontId="33" fillId="5" borderId="0" xfId="1" applyFont="1" applyFill="1"/>
    <xf numFmtId="14" fontId="34" fillId="0" borderId="0" xfId="1" applyNumberFormat="1" applyFont="1" applyFill="1" applyAlignment="1">
      <alignment horizontal="right"/>
    </xf>
    <xf numFmtId="43" fontId="33" fillId="5" borderId="0" xfId="5730" applyFont="1" applyFill="1"/>
    <xf numFmtId="164" fontId="31" fillId="0" borderId="0" xfId="5730" applyNumberFormat="1" applyFont="1" applyBorder="1" applyAlignment="1">
      <alignment horizontal="center"/>
    </xf>
    <xf numFmtId="0" fontId="31" fillId="6" borderId="0" xfId="5927" applyFont="1" applyFill="1"/>
    <xf numFmtId="0" fontId="26" fillId="6" borderId="0" xfId="5732" applyFont="1" applyFill="1"/>
    <xf numFmtId="0" fontId="31" fillId="6" borderId="0" xfId="5732" applyFont="1" applyFill="1"/>
    <xf numFmtId="0" fontId="31" fillId="6" borderId="0" xfId="5732" applyFont="1" applyFill="1" applyAlignment="1">
      <alignment wrapText="1"/>
    </xf>
    <xf numFmtId="0" fontId="31" fillId="6" borderId="0" xfId="5928" applyFont="1" applyFill="1" applyAlignment="1" applyProtection="1">
      <alignment wrapText="1"/>
      <protection hidden="1"/>
    </xf>
    <xf numFmtId="0" fontId="38" fillId="6" borderId="0" xfId="5928" applyFont="1" applyFill="1" applyAlignment="1" applyProtection="1">
      <alignment wrapText="1"/>
      <protection hidden="1"/>
    </xf>
    <xf numFmtId="0" fontId="37" fillId="6" borderId="0" xfId="5927" applyFont="1" applyFill="1"/>
    <xf numFmtId="0" fontId="37" fillId="6" borderId="0" xfId="5927" applyFont="1" applyFill="1" applyAlignment="1">
      <alignment vertical="top" wrapText="1"/>
    </xf>
    <xf numFmtId="0" fontId="31" fillId="6" borderId="0" xfId="5732" applyFont="1" applyFill="1" applyAlignment="1" applyProtection="1">
      <alignment wrapText="1"/>
      <protection hidden="1"/>
    </xf>
    <xf numFmtId="0" fontId="31" fillId="6" borderId="0" xfId="5927" applyFont="1" applyFill="1" applyAlignment="1">
      <alignment vertical="top" wrapText="1"/>
    </xf>
    <xf numFmtId="0" fontId="37" fillId="6" borderId="0" xfId="5927" applyFont="1" applyFill="1" applyAlignment="1">
      <alignment wrapText="1"/>
    </xf>
    <xf numFmtId="0" fontId="26" fillId="6" borderId="0" xfId="5927" applyFont="1" applyFill="1" applyAlignment="1">
      <alignment wrapText="1"/>
    </xf>
    <xf numFmtId="0" fontId="31" fillId="6" borderId="0" xfId="5927" applyFont="1" applyFill="1" applyAlignment="1">
      <alignment wrapText="1"/>
    </xf>
    <xf numFmtId="0" fontId="31" fillId="6" borderId="0" xfId="1524" applyFont="1" applyFill="1" applyAlignment="1">
      <alignment wrapText="1"/>
    </xf>
    <xf numFmtId="0" fontId="31" fillId="6" borderId="0" xfId="5927" applyFont="1" applyFill="1" applyAlignment="1">
      <alignment horizontal="left" vertical="top" wrapText="1"/>
    </xf>
    <xf numFmtId="0" fontId="26" fillId="6" borderId="0" xfId="1524" applyFont="1" applyFill="1" applyAlignment="1">
      <alignment wrapText="1"/>
    </xf>
    <xf numFmtId="0" fontId="26" fillId="6" borderId="0" xfId="5927" applyFont="1" applyFill="1"/>
    <xf numFmtId="43" fontId="32" fillId="0" borderId="0" xfId="5730" applyFont="1" applyBorder="1" applyAlignment="1">
      <alignment horizontal="left"/>
    </xf>
    <xf numFmtId="43" fontId="26" fillId="0" borderId="0" xfId="5730" applyFont="1" applyFill="1"/>
    <xf numFmtId="164" fontId="33" fillId="0" borderId="0" xfId="5730" applyNumberFormat="1" applyFont="1" applyFill="1"/>
    <xf numFmtId="0" fontId="32" fillId="0" borderId="0" xfId="5929" applyFont="1" applyFill="1"/>
    <xf numFmtId="43" fontId="35" fillId="0" borderId="0" xfId="5730" applyFont="1" applyFill="1"/>
    <xf numFmtId="0" fontId="31" fillId="0" borderId="0" xfId="5929" applyFont="1" applyFill="1"/>
    <xf numFmtId="43" fontId="31" fillId="0" borderId="0" xfId="5929" applyNumberFormat="1" applyFont="1" applyFill="1"/>
    <xf numFmtId="43" fontId="32" fillId="0" borderId="0" xfId="5930" applyFont="1" applyFill="1"/>
    <xf numFmtId="0" fontId="35" fillId="0" borderId="0" xfId="5929" applyFont="1" applyFill="1"/>
    <xf numFmtId="164" fontId="31" fillId="0" borderId="0" xfId="5929" applyNumberFormat="1" applyFont="1" applyFill="1"/>
    <xf numFmtId="164" fontId="32" fillId="0" borderId="0" xfId="5929" applyNumberFormat="1" applyFont="1" applyFill="1"/>
    <xf numFmtId="0" fontId="31" fillId="0" borderId="0" xfId="5929" applyFont="1" applyFill="1" applyAlignment="1">
      <alignment horizontal="left"/>
    </xf>
    <xf numFmtId="164" fontId="31" fillId="0" borderId="0" xfId="5730" applyNumberFormat="1" applyFont="1" applyAlignment="1">
      <alignment horizontal="left"/>
    </xf>
    <xf numFmtId="164" fontId="31" fillId="0" borderId="0" xfId="5929" applyNumberFormat="1" applyFont="1" applyBorder="1"/>
    <xf numFmtId="41" fontId="18" fillId="0" borderId="0" xfId="5473" applyNumberFormat="1" applyFont="1"/>
    <xf numFmtId="41" fontId="17" fillId="0" borderId="0" xfId="5473" applyNumberFormat="1" applyFont="1" applyAlignment="1">
      <alignment horizontal="center"/>
    </xf>
    <xf numFmtId="41" fontId="17" fillId="0" borderId="0" xfId="3899" applyNumberFormat="1" applyFont="1"/>
    <xf numFmtId="168" fontId="17" fillId="0" borderId="0" xfId="5473" applyFont="1"/>
    <xf numFmtId="41" fontId="17" fillId="0" borderId="0" xfId="5473" applyNumberFormat="1" applyFont="1" applyAlignment="1">
      <alignment horizontal="left"/>
    </xf>
    <xf numFmtId="168" fontId="31" fillId="0" borderId="0" xfId="5473" applyFont="1"/>
    <xf numFmtId="168" fontId="17" fillId="0" borderId="0" xfId="5473" applyFont="1" applyAlignment="1">
      <alignment horizontal="center"/>
    </xf>
    <xf numFmtId="0" fontId="17" fillId="0" borderId="0" xfId="3899" applyFont="1"/>
    <xf numFmtId="168" fontId="17" fillId="0" borderId="0" xfId="5473" applyFont="1" applyAlignment="1">
      <alignment horizontal="left"/>
    </xf>
    <xf numFmtId="168" fontId="26" fillId="0" borderId="0" xfId="5473" applyFont="1"/>
    <xf numFmtId="168" fontId="18" fillId="0" borderId="0" xfId="5473" applyFont="1"/>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F58-EF49-A926-C71F41249B3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F58-EF49-A926-C71F41249B3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F58-EF49-A926-C71F41249B3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F58-EF49-A926-C71F41249B3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F58-EF49-A926-C71F41249B3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Waterfall'!$B$216</c:f>
              <c:strCache>
                <c:ptCount val="1"/>
                <c:pt idx="0">
                  <c:v> Preferred, C </c:v>
                </c:pt>
              </c:strCache>
            </c:strRef>
          </c:tx>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829-3340-869E-1BD4C93041A9}"/>
            </c:ext>
          </c:extLst>
        </c:ser>
        <c:ser>
          <c:idx val="1"/>
          <c:order val="1"/>
          <c:tx>
            <c:strRef>
              <c:f>'5 - Exit Waterfall'!$B$217</c:f>
              <c:strCache>
                <c:ptCount val="1"/>
                <c:pt idx="0">
                  <c:v> Preferred, B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829-3340-869E-1BD4C93041A9}"/>
            </c:ext>
          </c:extLst>
        </c:ser>
        <c:ser>
          <c:idx val="2"/>
          <c:order val="2"/>
          <c:tx>
            <c:strRef>
              <c:f>'5 - Exit Waterfall'!$B$218</c:f>
              <c:strCache>
                <c:ptCount val="1"/>
                <c:pt idx="0">
                  <c:v> Preferred, A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829-3340-869E-1BD4C93041A9}"/>
            </c:ext>
          </c:extLst>
        </c:ser>
        <c:ser>
          <c:idx val="3"/>
          <c:order val="3"/>
          <c:tx>
            <c:strRef>
              <c:f>'5 - Exit Waterfall'!$B$219</c:f>
              <c:strCache>
                <c:ptCount val="1"/>
                <c:pt idx="0">
                  <c:v> Preferred, Seed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829-3340-869E-1BD4C93041A9}"/>
            </c:ext>
          </c:extLst>
        </c:ser>
        <c:ser>
          <c:idx val="4"/>
          <c:order val="4"/>
          <c:tx>
            <c:strRef>
              <c:f>'5 - Exit Waterfall'!$B$220</c:f>
              <c:strCache>
                <c:ptCount val="1"/>
                <c:pt idx="0">
                  <c:v> Common (including Options) </c:v>
                </c:pt>
              </c:strCache>
            </c:strRef>
          </c:tx>
          <c:spPr>
            <a:ln w="25400">
              <a:noFill/>
            </a:ln>
          </c:spPr>
          <c:cat>
            <c:numRef>
              <c:f>'5 - Exit Waterfall'!$G$91:$M$91</c:f>
              <c:numCache>
                <c:formatCode>_(* #,##0_);_(* \(#,##0\);_(* "-"??_);_(@_)</c:formatCode>
                <c:ptCount val="7"/>
                <c:pt idx="0">
                  <c:v>0</c:v>
                </c:pt>
                <c:pt idx="1">
                  <c:v>0</c:v>
                </c:pt>
                <c:pt idx="2">
                  <c:v>0</c:v>
                </c:pt>
                <c:pt idx="3">
                  <c:v>0</c:v>
                </c:pt>
                <c:pt idx="4">
                  <c:v>0</c:v>
                </c:pt>
                <c:pt idx="5">
                  <c:v>0</c:v>
                </c:pt>
                <c:pt idx="6">
                  <c:v>0</c:v>
                </c:pt>
              </c:numCache>
            </c:numRef>
          </c:cat>
          <c:val>
            <c:numRef>
              <c:f>'5 - Exit Waterfall'!$G$220:$M$220</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829-3340-869E-1BD4C93041A9}"/>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s://appsource.microsoft.com/en-us/product/office/WA200001657?tab=Overview" TargetMode="External"/><Relationship Id="rId2" Type="http://schemas.openxmlformats.org/officeDocument/2006/relationships/image" Target="../media/image1.png"/><Relationship Id="rId1" Type="http://schemas.openxmlformats.org/officeDocument/2006/relationships/hyperlink" Target="https://www.causal.app/" TargetMode="External"/><Relationship Id="rId6" Type="http://schemas.openxmlformats.org/officeDocument/2006/relationships/image" Target="../media/image3.png"/><Relationship Id="rId5" Type="http://schemas.openxmlformats.org/officeDocument/2006/relationships/hyperlink" Target="https://gsuite.google.com/marketplace/app/causal_scenarios/383280853562"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10</xdr:col>
      <xdr:colOff>600264</xdr:colOff>
      <xdr:row>17</xdr:row>
      <xdr:rowOff>190500</xdr:rowOff>
    </xdr:to>
    <xdr:pic>
      <xdr:nvPicPr>
        <xdr:cNvPr id="2" name="Picture 1">
          <a:hlinkClick xmlns:r="http://schemas.openxmlformats.org/officeDocument/2006/relationships" r:id="rId1"/>
          <a:extLst>
            <a:ext uri="{FF2B5EF4-FFF2-40B4-BE49-F238E27FC236}">
              <a16:creationId xmlns:a16="http://schemas.microsoft.com/office/drawing/2014/main" id="{B38A6595-9BFD-5848-8C01-24705E847EAF}"/>
            </a:ext>
          </a:extLst>
        </xdr:cNvPr>
        <xdr:cNvPicPr>
          <a:picLocks noChangeAspect="1"/>
        </xdr:cNvPicPr>
      </xdr:nvPicPr>
      <xdr:blipFill>
        <a:blip xmlns:r="http://schemas.openxmlformats.org/officeDocument/2006/relationships" r:embed="rId2"/>
        <a:stretch>
          <a:fillRect/>
        </a:stretch>
      </xdr:blipFill>
      <xdr:spPr>
        <a:xfrm>
          <a:off x="241300" y="1371600"/>
          <a:ext cx="10874564" cy="2349500"/>
        </a:xfrm>
        <a:prstGeom prst="rect">
          <a:avLst/>
        </a:prstGeom>
      </xdr:spPr>
    </xdr:pic>
    <xdr:clientData/>
  </xdr:twoCellAnchor>
  <xdr:twoCellAnchor editAs="oneCell">
    <xdr:from>
      <xdr:col>2</xdr:col>
      <xdr:colOff>266700</xdr:colOff>
      <xdr:row>18</xdr:row>
      <xdr:rowOff>76200</xdr:rowOff>
    </xdr:from>
    <xdr:to>
      <xdr:col>4</xdr:col>
      <xdr:colOff>1041400</xdr:colOff>
      <xdr:row>21</xdr:row>
      <xdr:rowOff>127000</xdr:rowOff>
    </xdr:to>
    <xdr:pic>
      <xdr:nvPicPr>
        <xdr:cNvPr id="3" name="Picture 2">
          <a:hlinkClick xmlns:r="http://schemas.openxmlformats.org/officeDocument/2006/relationships" r:id="rId3"/>
          <a:extLst>
            <a:ext uri="{FF2B5EF4-FFF2-40B4-BE49-F238E27FC236}">
              <a16:creationId xmlns:a16="http://schemas.microsoft.com/office/drawing/2014/main" id="{519408C9-1EB2-7A4D-A358-DD067EF9E822}"/>
            </a:ext>
          </a:extLst>
        </xdr:cNvPr>
        <xdr:cNvPicPr>
          <a:picLocks noChangeAspect="1"/>
        </xdr:cNvPicPr>
      </xdr:nvPicPr>
      <xdr:blipFill>
        <a:blip xmlns:r="http://schemas.openxmlformats.org/officeDocument/2006/relationships" r:embed="rId4"/>
        <a:stretch>
          <a:fillRect/>
        </a:stretch>
      </xdr:blipFill>
      <xdr:spPr>
        <a:xfrm>
          <a:off x="3759200" y="3822700"/>
          <a:ext cx="2298700" cy="698500"/>
        </a:xfrm>
        <a:prstGeom prst="rect">
          <a:avLst/>
        </a:prstGeom>
      </xdr:spPr>
    </xdr:pic>
    <xdr:clientData/>
  </xdr:twoCellAnchor>
  <xdr:twoCellAnchor editAs="oneCell">
    <xdr:from>
      <xdr:col>5</xdr:col>
      <xdr:colOff>165100</xdr:colOff>
      <xdr:row>18</xdr:row>
      <xdr:rowOff>76200</xdr:rowOff>
    </xdr:from>
    <xdr:to>
      <xdr:col>7</xdr:col>
      <xdr:colOff>520700</xdr:colOff>
      <xdr:row>21</xdr:row>
      <xdr:rowOff>127000</xdr:rowOff>
    </xdr:to>
    <xdr:pic>
      <xdr:nvPicPr>
        <xdr:cNvPr id="4" name="Picture 3">
          <a:hlinkClick xmlns:r="http://schemas.openxmlformats.org/officeDocument/2006/relationships" r:id="rId5"/>
          <a:extLst>
            <a:ext uri="{FF2B5EF4-FFF2-40B4-BE49-F238E27FC236}">
              <a16:creationId xmlns:a16="http://schemas.microsoft.com/office/drawing/2014/main" id="{3D63DB25-1C8C-0643-B745-5AD215EEB69D}"/>
            </a:ext>
          </a:extLst>
        </xdr:cNvPr>
        <xdr:cNvPicPr>
          <a:picLocks noChangeAspect="1"/>
        </xdr:cNvPicPr>
      </xdr:nvPicPr>
      <xdr:blipFill>
        <a:blip xmlns:r="http://schemas.openxmlformats.org/officeDocument/2006/relationships" r:embed="rId6"/>
        <a:stretch>
          <a:fillRect/>
        </a:stretch>
      </xdr:blipFill>
      <xdr:spPr>
        <a:xfrm>
          <a:off x="6235700" y="3822700"/>
          <a:ext cx="2298700" cy="698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264</xdr:row>
      <xdr:rowOff>76200</xdr:rowOff>
    </xdr:from>
    <xdr:to>
      <xdr:col>12</xdr:col>
      <xdr:colOff>1206500</xdr:colOff>
      <xdr:row>290</xdr:row>
      <xdr:rowOff>127000</xdr:rowOff>
    </xdr:to>
    <xdr:graphicFrame macro="">
      <xdr:nvGraphicFramePr>
        <xdr:cNvPr id="2" name="Chart 1">
          <a:extLst>
            <a:ext uri="{FF2B5EF4-FFF2-40B4-BE49-F238E27FC236}">
              <a16:creationId xmlns:a16="http://schemas.microsoft.com/office/drawing/2014/main" id="{1A77E364-707F-B841-AE2A-4B8CC7800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293</xdr:row>
      <xdr:rowOff>12700</xdr:rowOff>
    </xdr:from>
    <xdr:to>
      <xdr:col>13</xdr:col>
      <xdr:colOff>0</xdr:colOff>
      <xdr:row>323</xdr:row>
      <xdr:rowOff>139700</xdr:rowOff>
    </xdr:to>
    <xdr:graphicFrame macro="">
      <xdr:nvGraphicFramePr>
        <xdr:cNvPr id="3" name="Chart 2">
          <a:extLst>
            <a:ext uri="{FF2B5EF4-FFF2-40B4-BE49-F238E27FC236}">
              <a16:creationId xmlns:a16="http://schemas.microsoft.com/office/drawing/2014/main" id="{F6438B95-E796-634A-8494-D781D7084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ylordavidson/Dropbox/Unstructured%20Ventures/3%20-%20Archived%20Projects/Eggy/adtones_pl_2018-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tones_pl_2018-1.xlsx"/>
      <sheetName val="balance"/>
      <sheetName val="adtones_pl_2018-1"/>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B7" sqref="B7"/>
    </sheetView>
  </sheetViews>
  <sheetFormatPr baseColWidth="10" defaultColWidth="9" defaultRowHeight="20"/>
  <cols>
    <col min="1" max="1" width="6.33203125" style="218" customWidth="1"/>
    <col min="2" max="2" width="79" style="218" customWidth="1"/>
    <col min="3" max="3" width="15.5" style="218" customWidth="1"/>
    <col min="4" max="4" width="87" style="218" customWidth="1"/>
    <col min="5" max="16384" width="9" style="218"/>
  </cols>
  <sheetData>
    <row r="2" spans="2:4">
      <c r="B2" s="219" t="str">
        <f>UPPER(B42)&amp;" "&amp;UPPER(B43)&amp;" "&amp;UPPER(B44)&amp;" "&amp;IF(ISBLANK(B45),""," FOR "&amp;UPPER(B45))</f>
        <v xml:space="preserve">CAP TABLE TOOL </v>
      </c>
      <c r="C2" s="219"/>
    </row>
    <row r="3" spans="2:4">
      <c r="B3" s="220"/>
      <c r="C3" s="220"/>
    </row>
    <row r="4" spans="2:4" ht="21">
      <c r="B4" s="221" t="s">
        <v>0</v>
      </c>
      <c r="C4" s="221"/>
    </row>
    <row r="5" spans="2:4" ht="21">
      <c r="B5" s="221" t="str">
        <f>"See more models at "&amp;"https://"&amp;B46</f>
        <v>See more models at https://foresight.is</v>
      </c>
      <c r="C5" s="221"/>
    </row>
    <row r="6" spans="2:4" ht="21">
      <c r="B6" s="221" t="str">
        <f>B47&amp;"@"&amp;B46&amp;" - @tdavidson"</f>
        <v>hello@foresight.is - @tdavidson</v>
      </c>
      <c r="C6" s="221"/>
    </row>
    <row r="7" spans="2:4" ht="21">
      <c r="B7" s="222" t="str">
        <f>"Questions, comments, ideas, email "&amp;B47&amp;"@"&amp;B46</f>
        <v>Questions, comments, ideas, email hello@foresight.is</v>
      </c>
      <c r="C7" s="222"/>
    </row>
    <row r="8" spans="2:4" ht="21">
      <c r="B8" s="223" t="s">
        <v>325</v>
      </c>
      <c r="C8" s="223"/>
    </row>
    <row r="10" spans="2:4" ht="22" customHeight="1"/>
    <row r="11" spans="2:4" ht="22" customHeight="1">
      <c r="B11" s="224" t="s">
        <v>326</v>
      </c>
      <c r="D11" s="225" t="s">
        <v>327</v>
      </c>
    </row>
    <row r="12" spans="2:4" ht="22" customHeight="1">
      <c r="B12" s="226" t="str">
        <f>"License at https://"&amp;B46&amp;"/license"</f>
        <v>License at https://foresight.is/license</v>
      </c>
      <c r="D12" s="227" t="s">
        <v>328</v>
      </c>
    </row>
    <row r="13" spans="2:4" ht="22" customHeight="1">
      <c r="B13" s="222" t="s">
        <v>329</v>
      </c>
      <c r="D13" s="227" t="str">
        <f>"Get updates at https://"&amp;B46&amp;"/"&amp;B42&amp;"-"&amp;B43&amp;IF(B42&lt;&gt;"cap","-"&amp;B44,"")</f>
        <v>Get updates at https://foresight.is/cap-table</v>
      </c>
    </row>
    <row r="14" spans="2:4">
      <c r="B14" s="214" t="s">
        <v>517</v>
      </c>
      <c r="C14" s="221"/>
    </row>
    <row r="15" spans="2:4">
      <c r="B15" s="221"/>
      <c r="C15" s="221"/>
    </row>
    <row r="16" spans="2:4" ht="21">
      <c r="B16" s="228" t="s">
        <v>18</v>
      </c>
      <c r="C16" s="229"/>
      <c r="D16" s="228" t="s">
        <v>21</v>
      </c>
    </row>
    <row r="17" spans="2:4" s="230" customFormat="1" ht="409" customHeight="1">
      <c r="B17" s="227" t="s">
        <v>567</v>
      </c>
      <c r="D17" s="227" t="s">
        <v>564</v>
      </c>
    </row>
    <row r="18" spans="2:4" s="230" customFormat="1" ht="22" customHeight="1">
      <c r="B18" s="227"/>
      <c r="D18" s="227"/>
    </row>
    <row r="19" spans="2:4" s="230" customFormat="1" ht="21">
      <c r="B19" s="228" t="s">
        <v>19</v>
      </c>
      <c r="D19" s="228" t="s">
        <v>20</v>
      </c>
    </row>
    <row r="20" spans="2:4" s="230" customFormat="1" ht="113" customHeight="1">
      <c r="B20" s="227" t="s">
        <v>566</v>
      </c>
      <c r="D20" s="227"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30" customFormat="1" ht="33" customHeight="1">
      <c r="B21" s="228" t="s">
        <v>565</v>
      </c>
      <c r="D21" s="227"/>
    </row>
    <row r="22" spans="2:4" s="230" customFormat="1" ht="128" customHeight="1">
      <c r="B22" s="231" t="s">
        <v>551</v>
      </c>
      <c r="D22" s="227"/>
    </row>
    <row r="23" spans="2:4" s="230" customFormat="1" ht="40" customHeight="1">
      <c r="B23" s="231" t="s">
        <v>552</v>
      </c>
      <c r="C23" s="229"/>
    </row>
    <row r="24" spans="2:4" s="230" customFormat="1" ht="44" customHeight="1">
      <c r="B24" s="231" t="s">
        <v>553</v>
      </c>
    </row>
    <row r="25" spans="2:4" s="230" customFormat="1" ht="42">
      <c r="B25" s="231" t="s">
        <v>554</v>
      </c>
      <c r="C25" s="229"/>
    </row>
    <row r="26" spans="2:4" s="230" customFormat="1" ht="42">
      <c r="B26" s="231" t="s">
        <v>555</v>
      </c>
      <c r="C26" s="229"/>
      <c r="D26" s="227"/>
    </row>
    <row r="27" spans="2:4" s="230" customFormat="1" ht="63">
      <c r="B27" s="231" t="s">
        <v>556</v>
      </c>
      <c r="C27" s="229"/>
      <c r="D27" s="227"/>
    </row>
    <row r="28" spans="2:4" s="230" customFormat="1" ht="27" customHeight="1">
      <c r="B28" s="231" t="s">
        <v>557</v>
      </c>
      <c r="D28" s="232"/>
    </row>
    <row r="29" spans="2:4" ht="63">
      <c r="B29" s="231" t="s">
        <v>558</v>
      </c>
      <c r="C29" s="230"/>
    </row>
    <row r="30" spans="2:4" ht="46" customHeight="1">
      <c r="B30" s="231" t="s">
        <v>559</v>
      </c>
      <c r="C30" s="230"/>
    </row>
    <row r="31" spans="2:4" ht="44" customHeight="1">
      <c r="B31" s="231" t="s">
        <v>560</v>
      </c>
      <c r="C31" s="230"/>
    </row>
    <row r="32" spans="2:4" ht="42">
      <c r="B32" s="231" t="s">
        <v>561</v>
      </c>
      <c r="C32" s="230"/>
    </row>
    <row r="33" spans="2:4" ht="107" customHeight="1">
      <c r="B33" s="231" t="s">
        <v>562</v>
      </c>
      <c r="C33" s="230"/>
    </row>
    <row r="34" spans="2:4" ht="84">
      <c r="B34" s="231" t="s">
        <v>563</v>
      </c>
      <c r="C34" s="230"/>
    </row>
    <row r="35" spans="2:4">
      <c r="B35" s="231"/>
      <c r="C35" s="230"/>
    </row>
    <row r="36" spans="2:4" ht="21">
      <c r="B36" s="233" t="s">
        <v>2</v>
      </c>
      <c r="C36" s="230"/>
    </row>
    <row r="37" spans="2:4" ht="42">
      <c r="B37" s="231" t="s">
        <v>147</v>
      </c>
    </row>
    <row r="38" spans="2:4" ht="42">
      <c r="B38" s="231" t="s">
        <v>148</v>
      </c>
    </row>
    <row r="39" spans="2:4">
      <c r="B39" s="231"/>
      <c r="D39" s="231"/>
    </row>
    <row r="40" spans="2:4">
      <c r="B40" s="231"/>
      <c r="D40" s="231"/>
    </row>
    <row r="41" spans="2:4">
      <c r="B41" s="234" t="s">
        <v>330</v>
      </c>
    </row>
    <row r="42" spans="2:4">
      <c r="B42" s="218" t="s">
        <v>503</v>
      </c>
    </row>
    <row r="43" spans="2:4">
      <c r="B43" s="218" t="s">
        <v>504</v>
      </c>
    </row>
    <row r="44" spans="2:4">
      <c r="B44" s="218" t="s">
        <v>331</v>
      </c>
    </row>
    <row r="46" spans="2:4" ht="21">
      <c r="B46" s="230" t="s">
        <v>332</v>
      </c>
    </row>
    <row r="47" spans="2:4" ht="21">
      <c r="B47" s="230" t="s">
        <v>333</v>
      </c>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518</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1425F-391B-214F-A6D9-17C4B0FD2536}">
  <dimension ref="B2:I25"/>
  <sheetViews>
    <sheetView showGridLines="0" zoomScaleNormal="100" workbookViewId="0">
      <pane ySplit="2" topLeftCell="A3" activePane="bottomLeft" state="frozen"/>
      <selection pane="bottomLeft" activeCell="B5" sqref="B5"/>
    </sheetView>
  </sheetViews>
  <sheetFormatPr baseColWidth="10" defaultColWidth="9" defaultRowHeight="17"/>
  <cols>
    <col min="1" max="1" width="3.1640625" style="256" customWidth="1"/>
    <col min="2" max="2" width="42.6640625" style="252" customWidth="1"/>
    <col min="3" max="3" width="6.1640625" style="255" customWidth="1"/>
    <col min="4" max="4" width="13.83203125" style="255" customWidth="1"/>
    <col min="5" max="5" width="13.83203125" style="256" customWidth="1"/>
    <col min="6" max="6" width="13.83203125" style="252" customWidth="1"/>
    <col min="7" max="7" width="11.6640625" style="256" customWidth="1"/>
    <col min="8" max="8" width="10.6640625" style="257" customWidth="1"/>
    <col min="9" max="9" width="11.5" style="255" customWidth="1"/>
    <col min="10" max="53" width="10.6640625" style="256" customWidth="1"/>
    <col min="54" max="54" width="16.5" style="256" customWidth="1"/>
    <col min="55" max="55" width="15.6640625" style="256" customWidth="1"/>
    <col min="56" max="16384" width="9" style="256"/>
  </cols>
  <sheetData>
    <row r="2" spans="2:8" s="251" customFormat="1">
      <c r="B2" s="249" t="s">
        <v>581</v>
      </c>
      <c r="C2" s="250"/>
      <c r="D2" s="250"/>
      <c r="F2" s="252"/>
      <c r="H2" s="253"/>
    </row>
    <row r="4" spans="2:8" s="255" customFormat="1" ht="20">
      <c r="B4" s="254" t="s">
        <v>582</v>
      </c>
      <c r="E4" s="256"/>
      <c r="F4" s="252"/>
      <c r="G4" s="256"/>
      <c r="H4" s="257"/>
    </row>
    <row r="5" spans="2:8" s="255" customFormat="1" ht="20">
      <c r="B5" s="254" t="s">
        <v>586</v>
      </c>
      <c r="E5" s="256"/>
      <c r="F5" s="252"/>
      <c r="G5" s="256"/>
      <c r="H5" s="257"/>
    </row>
    <row r="6" spans="2:8" s="255" customFormat="1" ht="20">
      <c r="B6" s="254" t="s">
        <v>583</v>
      </c>
      <c r="E6" s="256"/>
      <c r="F6" s="252"/>
      <c r="G6" s="256"/>
      <c r="H6" s="257"/>
    </row>
    <row r="24" spans="2:8" s="255" customFormat="1" ht="20">
      <c r="B24" s="258" t="s">
        <v>584</v>
      </c>
      <c r="E24" s="256"/>
      <c r="F24" s="252"/>
      <c r="G24" s="256"/>
      <c r="H24" s="257"/>
    </row>
    <row r="25" spans="2:8">
      <c r="B25" s="259" t="s">
        <v>585</v>
      </c>
    </row>
  </sheetData>
  <pageMargins left="0.7" right="0.7" top="0.75" bottom="0.75" header="0.3" footer="0.3"/>
  <pageSetup scale="65" fitToHeight="3"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1" sqref="B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536</v>
      </c>
    </row>
    <row r="3" spans="2:47">
      <c r="B3" s="132" t="s">
        <v>28</v>
      </c>
    </row>
    <row r="4" spans="2:47">
      <c r="B4" s="127"/>
    </row>
    <row r="6" spans="2:47" ht="66" customHeight="1">
      <c r="B6" s="181" t="s">
        <v>25</v>
      </c>
      <c r="C6" s="182" t="s">
        <v>521</v>
      </c>
      <c r="D6" s="182" t="s">
        <v>522</v>
      </c>
      <c r="E6" s="182" t="s">
        <v>523</v>
      </c>
      <c r="F6" s="182" t="s">
        <v>289</v>
      </c>
      <c r="G6" s="183" t="s">
        <v>546</v>
      </c>
      <c r="H6" s="183" t="s">
        <v>285</v>
      </c>
      <c r="I6" s="183" t="s">
        <v>288</v>
      </c>
      <c r="K6" s="182" t="str">
        <f>L45&amp;" Investment Amount"</f>
        <v>$ Investment Amount</v>
      </c>
      <c r="L6" s="184" t="s">
        <v>1</v>
      </c>
      <c r="M6" s="184" t="s">
        <v>65</v>
      </c>
      <c r="N6" s="182" t="s">
        <v>96</v>
      </c>
      <c r="O6" s="182" t="s">
        <v>502</v>
      </c>
      <c r="P6" s="182" t="s">
        <v>568</v>
      </c>
      <c r="Q6" s="182" t="str">
        <f>L45&amp;" Share Price"</f>
        <v>$ Share Price</v>
      </c>
      <c r="R6" s="182" t="s">
        <v>85</v>
      </c>
      <c r="S6" s="182" t="s">
        <v>525</v>
      </c>
      <c r="T6" s="182" t="s">
        <v>527</v>
      </c>
      <c r="U6" s="182" t="s">
        <v>523</v>
      </c>
      <c r="V6" s="182" t="s">
        <v>289</v>
      </c>
      <c r="W6" s="182" t="str">
        <f>L45&amp;" Ownership Value"</f>
        <v>$ Ownership Value</v>
      </c>
      <c r="X6" s="183" t="s">
        <v>549</v>
      </c>
      <c r="Y6" s="183" t="s">
        <v>546</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502</v>
      </c>
      <c r="AI6" s="182" t="str">
        <f>L45&amp;" Share Price, Investment"</f>
        <v>$ Share Price, Investment</v>
      </c>
      <c r="AJ6" s="182" t="str">
        <f>L45&amp;" Share Price, Converted"</f>
        <v>$ Share Price, Converted</v>
      </c>
      <c r="AK6" s="182" t="s">
        <v>85</v>
      </c>
      <c r="AL6" s="182" t="s">
        <v>525</v>
      </c>
      <c r="AM6" s="182" t="s">
        <v>527</v>
      </c>
      <c r="AN6" s="182" t="s">
        <v>253</v>
      </c>
      <c r="AO6" s="182" t="s">
        <v>289</v>
      </c>
      <c r="AP6" s="182" t="str">
        <f>L45&amp;" Ownership Value"</f>
        <v>$ Ownership Value</v>
      </c>
      <c r="AQ6" s="183" t="s">
        <v>549</v>
      </c>
      <c r="AR6" s="183" t="s">
        <v>546</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508</v>
      </c>
      <c r="P8" s="212">
        <f ca="1">L$44</f>
        <v>43494</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508</v>
      </c>
      <c r="P9" s="212">
        <f t="shared" ref="P9:P19" ca="1" si="19">L$44</f>
        <v>43494</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43494</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43494</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43494</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507</v>
      </c>
      <c r="P13" s="212">
        <f t="shared" ca="1" si="19"/>
        <v>43494</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507</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505</v>
      </c>
      <c r="P14" s="212">
        <f t="shared" ca="1" si="19"/>
        <v>43494</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505</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43494</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506</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537</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43494</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537</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43494</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537</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43494</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537</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43494</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369</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15">
        <f ca="1">L$44</f>
        <v>43494</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520</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15">
        <f ca="1">L$44</f>
        <v>43494</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526</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15">
        <f ca="1">L$44</f>
        <v>43494</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540</v>
      </c>
      <c r="L28" s="132"/>
      <c r="M28" s="132"/>
      <c r="AC28" s="210" t="s">
        <v>542</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538</v>
      </c>
      <c r="L39" s="189">
        <v>0</v>
      </c>
      <c r="M39" s="193" t="s">
        <v>48</v>
      </c>
      <c r="AC39" s="130" t="s">
        <v>538</v>
      </c>
      <c r="AD39" s="189">
        <v>0</v>
      </c>
      <c r="AE39" s="193" t="s">
        <v>48</v>
      </c>
    </row>
    <row r="40" spans="11:37">
      <c r="K40" s="130" t="s">
        <v>539</v>
      </c>
      <c r="L40" s="189">
        <v>0</v>
      </c>
      <c r="M40" s="193" t="s">
        <v>48</v>
      </c>
      <c r="AC40" s="130" t="s">
        <v>539</v>
      </c>
      <c r="AD40" s="189">
        <v>0</v>
      </c>
      <c r="AE40" s="193" t="s">
        <v>48</v>
      </c>
    </row>
    <row r="41" spans="11:37">
      <c r="K41" s="130" t="s">
        <v>525</v>
      </c>
      <c r="L41" s="211">
        <f>IFERROR(L40*L34/(L36*(1-L40)),L40*E25/(1-L40))+IFERROR(L39*L34/L36,L39*E25)</f>
        <v>0</v>
      </c>
      <c r="M41" s="193" t="s">
        <v>260</v>
      </c>
      <c r="AC41" s="130" t="s">
        <v>525</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323</v>
      </c>
      <c r="L43" s="189">
        <v>0</v>
      </c>
      <c r="AC43" s="130" t="s">
        <v>323</v>
      </c>
      <c r="AD43" s="189">
        <v>0</v>
      </c>
    </row>
    <row r="44" spans="11:37">
      <c r="K44" s="130" t="s">
        <v>17</v>
      </c>
      <c r="L44" s="212">
        <f ca="1">EDATE(TODAY(),-18)</f>
        <v>43494</v>
      </c>
      <c r="M44" s="193" t="s">
        <v>139</v>
      </c>
      <c r="AC44" s="130" t="s">
        <v>17</v>
      </c>
      <c r="AD44" s="212">
        <f ca="1">TODAY()</f>
        <v>44041</v>
      </c>
      <c r="AE44" s="193" t="s">
        <v>139</v>
      </c>
      <c r="AK44" s="193"/>
    </row>
    <row r="45" spans="11:37">
      <c r="K45" s="130" t="s">
        <v>543</v>
      </c>
      <c r="L45" s="213" t="s">
        <v>124</v>
      </c>
      <c r="M45" s="130" t="s">
        <v>544</v>
      </c>
      <c r="AC45" s="130" t="s">
        <v>290</v>
      </c>
      <c r="AD45" s="213" t="s">
        <v>308</v>
      </c>
      <c r="AE45" s="193" t="s">
        <v>114</v>
      </c>
    </row>
    <row r="46" spans="11:37">
      <c r="AC46" s="130" t="s">
        <v>293</v>
      </c>
      <c r="AD46" s="171" t="str">
        <f>IF(OR(AD45="$ invested",AD45="% ownership",AD45="postmoney"),"yes","no")</f>
        <v>yes</v>
      </c>
      <c r="AE46" s="193" t="s">
        <v>119</v>
      </c>
    </row>
    <row r="47" spans="11:37">
      <c r="AC47" s="130" t="s">
        <v>144</v>
      </c>
      <c r="AD47" s="213" t="s">
        <v>145</v>
      </c>
      <c r="AE47" s="193" t="s">
        <v>119</v>
      </c>
    </row>
    <row r="48" spans="11:37">
      <c r="AC48" s="130" t="s">
        <v>294</v>
      </c>
      <c r="AD48" s="176">
        <f ca="1">AP25-AD35</f>
        <v>60544.904137235135</v>
      </c>
      <c r="AE48" s="193" t="s">
        <v>261</v>
      </c>
    </row>
    <row r="49" spans="2:31">
      <c r="AC49" s="130" t="s">
        <v>528</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529</v>
      </c>
      <c r="AD50" s="176">
        <f ca="1">SUMIFS(AK8:AK24,AD8:AD24,"&lt;&gt;0",AH8:AH24,"&lt;&gt;"&amp;"postmoney SAFE")</f>
        <v>909090.90909090906</v>
      </c>
      <c r="AE50" s="193" t="s">
        <v>516</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291</v>
      </c>
    </row>
    <row r="63" spans="2:31">
      <c r="B63" s="130" t="s">
        <v>292</v>
      </c>
    </row>
    <row r="64" spans="2:31">
      <c r="B64" s="130" t="s">
        <v>295</v>
      </c>
    </row>
    <row r="65" spans="2:2">
      <c r="B65" s="130" t="s">
        <v>514</v>
      </c>
    </row>
    <row r="66" spans="2:2">
      <c r="B66" s="130" t="s">
        <v>513</v>
      </c>
    </row>
    <row r="67" spans="2:2">
      <c r="B67" s="130" t="s">
        <v>519</v>
      </c>
    </row>
    <row r="68" spans="2:2">
      <c r="B68" s="130" t="s">
        <v>524</v>
      </c>
    </row>
    <row r="69" spans="2:2">
      <c r="B69" s="130" t="s">
        <v>550</v>
      </c>
    </row>
    <row r="70" spans="2:2">
      <c r="B70" s="130" t="s">
        <v>541</v>
      </c>
    </row>
    <row r="71" spans="2:2">
      <c r="B71" s="130" t="s">
        <v>545</v>
      </c>
    </row>
    <row r="72" spans="2:2">
      <c r="B72" s="130" t="s">
        <v>547</v>
      </c>
    </row>
    <row r="73" spans="2:2">
      <c r="B73" s="130" t="s">
        <v>548</v>
      </c>
    </row>
    <row r="74" spans="2:2">
      <c r="B74" s="130" t="s">
        <v>569</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530</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531</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G33" sqref="G3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0.26250000000000001</v>
      </c>
      <c r="H8" s="8">
        <f>IFERROR(F8/G8,0)</f>
        <v>0</v>
      </c>
      <c r="I8" s="5">
        <f>H8+C8</f>
        <v>6000000</v>
      </c>
      <c r="J8" s="23">
        <f>IFERROR(I8/I$21,0)</f>
        <v>0.42</v>
      </c>
      <c r="K8" s="3">
        <f>I8*G$29</f>
        <v>1575000</v>
      </c>
      <c r="M8" s="11">
        <v>0</v>
      </c>
      <c r="N8" s="25">
        <f>N$29</f>
        <v>0.84</v>
      </c>
      <c r="O8" s="8">
        <f>IFERROR(M8/N8,0)</f>
        <v>0</v>
      </c>
      <c r="P8" s="5">
        <f>O8+I8</f>
        <v>6000000</v>
      </c>
      <c r="Q8" s="23">
        <f>IFERROR(P8/P$21,0)</f>
        <v>0.28920995667252614</v>
      </c>
      <c r="R8" s="3">
        <f>P8*N$29</f>
        <v>5040000</v>
      </c>
    </row>
    <row r="9" spans="2:19">
      <c r="B9" s="11" t="s">
        <v>27</v>
      </c>
      <c r="C9" s="12">
        <f>D9*C$21</f>
        <v>3000000</v>
      </c>
      <c r="D9" s="20">
        <v>0.3</v>
      </c>
      <c r="F9" s="11">
        <v>0</v>
      </c>
      <c r="G9" s="25">
        <f>G$29</f>
        <v>0.26250000000000001</v>
      </c>
      <c r="H9" s="8">
        <f>IFERROR(F9/G9,0)</f>
        <v>0</v>
      </c>
      <c r="I9" s="5">
        <f>H9+C9</f>
        <v>3000000</v>
      </c>
      <c r="J9" s="23">
        <f>IFERROR(I9/I$21,0)</f>
        <v>0.21</v>
      </c>
      <c r="K9" s="3">
        <f>I9*G$29</f>
        <v>787500</v>
      </c>
      <c r="M9" s="11">
        <v>0</v>
      </c>
      <c r="N9" s="25">
        <f>N$29</f>
        <v>0.84</v>
      </c>
      <c r="O9" s="8">
        <f>IFERROR(M9/N9,0)</f>
        <v>0</v>
      </c>
      <c r="P9" s="5">
        <f>O9+I9</f>
        <v>3000000</v>
      </c>
      <c r="Q9" s="23">
        <f>IFERROR(P9/P$21,0)</f>
        <v>0.14460497833626307</v>
      </c>
      <c r="R9" s="3">
        <f>P9*N$29</f>
        <v>2520000</v>
      </c>
    </row>
    <row r="10" spans="2:19">
      <c r="B10" s="11" t="s">
        <v>29</v>
      </c>
      <c r="C10" s="12">
        <f>D10*C$21</f>
        <v>700000.00000000012</v>
      </c>
      <c r="D10" s="20">
        <v>7.0000000000000007E-2</v>
      </c>
      <c r="F10" s="11">
        <v>0</v>
      </c>
      <c r="G10" s="25">
        <f>G$29</f>
        <v>0.26250000000000001</v>
      </c>
      <c r="H10" s="8">
        <f>IFERROR(F10/G10,0)</f>
        <v>0</v>
      </c>
      <c r="I10" s="5">
        <f t="shared" ref="I10:I15" si="0">H10+C10</f>
        <v>700000.00000000012</v>
      </c>
      <c r="J10" s="23">
        <f>IFERROR(I10/I$21,0)</f>
        <v>4.9000000000000009E-2</v>
      </c>
      <c r="K10" s="3">
        <f>I10*G$29</f>
        <v>183750.00000000003</v>
      </c>
      <c r="M10" s="11">
        <v>0</v>
      </c>
      <c r="N10" s="25">
        <f>N$29</f>
        <v>0.84</v>
      </c>
      <c r="O10" s="8">
        <f>IFERROR(M10/N10,0)</f>
        <v>0</v>
      </c>
      <c r="P10" s="5">
        <f>O10+I10</f>
        <v>700000.00000000012</v>
      </c>
      <c r="Q10" s="23">
        <f>IFERROR(P10/P$21,0)</f>
        <v>3.3741161611794718E-2</v>
      </c>
      <c r="R10" s="3">
        <f>P10*N$29</f>
        <v>588000.00000000012</v>
      </c>
      <c r="S10" s="8"/>
    </row>
    <row r="11" spans="2:19">
      <c r="B11" s="11" t="s">
        <v>29</v>
      </c>
      <c r="C11" s="12">
        <f>D11*C$21</f>
        <v>300000</v>
      </c>
      <c r="D11" s="20">
        <v>0.03</v>
      </c>
      <c r="F11" s="11">
        <v>0</v>
      </c>
      <c r="G11" s="25">
        <f>G$29</f>
        <v>0.26250000000000001</v>
      </c>
      <c r="H11" s="8">
        <f>IFERROR(F11/G11,0)</f>
        <v>0</v>
      </c>
      <c r="I11" s="5">
        <f t="shared" si="0"/>
        <v>300000</v>
      </c>
      <c r="J11" s="23">
        <f>IFERROR(I11/I$21,0)</f>
        <v>2.1000000000000001E-2</v>
      </c>
      <c r="K11" s="3">
        <f>I11*G$29</f>
        <v>78750</v>
      </c>
      <c r="M11" s="11">
        <v>0</v>
      </c>
      <c r="N11" s="25">
        <f>N$29</f>
        <v>0.84</v>
      </c>
      <c r="O11" s="8">
        <f>IFERROR(M11/N11,0)</f>
        <v>0</v>
      </c>
      <c r="P11" s="5">
        <f>O11+I11</f>
        <v>300000</v>
      </c>
      <c r="Q11" s="23">
        <f>IFERROR(P11/P$21,0)</f>
        <v>1.4460497833626306E-2</v>
      </c>
      <c r="R11" s="3">
        <f>P11*N$29</f>
        <v>252000</v>
      </c>
      <c r="S11" s="8"/>
    </row>
    <row r="12" spans="2:19">
      <c r="B12" s="11" t="s">
        <v>34</v>
      </c>
      <c r="C12" s="12">
        <f>D12*C$21</f>
        <v>0</v>
      </c>
      <c r="D12" s="20">
        <v>0</v>
      </c>
      <c r="F12" s="11">
        <v>0</v>
      </c>
      <c r="G12" s="25">
        <f>G$29</f>
        <v>0.26250000000000001</v>
      </c>
      <c r="H12" s="8">
        <f>IFERROR(F12/G12,0)</f>
        <v>0</v>
      </c>
      <c r="I12" s="5">
        <f t="shared" si="0"/>
        <v>0</v>
      </c>
      <c r="J12" s="23">
        <f>IFERROR(I12/I$21,0)</f>
        <v>0</v>
      </c>
      <c r="K12" s="3">
        <f>I12*G$29</f>
        <v>0</v>
      </c>
      <c r="M12" s="11">
        <v>100000</v>
      </c>
      <c r="N12" s="25">
        <f>N$29</f>
        <v>0.84</v>
      </c>
      <c r="O12" s="3">
        <f>IFERROR(M12/N12,0)</f>
        <v>119047.61904761905</v>
      </c>
      <c r="P12" s="5">
        <f>O12+I12</f>
        <v>119047.61904761905</v>
      </c>
      <c r="Q12" s="23">
        <f>IFERROR(P12/P$21,0)</f>
        <v>5.738292791121551E-3</v>
      </c>
      <c r="R12" s="3">
        <f>P12*N$29</f>
        <v>100000</v>
      </c>
      <c r="S12" s="8" t="s">
        <v>49</v>
      </c>
    </row>
    <row r="13" spans="2:19">
      <c r="D13" s="24"/>
      <c r="S13" s="8"/>
    </row>
    <row r="14" spans="2:19">
      <c r="B14" s="11" t="s">
        <v>30</v>
      </c>
      <c r="C14" s="12">
        <f>D14*C$21</f>
        <v>0</v>
      </c>
      <c r="D14" s="20">
        <v>0</v>
      </c>
      <c r="F14" s="11">
        <v>500000</v>
      </c>
      <c r="G14" s="25">
        <f>G$29</f>
        <v>0.26250000000000001</v>
      </c>
      <c r="H14" s="3">
        <f>IFERROR(F14/G14,0)</f>
        <v>1904761.9047619046</v>
      </c>
      <c r="I14" s="5">
        <f t="shared" si="0"/>
        <v>1904761.9047619046</v>
      </c>
      <c r="J14" s="23">
        <f>IFERROR(I14/I$21,0)</f>
        <v>0.13333333333333333</v>
      </c>
      <c r="K14" s="3">
        <f>I14*G$29</f>
        <v>500000</v>
      </c>
      <c r="M14" s="11">
        <v>584107.32530946471</v>
      </c>
      <c r="N14" s="25">
        <f>N$29</f>
        <v>0.84</v>
      </c>
      <c r="O14" s="3">
        <f>IFERROR(M14/N14,0)</f>
        <v>695365.86346364848</v>
      </c>
      <c r="P14" s="5">
        <f>O14+I14</f>
        <v>2600127.768225553</v>
      </c>
      <c r="Q14" s="23">
        <f>IFERROR(P14/P$21,0)</f>
        <v>0.1253304731985907</v>
      </c>
      <c r="R14" s="3">
        <f>P14*N$29</f>
        <v>2184107.3253094642</v>
      </c>
      <c r="S14" s="8" t="s">
        <v>53</v>
      </c>
    </row>
    <row r="15" spans="2:19">
      <c r="B15" s="11" t="s">
        <v>34</v>
      </c>
      <c r="C15" s="12">
        <f>D15*C$21</f>
        <v>0</v>
      </c>
      <c r="D15" s="20">
        <v>0</v>
      </c>
      <c r="F15" s="11">
        <v>250000</v>
      </c>
      <c r="G15" s="25">
        <f>G$29</f>
        <v>0.26250000000000001</v>
      </c>
      <c r="H15" s="3">
        <f>IFERROR(F15/G15,0)</f>
        <v>952380.95238095231</v>
      </c>
      <c r="I15" s="5">
        <f t="shared" si="0"/>
        <v>952380.95238095231</v>
      </c>
      <c r="J15" s="23">
        <f>IFERROR(I15/I$21,0)</f>
        <v>6.6666666666666666E-2</v>
      </c>
      <c r="K15" s="3">
        <f>I15*G$29</f>
        <v>250000</v>
      </c>
      <c r="M15" s="11">
        <v>0</v>
      </c>
      <c r="N15" s="25">
        <f>N$29</f>
        <v>0.84</v>
      </c>
      <c r="O15" s="3">
        <f>IFERROR(M15/N15,0)</f>
        <v>0</v>
      </c>
      <c r="P15" s="5">
        <f>O15+I15</f>
        <v>952380.95238095231</v>
      </c>
      <c r="Q15" s="23">
        <f>IFERROR(P15/P$21,0)</f>
        <v>4.5906342328972401E-2</v>
      </c>
      <c r="R15" s="3">
        <f>P15*N$29</f>
        <v>799999.99999999988</v>
      </c>
      <c r="S15" s="8"/>
    </row>
    <row r="16" spans="2:19">
      <c r="B16" s="11" t="s">
        <v>60</v>
      </c>
      <c r="C16" s="12">
        <f>D16*C$21</f>
        <v>0</v>
      </c>
      <c r="D16" s="20">
        <v>0</v>
      </c>
      <c r="F16" s="11">
        <v>0</v>
      </c>
      <c r="G16" s="25">
        <f>G$29</f>
        <v>0.26250000000000001</v>
      </c>
      <c r="H16" s="3">
        <f>IFERROR(F16/G16,0)</f>
        <v>0</v>
      </c>
      <c r="I16" s="5">
        <f t="shared" ref="I16" si="1">H16+C16</f>
        <v>0</v>
      </c>
      <c r="J16" s="23">
        <f>IFERROR(I16/I$21,0)</f>
        <v>0</v>
      </c>
      <c r="K16" s="3">
        <f>I16*G$29</f>
        <v>0</v>
      </c>
      <c r="M16" s="11">
        <v>3000000</v>
      </c>
      <c r="N16" s="25">
        <f>N$29</f>
        <v>0.84</v>
      </c>
      <c r="O16" s="3">
        <f>IFERROR(M16/N16,0)</f>
        <v>3571428.5714285714</v>
      </c>
      <c r="P16" s="5">
        <f>O16+I16</f>
        <v>3571428.5714285714</v>
      </c>
      <c r="Q16" s="23">
        <f>IFERROR(P16/P$21,0)</f>
        <v>0.1721487837336465</v>
      </c>
      <c r="R16" s="3">
        <f>P16*N$29</f>
        <v>3000000</v>
      </c>
    </row>
    <row r="17" spans="2:18">
      <c r="D17" s="24"/>
    </row>
    <row r="18" spans="2:18">
      <c r="B18" s="8" t="s">
        <v>143</v>
      </c>
      <c r="C18" s="12">
        <f>D18*C$21</f>
        <v>0</v>
      </c>
      <c r="D18" s="20">
        <v>0</v>
      </c>
      <c r="F18" s="11">
        <v>0</v>
      </c>
      <c r="G18" s="25">
        <f>G$29</f>
        <v>0.26250000000000001</v>
      </c>
      <c r="H18" s="3">
        <f>G35*C19</f>
        <v>0</v>
      </c>
      <c r="I18" s="5">
        <f t="shared" ref="I18" si="2">H18+C18</f>
        <v>0</v>
      </c>
      <c r="J18" s="23">
        <f>IFERROR(I18/I$21,0)</f>
        <v>0</v>
      </c>
      <c r="K18" s="3">
        <f>I18*G$29</f>
        <v>0</v>
      </c>
      <c r="M18" s="11">
        <v>0</v>
      </c>
      <c r="N18" s="25">
        <f>N$29</f>
        <v>0.84</v>
      </c>
      <c r="O18" s="3">
        <f>N35*I19</f>
        <v>714285.7142857142</v>
      </c>
      <c r="P18" s="5">
        <f>O18+I18</f>
        <v>714285.7142857142</v>
      </c>
      <c r="Q18" s="23">
        <f>IFERROR(P18/P$21,0)</f>
        <v>3.4429756746729295E-2</v>
      </c>
      <c r="R18" s="3">
        <f>P18*N$29</f>
        <v>599999.99999999988</v>
      </c>
    </row>
    <row r="19" spans="2:18">
      <c r="B19" s="11" t="s">
        <v>8</v>
      </c>
      <c r="C19" s="12">
        <f>D19*C$21</f>
        <v>0</v>
      </c>
      <c r="D19" s="20">
        <v>0</v>
      </c>
      <c r="F19" s="11">
        <v>0</v>
      </c>
      <c r="G19" s="25">
        <f>G29</f>
        <v>0.26250000000000001</v>
      </c>
      <c r="H19" s="5">
        <f>G34</f>
        <v>1428571.4285714284</v>
      </c>
      <c r="I19" s="5">
        <f>H19+C19-H18</f>
        <v>1428571.4285714284</v>
      </c>
      <c r="J19" s="23">
        <f>IFERROR(I19/I$21,0)</f>
        <v>9.9999999999999992E-2</v>
      </c>
      <c r="K19" s="3">
        <f>I19*G$29</f>
        <v>375000</v>
      </c>
      <c r="M19" s="11">
        <v>0</v>
      </c>
      <c r="N19" s="25">
        <f>N29</f>
        <v>0.84</v>
      </c>
      <c r="O19" s="5">
        <f>N34</f>
        <v>2074617.3710726807</v>
      </c>
      <c r="P19" s="5">
        <f>O19+I19-O18</f>
        <v>2788903.0853583948</v>
      </c>
      <c r="Q19" s="23">
        <f>IFERROR(P19/P$21,0)</f>
        <v>0.1344297567467293</v>
      </c>
      <c r="R19" s="3">
        <f>P19*N$29</f>
        <v>2342678.5917010517</v>
      </c>
    </row>
    <row r="20" spans="2:18">
      <c r="D20" s="24"/>
    </row>
    <row r="21" spans="2:18">
      <c r="B21" s="26" t="s">
        <v>3</v>
      </c>
      <c r="C21" s="10">
        <v>10000000</v>
      </c>
      <c r="D21" s="6">
        <f>SUM(D8:D12,D14:D16,D18:D19)</f>
        <v>1</v>
      </c>
      <c r="F21" s="7">
        <f>SUM(F8:F12,F14:F16,F18:F19)</f>
        <v>750000</v>
      </c>
      <c r="G21" s="26"/>
      <c r="H21" s="7">
        <f>SUM(H8:H12,H14:H16,H18:H19)</f>
        <v>4285714.2857142854</v>
      </c>
      <c r="I21" s="7">
        <f>SUM(I8:I12,I14:I16,I18:I19)</f>
        <v>14285714.285714285</v>
      </c>
      <c r="J21" s="6">
        <f>SUM(J8:J12,J14:J16,J18:J19)</f>
        <v>1</v>
      </c>
      <c r="K21" s="7">
        <f>SUM(K8:K12,K14:K16,K18:K19)</f>
        <v>3750000</v>
      </c>
      <c r="M21" s="7">
        <f>SUM(M8:M12,M14:M16,M18:M19)</f>
        <v>3684107.3253094647</v>
      </c>
      <c r="N21" s="26"/>
      <c r="O21" s="7">
        <f>SUM(O8:O12,O14:O16,O18:O19)</f>
        <v>7174745.1392982341</v>
      </c>
      <c r="P21" s="7">
        <f>SUM(P8:P12,P14:P16,P18:P19)</f>
        <v>20746173.710726805</v>
      </c>
      <c r="Q21" s="6">
        <f>SUM(Q8:Q12,Q14:Q16,Q18:Q19)</f>
        <v>1</v>
      </c>
      <c r="R21" s="7">
        <f>SUM(R8:R12,R14:R16,R18:R19)</f>
        <v>17426785.917010516</v>
      </c>
    </row>
    <row r="24" spans="2:18">
      <c r="F24" s="22" t="s">
        <v>35</v>
      </c>
      <c r="M24" s="22" t="s">
        <v>58</v>
      </c>
    </row>
    <row r="25" spans="2:18">
      <c r="F25" s="1" t="s">
        <v>37</v>
      </c>
      <c r="G25" s="5">
        <f>F21</f>
        <v>750000</v>
      </c>
      <c r="M25" s="1" t="s">
        <v>37</v>
      </c>
      <c r="N25" s="5">
        <f>M21</f>
        <v>3684107.3253094647</v>
      </c>
    </row>
    <row r="26" spans="2:18">
      <c r="F26" s="1" t="s">
        <v>81</v>
      </c>
      <c r="G26" s="5">
        <f>G27-G28*G32</f>
        <v>2625000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0.26250000000000001</v>
      </c>
      <c r="M29" s="1" t="s">
        <v>32</v>
      </c>
      <c r="N29" s="25">
        <f>N26/I21</f>
        <v>0.84</v>
      </c>
    </row>
    <row r="30" spans="2:18">
      <c r="F30" s="1" t="s">
        <v>63</v>
      </c>
      <c r="G30" s="4">
        <f>G25/G28</f>
        <v>0.2</v>
      </c>
      <c r="M30" s="1" t="s">
        <v>63</v>
      </c>
      <c r="N30" s="4">
        <f>N25/N28</f>
        <v>0.23489429451712662</v>
      </c>
    </row>
    <row r="31" spans="2:18">
      <c r="H31" s="8"/>
      <c r="O31" s="8"/>
    </row>
    <row r="32" spans="2:18">
      <c r="F32" s="1" t="s">
        <v>83</v>
      </c>
      <c r="G32" s="20">
        <v>0.1</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1428571.4285714284</v>
      </c>
      <c r="H34" s="8"/>
      <c r="M34" s="1" t="s">
        <v>82</v>
      </c>
      <c r="N34" s="3">
        <f>IF(N28=0,N33*I21/(1-N33),N33*N28/(N29*(1-N33)))+IF(N27=0,I21*N32,N32*N28/N29)</f>
        <v>2074617.3710726807</v>
      </c>
      <c r="O34" s="8"/>
    </row>
    <row r="35" spans="2:15">
      <c r="F35" s="1" t="s">
        <v>136</v>
      </c>
      <c r="G35" s="20">
        <v>0</v>
      </c>
      <c r="H35" s="8" t="s">
        <v>128</v>
      </c>
      <c r="M35" s="1" t="s">
        <v>136</v>
      </c>
      <c r="N35" s="20">
        <v>0.5</v>
      </c>
      <c r="O35" s="8" t="s">
        <v>128</v>
      </c>
    </row>
    <row r="36" spans="2:15">
      <c r="F36" s="1" t="s">
        <v>17</v>
      </c>
      <c r="G36" s="40">
        <f ca="1">EDATE(TODAY(),-18)</f>
        <v>43494</v>
      </c>
      <c r="H36" s="8" t="s">
        <v>139</v>
      </c>
      <c r="M36" s="1" t="s">
        <v>17</v>
      </c>
      <c r="N36" s="40">
        <f ca="1">TODAY()</f>
        <v>44041</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43494</v>
      </c>
      <c r="H29" s="8" t="s">
        <v>102</v>
      </c>
      <c r="R29" s="1" t="s">
        <v>17</v>
      </c>
      <c r="S29" s="17">
        <f ca="1">TODAY()</f>
        <v>44041</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502</v>
      </c>
      <c r="K6" s="18" t="s">
        <v>32</v>
      </c>
      <c r="L6" s="18" t="s">
        <v>85</v>
      </c>
      <c r="M6" s="18" t="s">
        <v>253</v>
      </c>
      <c r="N6" s="18" t="s">
        <v>289</v>
      </c>
      <c r="O6" s="18" t="s">
        <v>33</v>
      </c>
      <c r="P6" s="18" t="s">
        <v>279</v>
      </c>
      <c r="Q6" s="18" t="s">
        <v>288</v>
      </c>
      <c r="S6" s="18" t="s">
        <v>31</v>
      </c>
      <c r="T6" s="30" t="s">
        <v>69</v>
      </c>
      <c r="U6" s="30" t="s">
        <v>70</v>
      </c>
      <c r="V6" s="30" t="s">
        <v>71</v>
      </c>
      <c r="W6" s="30" t="s">
        <v>116</v>
      </c>
      <c r="X6" s="18" t="s">
        <v>502</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508</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508</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507</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507</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505</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506</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43494</v>
      </c>
      <c r="S29" s="1" t="s">
        <v>17</v>
      </c>
      <c r="T29" s="17">
        <f ca="1">TODAY()</f>
        <v>44041</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509</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510</v>
      </c>
      <c r="T33" s="3">
        <f ca="1">SUMIFS(AA8:AA16,T8:T16,"&lt;&gt;0",X8:X16,"&lt;&gt;"&amp;"postmoney SAFE")</f>
        <v>909090.90909090906</v>
      </c>
      <c r="U33" s="8" t="s">
        <v>515</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511</v>
      </c>
    </row>
    <row r="43" spans="2:21">
      <c r="B43" s="1" t="s">
        <v>512</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43494</v>
      </c>
      <c r="R29" s="1" t="s">
        <v>17</v>
      </c>
      <c r="S29" s="17">
        <f ca="1">TODAY()</f>
        <v>44041</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43494</v>
      </c>
      <c r="R30" s="1" t="s">
        <v>17</v>
      </c>
      <c r="S30" s="17">
        <f ca="1">TODAY()</f>
        <v>44041</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C88-FC6B-9C44-9A90-3C9ADCE87C3A}">
  <dimension ref="A2:AC336"/>
  <sheetViews>
    <sheetView showGridLines="0" zoomScaleNormal="100" workbookViewId="0">
      <selection activeCell="P100" sqref="P100"/>
    </sheetView>
  </sheetViews>
  <sheetFormatPr baseColWidth="10" defaultRowHeight="20" outlineLevelRow="1"/>
  <cols>
    <col min="1" max="1" width="4.6640625" style="58" customWidth="1"/>
    <col min="2" max="2" width="42.33203125" style="58" customWidth="1"/>
    <col min="3" max="3" width="5.1640625" style="240" customWidth="1"/>
    <col min="4" max="4" width="4.33203125" style="240" customWidth="1"/>
    <col min="5" max="5" width="15" style="240" customWidth="1"/>
    <col min="6" max="6" width="5.6640625" style="64" customWidth="1"/>
    <col min="7" max="13" width="17.1640625" style="58" customWidth="1"/>
    <col min="14" max="14" width="4.6640625" style="58" customWidth="1"/>
    <col min="15" max="15" width="8.83203125" style="125" customWidth="1"/>
    <col min="16" max="16" width="17.1640625" style="83" customWidth="1"/>
    <col min="17" max="19" width="17.1640625" style="58" customWidth="1"/>
    <col min="20" max="16384" width="10.83203125" style="58"/>
  </cols>
  <sheetData>
    <row r="2" spans="2:21">
      <c r="B2" s="53" t="s">
        <v>353</v>
      </c>
      <c r="C2" s="236"/>
      <c r="D2" s="236"/>
      <c r="E2" s="236"/>
      <c r="F2" s="54"/>
      <c r="G2" s="54"/>
      <c r="H2" s="54"/>
      <c r="I2" s="54"/>
      <c r="J2" s="54"/>
      <c r="K2" s="54"/>
      <c r="L2" s="54"/>
      <c r="M2" s="54"/>
      <c r="N2" s="54"/>
      <c r="O2" s="55"/>
      <c r="P2" s="56"/>
      <c r="Q2" s="54"/>
      <c r="R2" s="57"/>
      <c r="S2" s="57"/>
      <c r="T2" s="57"/>
      <c r="U2" s="57"/>
    </row>
    <row r="3" spans="2:21">
      <c r="B3" s="59" t="s">
        <v>354</v>
      </c>
      <c r="C3" s="74"/>
      <c r="D3" s="74"/>
      <c r="E3" s="74"/>
      <c r="F3" s="54"/>
      <c r="G3" s="54"/>
      <c r="H3" s="54"/>
      <c r="I3" s="54"/>
      <c r="J3" s="54"/>
      <c r="K3" s="54"/>
      <c r="L3" s="54"/>
      <c r="M3" s="54"/>
      <c r="N3" s="54"/>
      <c r="O3" s="55"/>
      <c r="P3" s="56"/>
      <c r="Q3" s="54"/>
      <c r="R3" s="57"/>
      <c r="S3" s="57"/>
      <c r="T3" s="57"/>
      <c r="U3" s="57"/>
    </row>
    <row r="4" spans="2:21">
      <c r="B4" s="57"/>
      <c r="C4" s="71"/>
      <c r="D4" s="71"/>
      <c r="E4" s="71"/>
      <c r="F4" s="54"/>
      <c r="G4" s="54"/>
      <c r="H4" s="54"/>
      <c r="I4" s="54"/>
      <c r="J4" s="54"/>
      <c r="K4" s="54"/>
      <c r="L4" s="54"/>
      <c r="M4" s="54"/>
      <c r="N4" s="54"/>
      <c r="O4" s="55"/>
      <c r="P4" s="56"/>
      <c r="Q4" s="54"/>
      <c r="R4" s="57"/>
      <c r="S4" s="57"/>
      <c r="T4" s="57"/>
      <c r="U4" s="57"/>
    </row>
    <row r="5" spans="2:21">
      <c r="B5" s="57" t="s">
        <v>355</v>
      </c>
      <c r="C5" s="71"/>
      <c r="D5" s="71"/>
      <c r="E5" s="71"/>
      <c r="F5" s="60" t="s">
        <v>124</v>
      </c>
      <c r="G5" s="61">
        <v>0</v>
      </c>
      <c r="H5" s="54"/>
      <c r="I5" s="54"/>
      <c r="J5" s="54"/>
      <c r="K5" s="54"/>
      <c r="L5" s="54"/>
      <c r="M5" s="54"/>
      <c r="N5" s="54"/>
      <c r="O5" s="55">
        <v>1</v>
      </c>
      <c r="P5" s="56" t="s">
        <v>356</v>
      </c>
      <c r="Q5" s="54"/>
      <c r="R5" s="57"/>
      <c r="S5" s="57"/>
      <c r="T5" s="57"/>
      <c r="U5" s="57"/>
    </row>
    <row r="6" spans="2:21">
      <c r="B6" s="57" t="s">
        <v>357</v>
      </c>
      <c r="C6" s="71"/>
      <c r="D6" s="71"/>
      <c r="E6" s="71"/>
      <c r="F6" s="54" t="s">
        <v>156</v>
      </c>
      <c r="G6" s="62">
        <f ca="1">EDATE(TODAY(),24)</f>
        <v>44771</v>
      </c>
      <c r="K6" s="54"/>
      <c r="L6" s="54"/>
      <c r="M6" s="54"/>
      <c r="N6" s="54"/>
      <c r="O6" s="55">
        <f>IF(ISBLANK(P6),"",MAX(O$5:O5)+1)</f>
        <v>2</v>
      </c>
      <c r="P6" s="56" t="s">
        <v>358</v>
      </c>
      <c r="Q6" s="54"/>
      <c r="R6" s="57"/>
      <c r="S6" s="57"/>
      <c r="T6" s="57"/>
      <c r="U6" s="57"/>
    </row>
    <row r="7" spans="2:21">
      <c r="B7" s="57" t="s">
        <v>359</v>
      </c>
      <c r="C7" s="71"/>
      <c r="D7" s="71"/>
      <c r="E7" s="71"/>
      <c r="F7" s="54" t="s">
        <v>22</v>
      </c>
      <c r="G7" s="63">
        <v>0.5</v>
      </c>
      <c r="K7" s="54"/>
      <c r="L7" s="54"/>
      <c r="M7" s="54"/>
      <c r="N7" s="54"/>
      <c r="O7" s="55">
        <f>IF(ISBLANK(P7),"",MAX(O$5:O6)+1)</f>
        <v>3</v>
      </c>
      <c r="P7" s="56" t="s">
        <v>360</v>
      </c>
      <c r="Q7" s="54"/>
      <c r="R7" s="57"/>
      <c r="S7" s="57"/>
      <c r="T7" s="57"/>
      <c r="U7" s="57"/>
    </row>
    <row r="8" spans="2:21">
      <c r="B8" s="57" t="s">
        <v>144</v>
      </c>
      <c r="C8" s="71"/>
      <c r="D8" s="71"/>
      <c r="E8" s="71"/>
      <c r="F8" s="64" t="s">
        <v>361</v>
      </c>
      <c r="G8" s="65" t="s">
        <v>145</v>
      </c>
      <c r="K8" s="54"/>
      <c r="L8" s="54"/>
      <c r="M8" s="54"/>
      <c r="N8" s="54"/>
      <c r="O8" s="55">
        <f>IF(ISBLANK(P8),"",MAX(O$5:O7)+1)</f>
        <v>4</v>
      </c>
      <c r="P8" s="58" t="s">
        <v>362</v>
      </c>
      <c r="Q8" s="54"/>
      <c r="R8" s="57"/>
      <c r="S8" s="57"/>
      <c r="T8" s="57"/>
      <c r="U8" s="57"/>
    </row>
    <row r="9" spans="2:21">
      <c r="B9" s="57" t="s">
        <v>363</v>
      </c>
      <c r="C9" s="71"/>
      <c r="D9" s="71"/>
      <c r="E9" s="71"/>
      <c r="F9" s="64" t="s">
        <v>361</v>
      </c>
      <c r="G9" s="66" t="str">
        <f>IF(SUM(G213:M213)=0,"yes","no")</f>
        <v>yes</v>
      </c>
      <c r="K9" s="54"/>
      <c r="L9" s="54"/>
      <c r="M9" s="54"/>
      <c r="N9" s="54"/>
      <c r="O9" s="55">
        <f>IF(ISBLANK(P9),"",MAX(O$5:O8)+1)</f>
        <v>5</v>
      </c>
      <c r="P9" s="67" t="s">
        <v>364</v>
      </c>
      <c r="Q9" s="54"/>
      <c r="R9" s="57"/>
      <c r="S9" s="57"/>
      <c r="T9" s="57"/>
      <c r="U9" s="57"/>
    </row>
    <row r="10" spans="2:21">
      <c r="B10" s="57"/>
      <c r="C10" s="71"/>
      <c r="D10" s="71"/>
      <c r="E10" s="71"/>
      <c r="F10" s="54"/>
      <c r="G10" s="54"/>
      <c r="H10" s="54"/>
      <c r="I10" s="54"/>
      <c r="J10" s="54"/>
      <c r="K10" s="54"/>
      <c r="L10" s="54"/>
      <c r="M10" s="54"/>
      <c r="N10" s="54"/>
      <c r="O10" s="55" t="str">
        <f>IF(ISBLANK(P10),"",MAX(O$5:O9)+1)</f>
        <v/>
      </c>
      <c r="P10" s="56"/>
      <c r="Q10" s="54"/>
      <c r="R10" s="57"/>
      <c r="S10" s="57"/>
      <c r="T10" s="57"/>
      <c r="U10" s="57"/>
    </row>
    <row r="11" spans="2:21">
      <c r="B11" s="59" t="s">
        <v>365</v>
      </c>
      <c r="C11" s="74"/>
      <c r="D11" s="74"/>
      <c r="E11" s="74"/>
      <c r="F11" s="54"/>
      <c r="G11" s="54"/>
      <c r="H11" s="54"/>
      <c r="I11" s="54"/>
      <c r="J11" s="54"/>
      <c r="K11" s="54"/>
      <c r="L11" s="54"/>
      <c r="M11" s="54"/>
      <c r="N11" s="54"/>
      <c r="O11" s="55">
        <f>IF(ISBLANK(P11),"",MAX(O$5:O10)+1)</f>
        <v>6</v>
      </c>
      <c r="P11" s="56" t="s">
        <v>366</v>
      </c>
      <c r="Q11" s="54"/>
      <c r="R11" s="57"/>
      <c r="S11" s="57"/>
      <c r="T11" s="57"/>
      <c r="U11" s="57"/>
    </row>
    <row r="12" spans="2:21">
      <c r="B12" s="57"/>
      <c r="C12" s="71"/>
      <c r="D12" s="71"/>
      <c r="E12" s="71"/>
      <c r="F12" s="54"/>
      <c r="G12" s="54"/>
      <c r="H12" s="54"/>
      <c r="I12" s="54"/>
      <c r="J12" s="54"/>
      <c r="K12" s="54"/>
      <c r="L12" s="54"/>
      <c r="M12" s="54"/>
      <c r="N12" s="54"/>
      <c r="O12" s="55" t="str">
        <f>IF(ISBLANK(P12),"",MAX(O$5:O11)+1)</f>
        <v/>
      </c>
      <c r="P12" s="56"/>
      <c r="Q12" s="54"/>
      <c r="R12" s="57"/>
      <c r="S12" s="57"/>
      <c r="T12" s="57"/>
      <c r="U12" s="57"/>
    </row>
    <row r="13" spans="2:21">
      <c r="B13" s="57" t="s">
        <v>367</v>
      </c>
      <c r="C13" s="71"/>
      <c r="D13" s="71"/>
      <c r="E13" s="235" t="s">
        <v>573</v>
      </c>
      <c r="F13" s="54"/>
      <c r="G13" s="68" t="s">
        <v>13</v>
      </c>
      <c r="H13" s="68" t="s">
        <v>12</v>
      </c>
      <c r="I13" s="68" t="s">
        <v>11</v>
      </c>
      <c r="J13" s="68" t="s">
        <v>6</v>
      </c>
      <c r="K13" s="69" t="s">
        <v>4</v>
      </c>
      <c r="L13" s="69" t="s">
        <v>5</v>
      </c>
      <c r="M13" s="69" t="s">
        <v>3</v>
      </c>
      <c r="O13" s="55" t="str">
        <f>IF(ISBLANK(P13),"",MAX(O$5:O12)+1)</f>
        <v/>
      </c>
      <c r="P13" s="56"/>
      <c r="Q13" s="54"/>
      <c r="R13" s="57"/>
      <c r="S13" s="57"/>
      <c r="T13" s="57"/>
      <c r="U13" s="57"/>
    </row>
    <row r="14" spans="2:21">
      <c r="B14" s="61" t="s">
        <v>322</v>
      </c>
      <c r="C14" s="237"/>
      <c r="D14" s="237"/>
      <c r="E14" s="216">
        <v>0</v>
      </c>
      <c r="F14" s="54" t="s">
        <v>130</v>
      </c>
      <c r="G14" s="61">
        <v>0</v>
      </c>
      <c r="H14" s="61">
        <v>0</v>
      </c>
      <c r="I14" s="61">
        <v>0</v>
      </c>
      <c r="J14" s="61">
        <v>0</v>
      </c>
      <c r="K14" s="61">
        <v>0</v>
      </c>
      <c r="L14" s="61">
        <v>0</v>
      </c>
      <c r="M14" s="70">
        <f t="shared" ref="M14:M22" si="0">SUM(G14:L14)</f>
        <v>0</v>
      </c>
      <c r="O14" s="55">
        <f>IF(ISBLANK(P14),"",MAX(O$5:O13)+1)</f>
        <v>7</v>
      </c>
      <c r="P14" s="56" t="s">
        <v>368</v>
      </c>
      <c r="Q14" s="54"/>
      <c r="R14" s="57"/>
      <c r="S14" s="57"/>
      <c r="T14" s="57"/>
      <c r="U14" s="57"/>
    </row>
    <row r="15" spans="2:21">
      <c r="B15" s="61" t="s">
        <v>322</v>
      </c>
      <c r="C15" s="237"/>
      <c r="D15" s="237"/>
      <c r="E15" s="216">
        <v>0</v>
      </c>
      <c r="F15" s="54" t="s">
        <v>130</v>
      </c>
      <c r="G15" s="61">
        <v>0</v>
      </c>
      <c r="H15" s="61">
        <v>0</v>
      </c>
      <c r="I15" s="61">
        <v>0</v>
      </c>
      <c r="J15" s="61">
        <v>0</v>
      </c>
      <c r="K15" s="61">
        <v>0</v>
      </c>
      <c r="L15" s="61">
        <v>0</v>
      </c>
      <c r="M15" s="70">
        <f t="shared" si="0"/>
        <v>0</v>
      </c>
      <c r="O15" s="55" t="str">
        <f>IF(ISBLANK(P15),"",MAX(O$5:O14)+1)</f>
        <v/>
      </c>
      <c r="P15" s="56"/>
      <c r="Q15" s="54"/>
      <c r="R15" s="57"/>
      <c r="S15" s="57"/>
      <c r="T15" s="57"/>
      <c r="U15" s="57"/>
    </row>
    <row r="16" spans="2:21">
      <c r="B16" s="61" t="s">
        <v>322</v>
      </c>
      <c r="C16" s="237"/>
      <c r="D16" s="237"/>
      <c r="E16" s="216">
        <v>0</v>
      </c>
      <c r="F16" s="54" t="s">
        <v>130</v>
      </c>
      <c r="G16" s="61">
        <v>0</v>
      </c>
      <c r="H16" s="61">
        <v>0</v>
      </c>
      <c r="I16" s="61">
        <v>0</v>
      </c>
      <c r="J16" s="61">
        <v>0</v>
      </c>
      <c r="K16" s="61">
        <v>0</v>
      </c>
      <c r="L16" s="61">
        <v>0</v>
      </c>
      <c r="M16" s="70">
        <f t="shared" si="0"/>
        <v>0</v>
      </c>
      <c r="O16" s="55" t="str">
        <f>IF(ISBLANK(P16),"",MAX(O$5:O15)+1)</f>
        <v/>
      </c>
      <c r="P16" s="56"/>
      <c r="Q16" s="54"/>
      <c r="R16" s="57"/>
      <c r="S16" s="57"/>
      <c r="T16" s="57"/>
      <c r="U16" s="57"/>
    </row>
    <row r="17" spans="2:21">
      <c r="B17" s="61" t="s">
        <v>322</v>
      </c>
      <c r="C17" s="237"/>
      <c r="D17" s="237"/>
      <c r="E17" s="216">
        <v>0</v>
      </c>
      <c r="F17" s="54" t="s">
        <v>130</v>
      </c>
      <c r="G17" s="61">
        <v>0</v>
      </c>
      <c r="H17" s="61">
        <v>0</v>
      </c>
      <c r="I17" s="61">
        <v>0</v>
      </c>
      <c r="J17" s="61">
        <v>0</v>
      </c>
      <c r="K17" s="61">
        <v>0</v>
      </c>
      <c r="L17" s="61">
        <v>0</v>
      </c>
      <c r="M17" s="70">
        <f t="shared" si="0"/>
        <v>0</v>
      </c>
      <c r="O17" s="55" t="str">
        <f>IF(ISBLANK(P17),"",MAX(O$5:O16)+1)</f>
        <v/>
      </c>
      <c r="P17" s="56"/>
      <c r="Q17" s="54"/>
      <c r="R17" s="57"/>
      <c r="S17" s="57"/>
      <c r="T17" s="57"/>
      <c r="U17" s="57"/>
    </row>
    <row r="18" spans="2:21">
      <c r="B18" s="61" t="s">
        <v>322</v>
      </c>
      <c r="C18" s="237"/>
      <c r="D18" s="237"/>
      <c r="E18" s="216">
        <v>0</v>
      </c>
      <c r="F18" s="54" t="s">
        <v>130</v>
      </c>
      <c r="G18" s="61">
        <v>0</v>
      </c>
      <c r="H18" s="61">
        <v>0</v>
      </c>
      <c r="I18" s="61">
        <v>0</v>
      </c>
      <c r="J18" s="61">
        <v>0</v>
      </c>
      <c r="K18" s="61">
        <v>0</v>
      </c>
      <c r="L18" s="61">
        <v>0</v>
      </c>
      <c r="M18" s="70">
        <f t="shared" si="0"/>
        <v>0</v>
      </c>
      <c r="O18" s="55" t="str">
        <f>IF(ISBLANK(P18),"",MAX(O$5:O17)+1)</f>
        <v/>
      </c>
      <c r="P18" s="56"/>
      <c r="Q18" s="54"/>
      <c r="R18" s="57"/>
      <c r="S18" s="57"/>
      <c r="T18" s="57"/>
      <c r="U18" s="57"/>
    </row>
    <row r="19" spans="2:21">
      <c r="B19" s="61" t="s">
        <v>322</v>
      </c>
      <c r="C19" s="237"/>
      <c r="D19" s="237"/>
      <c r="E19" s="216">
        <v>0</v>
      </c>
      <c r="F19" s="54" t="s">
        <v>130</v>
      </c>
      <c r="G19" s="61">
        <v>0</v>
      </c>
      <c r="H19" s="61">
        <v>0</v>
      </c>
      <c r="I19" s="61">
        <v>0</v>
      </c>
      <c r="J19" s="61">
        <v>0</v>
      </c>
      <c r="K19" s="61">
        <v>0</v>
      </c>
      <c r="L19" s="61">
        <v>0</v>
      </c>
      <c r="M19" s="70">
        <f t="shared" si="0"/>
        <v>0</v>
      </c>
      <c r="O19" s="55" t="str">
        <f>IF(ISBLANK(P19),"",MAX(O$5:O18)+1)</f>
        <v/>
      </c>
      <c r="P19" s="56"/>
      <c r="Q19" s="54"/>
      <c r="R19" s="57"/>
      <c r="S19" s="57"/>
      <c r="T19" s="57"/>
      <c r="U19" s="57"/>
    </row>
    <row r="20" spans="2:21">
      <c r="B20" s="61" t="s">
        <v>322</v>
      </c>
      <c r="C20" s="237"/>
      <c r="D20" s="237"/>
      <c r="E20" s="216">
        <v>0</v>
      </c>
      <c r="F20" s="54" t="s">
        <v>130</v>
      </c>
      <c r="G20" s="61">
        <v>0</v>
      </c>
      <c r="H20" s="61">
        <v>0</v>
      </c>
      <c r="I20" s="61">
        <v>0</v>
      </c>
      <c r="J20" s="61">
        <v>0</v>
      </c>
      <c r="K20" s="61">
        <v>0</v>
      </c>
      <c r="L20" s="61">
        <v>0</v>
      </c>
      <c r="M20" s="70">
        <f t="shared" si="0"/>
        <v>0</v>
      </c>
      <c r="O20" s="55" t="str">
        <f>IF(ISBLANK(P20),"",MAX(O$5:O19)+1)</f>
        <v/>
      </c>
      <c r="P20" s="56"/>
      <c r="Q20" s="54"/>
      <c r="R20" s="57"/>
      <c r="S20" s="57"/>
      <c r="T20" s="57"/>
      <c r="U20" s="57"/>
    </row>
    <row r="21" spans="2:21">
      <c r="B21" s="61" t="s">
        <v>369</v>
      </c>
      <c r="C21" s="237"/>
      <c r="D21" s="237"/>
      <c r="E21" s="216">
        <v>0</v>
      </c>
      <c r="F21" s="54" t="s">
        <v>130</v>
      </c>
      <c r="G21" s="70">
        <v>0</v>
      </c>
      <c r="H21" s="70">
        <v>0</v>
      </c>
      <c r="I21" s="70">
        <v>0</v>
      </c>
      <c r="J21" s="70">
        <v>0</v>
      </c>
      <c r="K21" s="70">
        <v>0</v>
      </c>
      <c r="L21" s="61">
        <v>0</v>
      </c>
      <c r="M21" s="70">
        <f t="shared" si="0"/>
        <v>0</v>
      </c>
      <c r="O21" s="55">
        <f>IF(ISBLANK(P21),"",MAX(O$5:O20)+1)</f>
        <v>8</v>
      </c>
      <c r="P21" s="56" t="s">
        <v>370</v>
      </c>
      <c r="Q21" s="54"/>
      <c r="R21" s="57"/>
      <c r="S21" s="57"/>
      <c r="T21" s="57"/>
      <c r="U21" s="57"/>
    </row>
    <row r="22" spans="2:21">
      <c r="B22" s="61" t="s">
        <v>8</v>
      </c>
      <c r="C22" s="237"/>
      <c r="D22" s="237"/>
      <c r="E22" s="216">
        <v>0</v>
      </c>
      <c r="F22" s="54" t="s">
        <v>130</v>
      </c>
      <c r="G22" s="70">
        <v>0</v>
      </c>
      <c r="H22" s="70">
        <v>0</v>
      </c>
      <c r="I22" s="70">
        <v>0</v>
      </c>
      <c r="J22" s="70">
        <v>0</v>
      </c>
      <c r="K22" s="70">
        <v>0</v>
      </c>
      <c r="L22" s="61">
        <v>0</v>
      </c>
      <c r="M22" s="70">
        <f t="shared" si="0"/>
        <v>0</v>
      </c>
      <c r="O22" s="55">
        <f>IF(ISBLANK(P22),"",MAX(O$5:O21)+1)</f>
        <v>9</v>
      </c>
      <c r="P22" s="56" t="s">
        <v>371</v>
      </c>
      <c r="Q22" s="54"/>
      <c r="R22" s="57"/>
      <c r="S22" s="57"/>
      <c r="T22" s="57"/>
      <c r="U22" s="57"/>
    </row>
    <row r="23" spans="2:21">
      <c r="B23" s="57"/>
      <c r="C23" s="71"/>
      <c r="D23" s="71"/>
      <c r="E23" s="71"/>
      <c r="F23" s="54"/>
      <c r="G23" s="70"/>
      <c r="H23" s="70"/>
      <c r="I23" s="70"/>
      <c r="J23" s="70"/>
      <c r="K23" s="70"/>
      <c r="L23" s="70"/>
      <c r="M23" s="70"/>
      <c r="N23" s="70"/>
      <c r="O23" s="55" t="str">
        <f>IF(ISBLANK(P23),"",MAX(O$5:O22)+1)</f>
        <v/>
      </c>
      <c r="P23" s="56"/>
      <c r="Q23" s="54"/>
      <c r="R23" s="57"/>
      <c r="S23" s="57"/>
      <c r="T23" s="57"/>
      <c r="U23" s="57"/>
    </row>
    <row r="24" spans="2:21">
      <c r="B24" s="71" t="s">
        <v>574</v>
      </c>
      <c r="C24" s="71"/>
      <c r="D24" s="71"/>
      <c r="E24" s="71"/>
      <c r="F24" s="54" t="s">
        <v>130</v>
      </c>
      <c r="G24" s="72">
        <f t="shared" ref="G24:M24" si="1">SUM(G14:G22)</f>
        <v>0</v>
      </c>
      <c r="H24" s="72">
        <f t="shared" si="1"/>
        <v>0</v>
      </c>
      <c r="I24" s="72">
        <f t="shared" si="1"/>
        <v>0</v>
      </c>
      <c r="J24" s="72">
        <f t="shared" si="1"/>
        <v>0</v>
      </c>
      <c r="K24" s="72">
        <f t="shared" si="1"/>
        <v>0</v>
      </c>
      <c r="L24" s="72">
        <f t="shared" si="1"/>
        <v>0</v>
      </c>
      <c r="M24" s="72">
        <f t="shared" si="1"/>
        <v>0</v>
      </c>
      <c r="N24" s="217"/>
      <c r="O24" s="55" t="str">
        <f>IF(ISBLANK(P24),"",MAX(O$5:O23)+1)</f>
        <v/>
      </c>
      <c r="P24" s="56"/>
      <c r="Q24" s="54"/>
      <c r="R24" s="57"/>
      <c r="S24" s="57"/>
      <c r="T24" s="57"/>
      <c r="U24" s="57"/>
    </row>
    <row r="25" spans="2:21">
      <c r="B25" s="71" t="s">
        <v>575</v>
      </c>
      <c r="C25" s="71"/>
      <c r="D25" s="71"/>
      <c r="E25" s="71"/>
      <c r="F25" s="54" t="s">
        <v>22</v>
      </c>
      <c r="G25" s="73">
        <f>IFERROR(G24/$M24,0)</f>
        <v>0</v>
      </c>
      <c r="H25" s="73">
        <f t="shared" ref="H25:M25" si="2">IFERROR(H24/$M24,0)</f>
        <v>0</v>
      </c>
      <c r="I25" s="73">
        <f t="shared" si="2"/>
        <v>0</v>
      </c>
      <c r="J25" s="73">
        <f t="shared" si="2"/>
        <v>0</v>
      </c>
      <c r="K25" s="73">
        <f t="shared" si="2"/>
        <v>0</v>
      </c>
      <c r="L25" s="73">
        <f t="shared" si="2"/>
        <v>0</v>
      </c>
      <c r="M25" s="73">
        <f t="shared" si="2"/>
        <v>0</v>
      </c>
      <c r="N25" s="73"/>
      <c r="O25" s="55" t="str">
        <f>IF(ISBLANK(P25),"",MAX(O$5:O24)+1)</f>
        <v/>
      </c>
      <c r="P25" s="56"/>
      <c r="Q25" s="54"/>
      <c r="R25" s="57"/>
      <c r="S25" s="57"/>
      <c r="T25" s="57"/>
      <c r="U25" s="57"/>
    </row>
    <row r="26" spans="2:21">
      <c r="B26" s="71"/>
      <c r="C26" s="71"/>
      <c r="D26" s="71"/>
      <c r="E26" s="71"/>
      <c r="F26" s="54"/>
      <c r="G26" s="54"/>
      <c r="H26" s="54"/>
      <c r="I26" s="54"/>
      <c r="J26" s="54"/>
      <c r="K26" s="54"/>
      <c r="L26" s="54"/>
      <c r="M26" s="54"/>
      <c r="N26" s="54"/>
      <c r="O26" s="55" t="str">
        <f>IF(ISBLANK(P26),"",MAX(O$5:O25)+1)</f>
        <v/>
      </c>
      <c r="P26" s="56"/>
      <c r="Q26" s="54"/>
      <c r="R26" s="57"/>
      <c r="S26" s="57"/>
      <c r="T26" s="57"/>
      <c r="U26" s="57"/>
    </row>
    <row r="27" spans="2:21">
      <c r="B27" s="74" t="s">
        <v>373</v>
      </c>
      <c r="C27" s="74"/>
      <c r="D27" s="74"/>
      <c r="E27" s="74"/>
      <c r="F27" s="54"/>
      <c r="G27" s="54"/>
      <c r="H27" s="54"/>
      <c r="I27" s="54"/>
      <c r="J27" s="54"/>
      <c r="K27" s="54"/>
      <c r="L27" s="54"/>
      <c r="M27" s="54"/>
      <c r="O27" s="55">
        <f>IF(ISBLANK(P27),"",MAX(O$5:O26)+1)</f>
        <v>10</v>
      </c>
      <c r="P27" s="56" t="s">
        <v>374</v>
      </c>
      <c r="Q27" s="54"/>
      <c r="R27" s="57"/>
      <c r="S27" s="57"/>
      <c r="T27" s="57"/>
      <c r="U27" s="57"/>
    </row>
    <row r="28" spans="2:21" outlineLevel="1">
      <c r="B28" s="71" t="str">
        <f t="shared" ref="B28:B36" si="3">B14</f>
        <v>Investor</v>
      </c>
      <c r="C28" s="71"/>
      <c r="D28" s="71"/>
      <c r="E28" s="71"/>
      <c r="F28" s="54" t="str">
        <f t="shared" ref="F28:F38" si="4">F$5</f>
        <v>$</v>
      </c>
      <c r="G28" s="61">
        <v>0</v>
      </c>
      <c r="H28" s="61">
        <v>0</v>
      </c>
      <c r="I28" s="61">
        <v>0</v>
      </c>
      <c r="J28" s="61">
        <v>0</v>
      </c>
      <c r="K28" s="61">
        <v>0</v>
      </c>
      <c r="L28" s="61">
        <v>0</v>
      </c>
      <c r="M28" s="70">
        <f t="shared" ref="M28:M36" si="5">SUM(G28:L28)</f>
        <v>0</v>
      </c>
      <c r="O28" s="55">
        <f>IF(ISBLANK(P28),"",MAX(O$5:O27)+1)</f>
        <v>11</v>
      </c>
      <c r="P28" s="56" t="s">
        <v>375</v>
      </c>
      <c r="Q28" s="54"/>
      <c r="R28" s="57"/>
      <c r="S28" s="57"/>
      <c r="T28" s="57"/>
      <c r="U28" s="57"/>
    </row>
    <row r="29" spans="2:21" outlineLevel="1">
      <c r="B29" s="71" t="str">
        <f t="shared" si="3"/>
        <v>Investor</v>
      </c>
      <c r="C29" s="71"/>
      <c r="D29" s="71"/>
      <c r="E29" s="71"/>
      <c r="F29" s="54" t="str">
        <f t="shared" si="4"/>
        <v>$</v>
      </c>
      <c r="G29" s="61">
        <v>0</v>
      </c>
      <c r="H29" s="61">
        <v>0</v>
      </c>
      <c r="I29" s="61">
        <v>0</v>
      </c>
      <c r="J29" s="61">
        <v>0</v>
      </c>
      <c r="K29" s="61">
        <v>0</v>
      </c>
      <c r="L29" s="61">
        <v>0</v>
      </c>
      <c r="M29" s="70">
        <f t="shared" si="5"/>
        <v>0</v>
      </c>
      <c r="O29" s="55" t="str">
        <f>IF(ISBLANK(P29),"",MAX(O$5:O28)+1)</f>
        <v/>
      </c>
      <c r="P29" s="56"/>
      <c r="Q29" s="54"/>
      <c r="R29" s="57"/>
      <c r="S29" s="57"/>
      <c r="T29" s="57"/>
      <c r="U29" s="57"/>
    </row>
    <row r="30" spans="2:21" outlineLevel="1">
      <c r="B30" s="71" t="str">
        <f t="shared" si="3"/>
        <v>Investor</v>
      </c>
      <c r="C30" s="71"/>
      <c r="D30" s="71"/>
      <c r="E30" s="71"/>
      <c r="F30" s="54" t="str">
        <f t="shared" si="4"/>
        <v>$</v>
      </c>
      <c r="G30" s="61">
        <v>0</v>
      </c>
      <c r="H30" s="61">
        <v>0</v>
      </c>
      <c r="I30" s="61">
        <v>0</v>
      </c>
      <c r="J30" s="61">
        <v>0</v>
      </c>
      <c r="K30" s="61">
        <v>0</v>
      </c>
      <c r="L30" s="61">
        <v>0</v>
      </c>
      <c r="M30" s="70">
        <f t="shared" si="5"/>
        <v>0</v>
      </c>
      <c r="O30" s="55" t="str">
        <f>IF(ISBLANK(P30),"",MAX(O$5:O29)+1)</f>
        <v/>
      </c>
      <c r="P30" s="56"/>
      <c r="Q30" s="54"/>
      <c r="R30" s="57"/>
      <c r="S30" s="57"/>
      <c r="T30" s="57"/>
      <c r="U30" s="57"/>
    </row>
    <row r="31" spans="2:21" outlineLevel="1">
      <c r="B31" s="71" t="str">
        <f t="shared" si="3"/>
        <v>Investor</v>
      </c>
      <c r="C31" s="71"/>
      <c r="D31" s="71"/>
      <c r="E31" s="71"/>
      <c r="F31" s="54" t="str">
        <f t="shared" si="4"/>
        <v>$</v>
      </c>
      <c r="G31" s="61">
        <v>0</v>
      </c>
      <c r="H31" s="61">
        <v>0</v>
      </c>
      <c r="I31" s="61">
        <v>0</v>
      </c>
      <c r="J31" s="61">
        <v>0</v>
      </c>
      <c r="K31" s="61">
        <v>0</v>
      </c>
      <c r="L31" s="61">
        <v>0</v>
      </c>
      <c r="M31" s="70">
        <f t="shared" si="5"/>
        <v>0</v>
      </c>
      <c r="O31" s="55" t="str">
        <f>IF(ISBLANK(P31),"",MAX(O$5:O30)+1)</f>
        <v/>
      </c>
      <c r="P31" s="56"/>
      <c r="Q31" s="54"/>
      <c r="R31" s="57"/>
      <c r="S31" s="57"/>
      <c r="T31" s="57"/>
      <c r="U31" s="57"/>
    </row>
    <row r="32" spans="2:21" outlineLevel="1">
      <c r="B32" s="71" t="str">
        <f t="shared" si="3"/>
        <v>Investor</v>
      </c>
      <c r="C32" s="71"/>
      <c r="D32" s="71"/>
      <c r="E32" s="71"/>
      <c r="F32" s="54" t="str">
        <f t="shared" si="4"/>
        <v>$</v>
      </c>
      <c r="G32" s="61">
        <v>0</v>
      </c>
      <c r="H32" s="61">
        <v>0</v>
      </c>
      <c r="I32" s="61">
        <v>0</v>
      </c>
      <c r="J32" s="61">
        <v>0</v>
      </c>
      <c r="K32" s="61">
        <v>0</v>
      </c>
      <c r="L32" s="61">
        <v>0</v>
      </c>
      <c r="M32" s="70">
        <f t="shared" si="5"/>
        <v>0</v>
      </c>
      <c r="O32" s="55" t="str">
        <f>IF(ISBLANK(P32),"",MAX(O$5:O31)+1)</f>
        <v/>
      </c>
      <c r="P32" s="56"/>
      <c r="Q32" s="54"/>
      <c r="R32" s="57"/>
      <c r="S32" s="57"/>
      <c r="T32" s="57"/>
      <c r="U32" s="57"/>
    </row>
    <row r="33" spans="2:29" outlineLevel="1">
      <c r="B33" s="71" t="str">
        <f t="shared" si="3"/>
        <v>Investor</v>
      </c>
      <c r="C33" s="71"/>
      <c r="D33" s="71"/>
      <c r="E33" s="71"/>
      <c r="F33" s="54" t="str">
        <f t="shared" si="4"/>
        <v>$</v>
      </c>
      <c r="G33" s="61">
        <v>0</v>
      </c>
      <c r="H33" s="61">
        <v>0</v>
      </c>
      <c r="I33" s="61">
        <v>0</v>
      </c>
      <c r="J33" s="61">
        <v>0</v>
      </c>
      <c r="K33" s="61">
        <v>0</v>
      </c>
      <c r="L33" s="61">
        <v>0</v>
      </c>
      <c r="M33" s="70">
        <f t="shared" si="5"/>
        <v>0</v>
      </c>
      <c r="O33" s="55" t="str">
        <f>IF(ISBLANK(P33),"",MAX(O$5:O32)+1)</f>
        <v/>
      </c>
      <c r="P33" s="56"/>
      <c r="Q33" s="54"/>
      <c r="R33" s="57"/>
      <c r="S33" s="57"/>
      <c r="T33" s="57"/>
      <c r="U33" s="57"/>
    </row>
    <row r="34" spans="2:29" outlineLevel="1">
      <c r="B34" s="71" t="str">
        <f t="shared" si="3"/>
        <v>Investor</v>
      </c>
      <c r="C34" s="71"/>
      <c r="D34" s="71"/>
      <c r="E34" s="71"/>
      <c r="F34" s="54" t="str">
        <f t="shared" si="4"/>
        <v>$</v>
      </c>
      <c r="G34" s="61">
        <v>0</v>
      </c>
      <c r="H34" s="61">
        <v>0</v>
      </c>
      <c r="I34" s="61">
        <v>0</v>
      </c>
      <c r="J34" s="61">
        <v>0</v>
      </c>
      <c r="K34" s="61">
        <v>0</v>
      </c>
      <c r="L34" s="61">
        <v>0</v>
      </c>
      <c r="M34" s="70">
        <f t="shared" si="5"/>
        <v>0</v>
      </c>
      <c r="O34" s="55" t="str">
        <f>IF(ISBLANK(P34),"",MAX(O$5:O33)+1)</f>
        <v/>
      </c>
      <c r="P34" s="56"/>
      <c r="Q34" s="54"/>
      <c r="R34" s="57"/>
      <c r="S34" s="57"/>
      <c r="T34" s="57"/>
      <c r="U34" s="57"/>
    </row>
    <row r="35" spans="2:29" outlineLevel="1">
      <c r="B35" s="71" t="str">
        <f t="shared" si="3"/>
        <v>Options Exercised</v>
      </c>
      <c r="C35" s="71"/>
      <c r="D35" s="71"/>
      <c r="E35" s="71"/>
      <c r="F35" s="54" t="str">
        <f t="shared" si="4"/>
        <v>$</v>
      </c>
      <c r="G35" s="61">
        <v>0</v>
      </c>
      <c r="H35" s="61">
        <v>0</v>
      </c>
      <c r="I35" s="61">
        <v>0</v>
      </c>
      <c r="J35" s="61">
        <v>0</v>
      </c>
      <c r="K35" s="61">
        <v>0</v>
      </c>
      <c r="L35" s="61">
        <v>0</v>
      </c>
      <c r="M35" s="70">
        <f t="shared" si="5"/>
        <v>0</v>
      </c>
      <c r="O35" s="55" t="str">
        <f>IF(ISBLANK(P35),"",MAX(O$5:O34)+1)</f>
        <v/>
      </c>
      <c r="P35" s="56"/>
      <c r="Q35" s="54"/>
      <c r="R35" s="57"/>
      <c r="S35" s="57"/>
      <c r="T35" s="57"/>
      <c r="U35" s="57"/>
    </row>
    <row r="36" spans="2:29" outlineLevel="1">
      <c r="B36" s="71" t="str">
        <f t="shared" si="3"/>
        <v>Option Pool</v>
      </c>
      <c r="C36" s="71"/>
      <c r="D36" s="71"/>
      <c r="E36" s="71"/>
      <c r="F36" s="54" t="str">
        <f t="shared" si="4"/>
        <v>$</v>
      </c>
      <c r="G36" s="61">
        <v>0</v>
      </c>
      <c r="H36" s="61">
        <v>0</v>
      </c>
      <c r="I36" s="61">
        <v>0</v>
      </c>
      <c r="J36" s="61">
        <v>0</v>
      </c>
      <c r="K36" s="61">
        <v>0</v>
      </c>
      <c r="L36" s="61">
        <v>0</v>
      </c>
      <c r="M36" s="70">
        <f t="shared" si="5"/>
        <v>0</v>
      </c>
      <c r="O36" s="55" t="str">
        <f>IF(ISBLANK(P36),"",MAX(O$5:O35)+1)</f>
        <v/>
      </c>
      <c r="P36" s="56"/>
      <c r="Q36" s="54"/>
      <c r="R36" s="57"/>
      <c r="S36" s="57"/>
      <c r="T36" s="57"/>
      <c r="U36" s="57"/>
    </row>
    <row r="37" spans="2:29" outlineLevel="1">
      <c r="B37" s="71"/>
      <c r="C37" s="71"/>
      <c r="D37" s="71"/>
      <c r="E37" s="71"/>
      <c r="F37" s="54"/>
      <c r="G37" s="54"/>
      <c r="H37" s="54"/>
      <c r="I37" s="54"/>
      <c r="J37" s="54"/>
      <c r="K37" s="54"/>
      <c r="L37" s="54"/>
      <c r="M37" s="54"/>
      <c r="N37" s="54"/>
      <c r="O37" s="55" t="str">
        <f>IF(ISBLANK(P37),"",MAX(O$5:O36)+1)</f>
        <v/>
      </c>
      <c r="P37" s="56"/>
      <c r="Q37" s="54"/>
      <c r="R37" s="57"/>
      <c r="S37" s="57"/>
      <c r="T37" s="57"/>
      <c r="U37" s="57"/>
    </row>
    <row r="38" spans="2:29" outlineLevel="1">
      <c r="B38" s="71" t="s">
        <v>376</v>
      </c>
      <c r="C38" s="71"/>
      <c r="D38" s="71"/>
      <c r="E38" s="71"/>
      <c r="F38" s="54" t="str">
        <f t="shared" si="4"/>
        <v>$</v>
      </c>
      <c r="G38" s="75">
        <f t="shared" ref="G38:L38" si="6">SUM(G28:G36)</f>
        <v>0</v>
      </c>
      <c r="H38" s="75">
        <f t="shared" si="6"/>
        <v>0</v>
      </c>
      <c r="I38" s="75">
        <f t="shared" si="6"/>
        <v>0</v>
      </c>
      <c r="J38" s="75">
        <f t="shared" si="6"/>
        <v>0</v>
      </c>
      <c r="K38" s="75">
        <f t="shared" si="6"/>
        <v>0</v>
      </c>
      <c r="L38" s="75">
        <f t="shared" si="6"/>
        <v>0</v>
      </c>
      <c r="M38" s="76">
        <f>SUM(G38:L38)</f>
        <v>0</v>
      </c>
      <c r="N38" s="76"/>
      <c r="O38" s="55">
        <f>IF(ISBLANK(P38),"",MAX(O$5:O37)+1)</f>
        <v>12</v>
      </c>
      <c r="P38" s="56" t="s">
        <v>377</v>
      </c>
      <c r="Q38" s="54"/>
      <c r="R38" s="57"/>
      <c r="S38" s="57"/>
      <c r="T38" s="57"/>
      <c r="U38" s="57"/>
    </row>
    <row r="39" spans="2:29" outlineLevel="1">
      <c r="B39" s="71" t="s">
        <v>378</v>
      </c>
      <c r="C39" s="71"/>
      <c r="D39" s="71"/>
      <c r="E39" s="71"/>
      <c r="F39" s="54" t="str">
        <f>F$5</f>
        <v>$</v>
      </c>
      <c r="G39" s="61">
        <f t="shared" ref="G39:I39" si="7">G40*G24</f>
        <v>0</v>
      </c>
      <c r="H39" s="61">
        <f t="shared" si="7"/>
        <v>0</v>
      </c>
      <c r="I39" s="61">
        <f t="shared" si="7"/>
        <v>0</v>
      </c>
      <c r="J39" s="61">
        <f>J40*J24</f>
        <v>0</v>
      </c>
      <c r="K39" s="61">
        <f>SUM(K28:K36)</f>
        <v>0</v>
      </c>
      <c r="L39" s="61">
        <f>SUM(L28:L36)</f>
        <v>0</v>
      </c>
      <c r="M39" s="76">
        <f>SUM(G39:L39)</f>
        <v>0</v>
      </c>
      <c r="N39" s="76"/>
      <c r="O39" s="55">
        <f>IF(ISBLANK(P39),"",MAX(O$5:O38)+1)</f>
        <v>13</v>
      </c>
      <c r="P39" s="56" t="s">
        <v>379</v>
      </c>
      <c r="Q39" s="54"/>
      <c r="R39" s="57"/>
      <c r="S39" s="57"/>
      <c r="T39" s="57"/>
      <c r="U39" s="57"/>
    </row>
    <row r="40" spans="2:29" outlineLevel="1">
      <c r="B40" s="71" t="s">
        <v>380</v>
      </c>
      <c r="C40" s="71"/>
      <c r="D40" s="71"/>
      <c r="E40" s="71"/>
      <c r="F40" s="54" t="str">
        <f>F$5</f>
        <v>$</v>
      </c>
      <c r="G40" s="77">
        <v>0</v>
      </c>
      <c r="H40" s="77">
        <v>0</v>
      </c>
      <c r="I40" s="77">
        <v>0</v>
      </c>
      <c r="J40" s="77">
        <v>0</v>
      </c>
      <c r="K40" s="77">
        <v>0</v>
      </c>
      <c r="L40" s="77">
        <v>0</v>
      </c>
      <c r="M40" s="78" t="s">
        <v>7</v>
      </c>
      <c r="N40" s="78"/>
      <c r="O40" s="55">
        <f>IF(ISBLANK(P40),"",MAX(O$5:O39)+1)</f>
        <v>14</v>
      </c>
      <c r="P40" s="56" t="s">
        <v>381</v>
      </c>
      <c r="Q40" s="54"/>
      <c r="R40" s="57"/>
      <c r="S40" s="57"/>
      <c r="T40" s="57"/>
      <c r="U40" s="57"/>
    </row>
    <row r="41" spans="2:29" outlineLevel="1">
      <c r="B41" s="71" t="s">
        <v>382</v>
      </c>
      <c r="C41" s="71"/>
      <c r="D41" s="71"/>
      <c r="E41" s="71"/>
      <c r="F41" s="54" t="s">
        <v>156</v>
      </c>
      <c r="G41" s="62">
        <f ca="1">EDATE(TODAY(),0)</f>
        <v>44041</v>
      </c>
      <c r="H41" s="62">
        <f ca="1">EDATE(TODAY(),0)</f>
        <v>44041</v>
      </c>
      <c r="I41" s="62">
        <f ca="1">EDATE(TODAY(),0)</f>
        <v>44041</v>
      </c>
      <c r="J41" s="62">
        <f ca="1">EDATE(TODAY(),0)</f>
        <v>44041</v>
      </c>
      <c r="K41" s="66" t="s">
        <v>7</v>
      </c>
      <c r="L41" s="66" t="s">
        <v>7</v>
      </c>
      <c r="M41" s="54"/>
      <c r="N41" s="54"/>
      <c r="O41" s="55">
        <f>IF(ISBLANK(P41),"",MAX(O$5:O40)+1)</f>
        <v>15</v>
      </c>
      <c r="P41" s="56" t="s">
        <v>383</v>
      </c>
      <c r="Q41" s="54"/>
      <c r="R41" s="57"/>
      <c r="S41" s="57"/>
      <c r="T41" s="57"/>
      <c r="U41" s="57"/>
    </row>
    <row r="42" spans="2:29">
      <c r="B42" s="74"/>
      <c r="C42" s="74"/>
      <c r="D42" s="74"/>
      <c r="E42" s="74"/>
      <c r="F42" s="54"/>
      <c r="G42" s="54"/>
      <c r="H42" s="54"/>
      <c r="I42" s="54"/>
      <c r="J42" s="54"/>
      <c r="K42" s="54"/>
      <c r="L42" s="54"/>
      <c r="M42" s="54"/>
      <c r="N42" s="54"/>
      <c r="O42" s="55" t="str">
        <f>IF(ISBLANK(P42),"",MAX(O$5:O41)+1)</f>
        <v/>
      </c>
      <c r="P42" s="56"/>
      <c r="Q42" s="54"/>
      <c r="R42" s="57"/>
      <c r="S42" s="57"/>
      <c r="T42" s="57"/>
      <c r="U42" s="57"/>
    </row>
    <row r="43" spans="2:29">
      <c r="B43" s="74" t="s">
        <v>390</v>
      </c>
      <c r="C43" s="74"/>
      <c r="D43" s="74"/>
      <c r="E43" s="74"/>
      <c r="F43" s="59"/>
      <c r="G43" s="54"/>
      <c r="H43" s="54"/>
      <c r="I43" s="54"/>
      <c r="J43" s="80"/>
      <c r="K43" s="57"/>
      <c r="L43" s="57"/>
      <c r="M43" s="57"/>
      <c r="N43" s="57"/>
      <c r="O43" s="55">
        <f>IF(ISBLANK(P43),"",MAX(O$5:O42)+1)</f>
        <v>16</v>
      </c>
      <c r="P43" s="56" t="s">
        <v>391</v>
      </c>
      <c r="Q43" s="57"/>
      <c r="R43" s="57"/>
      <c r="S43" s="57"/>
    </row>
    <row r="44" spans="2:29" outlineLevel="1">
      <c r="B44" s="71" t="s">
        <v>392</v>
      </c>
      <c r="C44" s="71"/>
      <c r="D44" s="71"/>
      <c r="E44" s="71"/>
      <c r="F44" s="81" t="s">
        <v>130</v>
      </c>
      <c r="G44" s="79">
        <v>1</v>
      </c>
      <c r="H44" s="79">
        <v>1</v>
      </c>
      <c r="I44" s="79">
        <v>1</v>
      </c>
      <c r="J44" s="79">
        <v>1</v>
      </c>
      <c r="K44" s="66" t="s">
        <v>7</v>
      </c>
      <c r="L44" s="66" t="s">
        <v>7</v>
      </c>
      <c r="M44" s="57"/>
      <c r="N44" s="57"/>
      <c r="O44" s="55" t="str">
        <f>IF(ISBLANK(P44),"",MAX(O$5:O43)+1)</f>
        <v/>
      </c>
      <c r="P44" s="56"/>
      <c r="Q44" s="57"/>
      <c r="R44" s="57"/>
      <c r="S44" s="57"/>
    </row>
    <row r="45" spans="2:29" outlineLevel="1">
      <c r="B45" s="71" t="s">
        <v>390</v>
      </c>
      <c r="C45" s="71"/>
      <c r="D45" s="71"/>
      <c r="E45" s="71"/>
      <c r="F45" s="54" t="str">
        <f>F$5</f>
        <v>$</v>
      </c>
      <c r="G45" s="76">
        <f>G39*G44</f>
        <v>0</v>
      </c>
      <c r="H45" s="76">
        <f>H39*H44</f>
        <v>0</v>
      </c>
      <c r="I45" s="76">
        <f>I39*I44</f>
        <v>0</v>
      </c>
      <c r="J45" s="76">
        <f>J39*J44</f>
        <v>0</v>
      </c>
      <c r="K45" s="66">
        <v>0</v>
      </c>
      <c r="L45" s="66">
        <v>0</v>
      </c>
      <c r="M45" s="76">
        <f>SUM(G45:L45)</f>
        <v>0</v>
      </c>
      <c r="N45" s="76"/>
      <c r="O45" s="55">
        <f>IF(ISBLANK(P45),"",MAX(O$5:O44)+1)</f>
        <v>17</v>
      </c>
      <c r="P45" s="56" t="s">
        <v>393</v>
      </c>
      <c r="R45" s="57"/>
      <c r="AC45" s="70">
        <f>SUMIFS(G45:J45,G46:J46,"&lt;&gt;"&amp;B328)</f>
        <v>0</v>
      </c>
    </row>
    <row r="46" spans="2:29" outlineLevel="1">
      <c r="B46" s="71" t="s">
        <v>394</v>
      </c>
      <c r="C46" s="71"/>
      <c r="D46" s="71"/>
      <c r="E46" s="71"/>
      <c r="F46" s="54" t="s">
        <v>156</v>
      </c>
      <c r="G46" s="82" t="s">
        <v>395</v>
      </c>
      <c r="H46" s="82" t="s">
        <v>395</v>
      </c>
      <c r="I46" s="82" t="s">
        <v>395</v>
      </c>
      <c r="J46" s="82" t="s">
        <v>395</v>
      </c>
      <c r="K46" s="66" t="s">
        <v>7</v>
      </c>
      <c r="L46" s="66" t="s">
        <v>7</v>
      </c>
      <c r="O46" s="55">
        <f>IF(ISBLANK(P46),"",MAX(O$5:O45)+1)</f>
        <v>18</v>
      </c>
      <c r="P46" s="56" t="s">
        <v>396</v>
      </c>
    </row>
    <row r="47" spans="2:29" outlineLevel="1">
      <c r="B47" s="71" t="s">
        <v>397</v>
      </c>
      <c r="C47" s="71"/>
      <c r="D47" s="71"/>
      <c r="E47" s="71"/>
      <c r="F47" s="54" t="s">
        <v>130</v>
      </c>
      <c r="G47" s="79">
        <v>2</v>
      </c>
      <c r="H47" s="79">
        <v>2</v>
      </c>
      <c r="I47" s="79">
        <v>2</v>
      </c>
      <c r="J47" s="79">
        <v>1</v>
      </c>
      <c r="K47" s="66" t="s">
        <v>7</v>
      </c>
      <c r="L47" s="66" t="s">
        <v>7</v>
      </c>
      <c r="O47" s="55">
        <f>IF(ISBLANK(P47),"",MAX(O$5:O46)+1)</f>
        <v>19</v>
      </c>
      <c r="P47" s="56" t="s">
        <v>398</v>
      </c>
    </row>
    <row r="48" spans="2:29" outlineLevel="1">
      <c r="B48" s="71" t="s">
        <v>399</v>
      </c>
      <c r="C48" s="71"/>
      <c r="D48" s="71"/>
      <c r="E48" s="71"/>
      <c r="F48" s="54" t="str">
        <f>F$5</f>
        <v>$</v>
      </c>
      <c r="G48" s="70">
        <f>IF($G$46=$B$329,G39*G47,0)</f>
        <v>0</v>
      </c>
      <c r="H48" s="70">
        <f>IF($G$46=$B$329,H39*H47,0)</f>
        <v>0</v>
      </c>
      <c r="I48" s="70">
        <f>IF($G$46=$B$329,I39*I47,0)</f>
        <v>0</v>
      </c>
      <c r="J48" s="70">
        <f>IF($G$46=$B$329,J39*J47,0)</f>
        <v>0</v>
      </c>
      <c r="K48" s="70">
        <v>0</v>
      </c>
      <c r="L48" s="70">
        <v>0</v>
      </c>
      <c r="M48" s="76">
        <f>SUM(G48:L48)</f>
        <v>0</v>
      </c>
      <c r="N48" s="76"/>
      <c r="O48" s="55" t="str">
        <f>IF(ISBLANK(P48),"",MAX(O$5:O47)+1)</f>
        <v/>
      </c>
      <c r="Q48" s="54"/>
      <c r="R48" s="54"/>
      <c r="S48" s="54"/>
      <c r="T48" s="57"/>
      <c r="U48" s="57"/>
    </row>
    <row r="49" spans="2:21" outlineLevel="1">
      <c r="B49" s="71" t="s">
        <v>400</v>
      </c>
      <c r="C49" s="71"/>
      <c r="D49" s="71"/>
      <c r="E49" s="71"/>
      <c r="F49" s="54" t="s">
        <v>130</v>
      </c>
      <c r="G49" s="79">
        <v>1</v>
      </c>
      <c r="H49" s="79">
        <v>1</v>
      </c>
      <c r="I49" s="79">
        <v>1</v>
      </c>
      <c r="J49" s="79">
        <v>1</v>
      </c>
      <c r="K49" s="84">
        <v>1</v>
      </c>
      <c r="L49" s="84">
        <v>1</v>
      </c>
      <c r="O49" s="55" t="str">
        <f>IF(ISBLANK(P49),"",MAX(O$5:O48)+1)</f>
        <v/>
      </c>
      <c r="Q49" s="54"/>
      <c r="R49" s="54"/>
      <c r="S49" s="54"/>
      <c r="T49" s="57"/>
      <c r="U49" s="57"/>
    </row>
    <row r="50" spans="2:21">
      <c r="B50" s="71"/>
      <c r="C50" s="71"/>
      <c r="D50" s="71"/>
      <c r="E50" s="71"/>
      <c r="F50" s="54"/>
      <c r="G50" s="54"/>
      <c r="H50" s="54"/>
      <c r="I50" s="54"/>
      <c r="J50" s="54"/>
      <c r="K50" s="54"/>
      <c r="L50" s="54"/>
      <c r="M50" s="54"/>
      <c r="N50" s="54"/>
      <c r="O50" s="55" t="str">
        <f>IF(ISBLANK(P50),"",MAX(O$5:O49)+1)</f>
        <v/>
      </c>
      <c r="Q50" s="54"/>
      <c r="R50" s="54"/>
      <c r="S50" s="54"/>
      <c r="T50" s="57"/>
      <c r="U50" s="57"/>
    </row>
    <row r="51" spans="2:21">
      <c r="B51" s="74" t="s">
        <v>384</v>
      </c>
      <c r="C51" s="74"/>
      <c r="D51" s="74"/>
      <c r="E51" s="74"/>
      <c r="F51" s="54"/>
      <c r="G51" s="54"/>
      <c r="H51" s="54"/>
      <c r="I51" s="54"/>
      <c r="J51" s="54"/>
      <c r="K51" s="54"/>
      <c r="L51" s="54"/>
      <c r="M51" s="54"/>
      <c r="N51" s="54"/>
      <c r="O51" s="55">
        <f>IF(ISBLANK(P51),"",MAX(O$5:O50)+1)</f>
        <v>20</v>
      </c>
      <c r="P51" s="56" t="s">
        <v>385</v>
      </c>
      <c r="Q51" s="54"/>
      <c r="R51" s="57"/>
      <c r="S51" s="57"/>
      <c r="T51" s="57"/>
      <c r="U51" s="57"/>
    </row>
    <row r="52" spans="2:21" outlineLevel="1">
      <c r="B52" s="71" t="s">
        <v>386</v>
      </c>
      <c r="C52" s="71"/>
      <c r="D52" s="71"/>
      <c r="E52" s="71"/>
      <c r="F52" s="54" t="s">
        <v>156</v>
      </c>
      <c r="G52" s="79" t="str">
        <f>$B335</f>
        <v>Not Declared</v>
      </c>
      <c r="H52" s="79" t="str">
        <f>$B335</f>
        <v>Not Declared</v>
      </c>
      <c r="I52" s="79" t="str">
        <f>$B335</f>
        <v>Not Declared</v>
      </c>
      <c r="J52" s="79" t="str">
        <f>$B335</f>
        <v>Not Declared</v>
      </c>
      <c r="K52" s="66" t="str">
        <f>K53</f>
        <v>na</v>
      </c>
      <c r="L52" s="66" t="str">
        <f>L53</f>
        <v>na</v>
      </c>
      <c r="M52" s="54"/>
      <c r="N52" s="54"/>
      <c r="O52" s="55">
        <f>IF(ISBLANK(P52),"",MAX(O$5:O51)+1)</f>
        <v>21</v>
      </c>
      <c r="P52" s="56" t="s">
        <v>387</v>
      </c>
      <c r="Q52" s="54"/>
      <c r="R52" s="57"/>
      <c r="S52" s="57"/>
      <c r="T52" s="57"/>
      <c r="U52" s="57"/>
    </row>
    <row r="53" spans="2:21" outlineLevel="1">
      <c r="B53" s="71" t="s">
        <v>388</v>
      </c>
      <c r="C53" s="71"/>
      <c r="D53" s="71"/>
      <c r="E53" s="71"/>
      <c r="F53" s="54" t="s">
        <v>22</v>
      </c>
      <c r="G53" s="63">
        <v>0.05</v>
      </c>
      <c r="H53" s="63">
        <v>0.05</v>
      </c>
      <c r="I53" s="63">
        <v>0.05</v>
      </c>
      <c r="J53" s="63">
        <v>0.05</v>
      </c>
      <c r="K53" s="66" t="s">
        <v>7</v>
      </c>
      <c r="L53" s="66" t="s">
        <v>7</v>
      </c>
      <c r="M53" s="54"/>
      <c r="N53" s="54"/>
      <c r="O53" s="55">
        <f>IF(ISBLANK(P53),"",MAX(O$5:O52)+1)</f>
        <v>22</v>
      </c>
      <c r="P53" s="56" t="s">
        <v>389</v>
      </c>
      <c r="Q53" s="54"/>
      <c r="R53" s="57"/>
      <c r="S53" s="57"/>
      <c r="T53" s="57"/>
      <c r="U53" s="57"/>
    </row>
    <row r="54" spans="2:21" outlineLevel="1">
      <c r="B54" s="120"/>
      <c r="C54" s="121"/>
      <c r="D54" s="121"/>
      <c r="E54" s="121"/>
      <c r="O54" s="55" t="str">
        <f>IF(ISBLANK(P54),"",MAX(O$5:O102)+1)</f>
        <v/>
      </c>
      <c r="P54" s="56"/>
    </row>
    <row r="55" spans="2:21">
      <c r="B55" s="74" t="s">
        <v>401</v>
      </c>
      <c r="C55" s="74"/>
      <c r="D55" s="74"/>
      <c r="E55" s="74"/>
      <c r="F55" s="58"/>
      <c r="G55" s="66"/>
      <c r="H55" s="66"/>
      <c r="O55" s="55">
        <f>IF(ISBLANK(P55),"",MAX(O$5:O54)+1)</f>
        <v>23</v>
      </c>
      <c r="P55" s="58" t="s">
        <v>402</v>
      </c>
      <c r="R55" s="54"/>
      <c r="S55" s="54"/>
      <c r="T55" s="57"/>
      <c r="U55" s="57"/>
    </row>
    <row r="56" spans="2:21" outlineLevel="1">
      <c r="B56" s="71" t="s">
        <v>403</v>
      </c>
      <c r="C56" s="71"/>
      <c r="D56" s="71"/>
      <c r="E56" s="71"/>
      <c r="F56" s="54" t="s">
        <v>156</v>
      </c>
      <c r="G56" s="66" t="str">
        <f t="shared" ref="G56:L56" si="8">G13</f>
        <v>C</v>
      </c>
      <c r="H56" s="66" t="str">
        <f t="shared" si="8"/>
        <v>B</v>
      </c>
      <c r="I56" s="66" t="str">
        <f t="shared" si="8"/>
        <v>A</v>
      </c>
      <c r="J56" s="66" t="str">
        <f t="shared" si="8"/>
        <v>Seed</v>
      </c>
      <c r="K56" s="66" t="str">
        <f t="shared" si="8"/>
        <v>Common</v>
      </c>
      <c r="L56" s="66" t="str">
        <f t="shared" si="8"/>
        <v>Options</v>
      </c>
      <c r="M56" s="66" t="s">
        <v>7</v>
      </c>
      <c r="N56" s="66"/>
      <c r="O56" s="55">
        <f>IF(ISBLANK(P56),"",MAX(O$5:O55)+1)</f>
        <v>24</v>
      </c>
      <c r="P56" s="58" t="s">
        <v>404</v>
      </c>
      <c r="R56" s="54"/>
      <c r="S56" s="54"/>
      <c r="T56" s="57"/>
      <c r="U56" s="57"/>
    </row>
    <row r="57" spans="2:21" outlineLevel="1">
      <c r="B57" s="71" t="s">
        <v>405</v>
      </c>
      <c r="C57" s="71"/>
      <c r="D57" s="71"/>
      <c r="E57" s="71"/>
      <c r="F57" s="54" t="s">
        <v>156</v>
      </c>
      <c r="G57" s="85" t="str">
        <f>G56</f>
        <v>C</v>
      </c>
      <c r="H57" s="85" t="str">
        <f>H56</f>
        <v>B</v>
      </c>
      <c r="I57" s="85" t="str">
        <f>I56</f>
        <v>A</v>
      </c>
      <c r="J57" s="85" t="str">
        <f>J56</f>
        <v>Seed</v>
      </c>
      <c r="K57" s="85" t="str">
        <f>K56</f>
        <v>Common</v>
      </c>
      <c r="L57" s="66" t="str">
        <f>K57</f>
        <v>Common</v>
      </c>
      <c r="M57" s="66" t="s">
        <v>7</v>
      </c>
      <c r="N57" s="66"/>
      <c r="O57" s="55">
        <f>IF(ISBLANK(P57),"",MAX(O$5:O56)+1)</f>
        <v>25</v>
      </c>
      <c r="P57" s="58" t="s">
        <v>406</v>
      </c>
      <c r="R57" s="54"/>
      <c r="S57" s="54"/>
      <c r="T57" s="57"/>
      <c r="U57" s="57"/>
    </row>
    <row r="58" spans="2:21" outlineLevel="1">
      <c r="B58" s="71"/>
      <c r="C58" s="71"/>
      <c r="D58" s="71"/>
      <c r="E58" s="71"/>
      <c r="F58" s="86"/>
      <c r="G58" s="87"/>
      <c r="H58" s="87"/>
      <c r="I58" s="87"/>
      <c r="J58" s="87"/>
      <c r="K58" s="87"/>
      <c r="L58" s="88"/>
      <c r="M58" s="88"/>
      <c r="N58" s="88"/>
      <c r="O58" s="55" t="str">
        <f>IF(ISBLANK(P58),"",MAX(O$5:O57)+1)</f>
        <v/>
      </c>
      <c r="P58" s="58"/>
      <c r="R58" s="86"/>
      <c r="S58" s="86"/>
      <c r="T58" s="71"/>
      <c r="U58" s="71"/>
    </row>
    <row r="59" spans="2:21" outlineLevel="1">
      <c r="B59" s="71" t="s">
        <v>407</v>
      </c>
      <c r="C59" s="71"/>
      <c r="D59" s="71"/>
      <c r="E59" s="71"/>
      <c r="F59" s="54" t="s">
        <v>130</v>
      </c>
      <c r="G59" s="89" cm="1">
        <f t="array" ref="G59">SUMPRODUCT($G24:$L24,--($G57:$L57=G13))</f>
        <v>0</v>
      </c>
      <c r="H59" s="89" cm="1">
        <f t="array" ref="H59">SUMPRODUCT($G24:$L24,--($G57:$L57=H13))</f>
        <v>0</v>
      </c>
      <c r="I59" s="89" cm="1">
        <f t="array" ref="I59">SUMPRODUCT($G24:$L24,--($G57:$L57=I13))</f>
        <v>0</v>
      </c>
      <c r="J59" s="89" cm="1">
        <f t="array" ref="J59">SUMPRODUCT($G24:$L24,--($G57:$L57=J13))</f>
        <v>0</v>
      </c>
      <c r="K59" s="89" cm="1">
        <f t="array" ref="K59">SUMPRODUCT($G24:$L24,--($G57:$L57=K13))</f>
        <v>0</v>
      </c>
      <c r="L59" s="66" cm="1">
        <f t="array" ref="L59">SUMPRODUCT($G24:$L24,--($G57:$L57=L13))</f>
        <v>0</v>
      </c>
      <c r="M59" s="76">
        <f>SUM(G59:L59)</f>
        <v>0</v>
      </c>
      <c r="N59" s="76"/>
      <c r="O59" s="55">
        <f>IF(ISBLANK(P59),"",MAX(O$5:O58)+1)</f>
        <v>26</v>
      </c>
      <c r="P59" s="58" t="s">
        <v>408</v>
      </c>
      <c r="R59" s="54"/>
      <c r="S59" s="54"/>
      <c r="T59" s="57"/>
      <c r="U59" s="57"/>
    </row>
    <row r="60" spans="2:21" outlineLevel="1">
      <c r="B60" s="71" t="s">
        <v>409</v>
      </c>
      <c r="C60" s="71"/>
      <c r="D60" s="71"/>
      <c r="E60" s="71"/>
      <c r="F60" s="54" t="str">
        <f>F$5</f>
        <v>$</v>
      </c>
      <c r="G60" s="89" cm="1">
        <f t="array" ref="G60">SUMPRODUCT($G39:$L39,--($G57:$L57=G13))</f>
        <v>0</v>
      </c>
      <c r="H60" s="89" cm="1">
        <f t="array" ref="H60">SUMPRODUCT($G39:$L39,--($G57:$L57=H13))</f>
        <v>0</v>
      </c>
      <c r="I60" s="89" cm="1">
        <f t="array" ref="I60">SUMPRODUCT($G39:$L39,--($G57:$L57=I13))</f>
        <v>0</v>
      </c>
      <c r="J60" s="89" cm="1">
        <f t="array" ref="J60">SUMPRODUCT($G39:$L39,--($G57:$L57=J13))</f>
        <v>0</v>
      </c>
      <c r="K60" s="89" cm="1">
        <f t="array" ref="K60">SUMPRODUCT($G39:$L39,--($G57:$L57=K13))</f>
        <v>0</v>
      </c>
      <c r="L60" s="89" cm="1">
        <f t="array" ref="L60">SUMPRODUCT($G39:$L39,--($G57:$L57=L13))</f>
        <v>0</v>
      </c>
      <c r="M60" s="76">
        <f>SUM(G60:L60)</f>
        <v>0</v>
      </c>
      <c r="N60" s="76"/>
      <c r="O60" s="55">
        <f>IF(ISBLANK(P60),"",MAX(O$5:O59)+1)</f>
        <v>27</v>
      </c>
      <c r="P60" s="58" t="s">
        <v>410</v>
      </c>
      <c r="R60" s="54"/>
      <c r="S60" s="54"/>
      <c r="T60" s="57"/>
      <c r="U60" s="57"/>
    </row>
    <row r="61" spans="2:21" outlineLevel="1">
      <c r="B61" s="71" t="s">
        <v>411</v>
      </c>
      <c r="C61" s="71"/>
      <c r="D61" s="71"/>
      <c r="E61" s="71"/>
      <c r="F61" s="54" t="str">
        <f>F$5</f>
        <v>$</v>
      </c>
      <c r="G61" s="89" cm="1">
        <f t="array" ref="G61">SUMPRODUCT($G45:$L45,--($G57:$L57=G13))</f>
        <v>0</v>
      </c>
      <c r="H61" s="89" cm="1">
        <f t="array" ref="H61">SUMPRODUCT($G45:$L45,--($G57:$L57=H13))</f>
        <v>0</v>
      </c>
      <c r="I61" s="89" cm="1">
        <f t="array" ref="I61">SUMPRODUCT($G45:$L45,--($G57:$L57=I13))</f>
        <v>0</v>
      </c>
      <c r="J61" s="89" cm="1">
        <f t="array" ref="J61">SUMPRODUCT($G45:$L45,--($G57:$L57=J13))</f>
        <v>0</v>
      </c>
      <c r="K61" s="89" cm="1">
        <f t="array" ref="K61">SUMPRODUCT($G45:$L45,--($G57:$L57=K13))</f>
        <v>0</v>
      </c>
      <c r="L61" s="89" cm="1">
        <f t="array" ref="L61">SUMPRODUCT($G45:$L45,--($G57:$L57=L13))</f>
        <v>0</v>
      </c>
      <c r="M61" s="76">
        <f>SUM(G61:L61)</f>
        <v>0</v>
      </c>
      <c r="N61" s="76"/>
      <c r="O61" s="55">
        <f>IF(ISBLANK(P61),"",MAX(O$5:O60)+1)</f>
        <v>28</v>
      </c>
      <c r="P61" s="58" t="s">
        <v>410</v>
      </c>
      <c r="R61" s="54"/>
      <c r="S61" s="54"/>
      <c r="T61" s="57"/>
      <c r="U61" s="57"/>
    </row>
    <row r="62" spans="2:21" outlineLevel="1">
      <c r="B62" s="71" t="s">
        <v>412</v>
      </c>
      <c r="C62" s="71"/>
      <c r="D62" s="71"/>
      <c r="E62" s="71"/>
      <c r="F62" s="54" t="s">
        <v>156</v>
      </c>
      <c r="G62" s="90" t="str" cm="1">
        <f t="array" ref="G62">INDEX($G46:$L46,0,MATCH(G57,$G56:$L56,0))</f>
        <v>Non Participating Preferred</v>
      </c>
      <c r="H62" s="90" t="str" cm="1">
        <f t="array" ref="H62">INDEX($G46:$L46,0,MATCH(H57,$G56:$L56,0))</f>
        <v>Non Participating Preferred</v>
      </c>
      <c r="I62" s="90" t="str" cm="1">
        <f t="array" ref="I62">INDEX($G46:$L46,0,MATCH(I57,$G56:$L56,0))</f>
        <v>Non Participating Preferred</v>
      </c>
      <c r="J62" s="90" t="str" cm="1">
        <f t="array" ref="J62">INDEX($G46:$L46,0,MATCH(J57,$G56:$L56,0))</f>
        <v>Non Participating Preferred</v>
      </c>
      <c r="K62" s="91" t="str" cm="1">
        <f t="array" ref="K62">INDEX($G46:$L46,0,MATCH(K57,$G56:$L56,0))</f>
        <v>na</v>
      </c>
      <c r="L62" s="91" t="str" cm="1">
        <f t="array" ref="L62">INDEX($G46:$L46,0,MATCH(L57,$G56:$L56,0))</f>
        <v>na</v>
      </c>
      <c r="M62" s="76"/>
      <c r="N62" s="76"/>
      <c r="O62" s="55">
        <f>IF(ISBLANK(P62),"",MAX(O$5:O61)+1)</f>
        <v>29</v>
      </c>
      <c r="P62" s="58" t="s">
        <v>413</v>
      </c>
      <c r="R62" s="54"/>
      <c r="S62" s="54"/>
      <c r="T62" s="57"/>
      <c r="U62" s="57"/>
    </row>
    <row r="63" spans="2:21" outlineLevel="1">
      <c r="B63" s="71" t="s">
        <v>414</v>
      </c>
      <c r="C63" s="71"/>
      <c r="D63" s="71"/>
      <c r="E63" s="71"/>
      <c r="F63" s="54" t="s">
        <v>130</v>
      </c>
      <c r="G63" s="92" cm="1">
        <f t="array" ref="G63">IFERROR(SUMPRODUCT($G47:$L47,--($G57:$L57=G56),$G24:$L24,--($G46:$L46=G62))/G59,0)</f>
        <v>0</v>
      </c>
      <c r="H63" s="92" cm="1">
        <f t="array" ref="H63">IFERROR(SUMPRODUCT($G47:$L47,--($G57:$L57=H56),$G24:$L24,--($G46:$L46=H62))/H59,0)</f>
        <v>0</v>
      </c>
      <c r="I63" s="92" cm="1">
        <f t="array" ref="I63">IFERROR(SUMPRODUCT($G47:$L47,--($G57:$L57=I56),$G24:$L24,--($G46:$L46=I62))/I59,0)</f>
        <v>0</v>
      </c>
      <c r="J63" s="92" cm="1">
        <f t="array" ref="J63">IFERROR(SUMPRODUCT($G47:$L47,--($G57:$L57=J56),$G24:$L24,--($G46:$L46=J62))/J59,0)</f>
        <v>0</v>
      </c>
      <c r="K63" s="92" cm="1">
        <f t="array" ref="K63">IFERROR(SUMPRODUCT($G47:$L47,--($G57:$L57=K56),$G24:$L24,--($G46:$L46=K62))/K59,0)</f>
        <v>0</v>
      </c>
      <c r="L63" s="92" cm="1">
        <f t="array" ref="L63">IFERROR(SUMPRODUCT($G47:$L47,--($G57:$L57=L56),$G24:$L24,--($G46:$L46=L62))/L59,0)</f>
        <v>0</v>
      </c>
      <c r="M63" s="76"/>
      <c r="N63" s="76"/>
      <c r="O63" s="55">
        <f>IF(ISBLANK(P63),"",MAX(O$5:O62)+1)</f>
        <v>30</v>
      </c>
      <c r="P63" s="58" t="s">
        <v>415</v>
      </c>
      <c r="R63" s="54"/>
      <c r="S63" s="54"/>
      <c r="T63" s="57"/>
      <c r="U63" s="57"/>
    </row>
    <row r="64" spans="2:21" outlineLevel="1">
      <c r="B64" s="71" t="s">
        <v>416</v>
      </c>
      <c r="C64" s="71"/>
      <c r="D64" s="71"/>
      <c r="E64" s="71"/>
      <c r="F64" s="54" t="s">
        <v>130</v>
      </c>
      <c r="G64" s="92" cm="1">
        <f t="array" ref="G64">IFERROR(SUMPRODUCT($G49:$L49,--($G57:$L57=G56),$G24:$L24)/G59,0)</f>
        <v>0</v>
      </c>
      <c r="H64" s="92" cm="1">
        <f t="array" ref="H64">IFERROR(SUMPRODUCT($G49:$L49,--($G57:$L57=H56),$G24:$L24)/H59,0)</f>
        <v>0</v>
      </c>
      <c r="I64" s="92" cm="1">
        <f t="array" ref="I64">IFERROR(SUMPRODUCT($G49:$L49,--($G57:$L57=I56),$G24:$L24)/I59,0)</f>
        <v>0</v>
      </c>
      <c r="J64" s="92" cm="1">
        <f t="array" ref="J64">IFERROR(SUMPRODUCT($G49:$L49,--($G57:$L57=J56),$G24:$L24)/J59,0)</f>
        <v>0</v>
      </c>
      <c r="K64" s="92" cm="1">
        <f t="array" ref="K64">IFERROR(SUMPRODUCT($G49:$L49,--($G57:$L57=K56),$G24:$L24)/K59,0)</f>
        <v>0</v>
      </c>
      <c r="L64" s="92" cm="1">
        <f t="array" ref="L64">IFERROR(SUMPRODUCT($G49:$L49,--($G57:$L57=L56),$G24:$L24)/L59,0)</f>
        <v>0</v>
      </c>
      <c r="M64" s="76"/>
      <c r="N64" s="76"/>
      <c r="O64" s="55">
        <f>IF(ISBLANK(P64),"",MAX(O$5:O63)+1)</f>
        <v>31</v>
      </c>
      <c r="P64" s="58" t="s">
        <v>417</v>
      </c>
      <c r="R64" s="54"/>
      <c r="S64" s="54"/>
      <c r="T64" s="57"/>
      <c r="U64" s="57"/>
    </row>
    <row r="65" spans="2:21" outlineLevel="1">
      <c r="B65" s="71" t="str">
        <f>B52&amp;" assumed per Calculation Block"</f>
        <v>Type of Dividends / Interest assumed per Calculation Block</v>
      </c>
      <c r="C65" s="71"/>
      <c r="D65" s="71"/>
      <c r="E65" s="71"/>
      <c r="F65" s="54" t="s">
        <v>156</v>
      </c>
      <c r="G65" s="89" t="str" cm="1">
        <f t="array" ref="G65">INDEX($G52:$L52,0,MATCH(G57,$G56:$L56,0))</f>
        <v>Not Declared</v>
      </c>
      <c r="H65" s="89" t="str" cm="1">
        <f t="array" ref="H65">INDEX($G52:$L52,0,MATCH(H57,$G56:$L56,0))</f>
        <v>Not Declared</v>
      </c>
      <c r="I65" s="89" t="str" cm="1">
        <f t="array" ref="I65">INDEX($G52:$L52,0,MATCH(I57,$G56:$L56,0))</f>
        <v>Not Declared</v>
      </c>
      <c r="J65" s="89" t="str" cm="1">
        <f t="array" ref="J65">INDEX($G52:$L52,0,MATCH(J57,$G56:$L56,0))</f>
        <v>Not Declared</v>
      </c>
      <c r="K65" s="91" t="str" cm="1">
        <f t="array" ref="K65">INDEX($G52:$L52,0,MATCH(K57,$G56:$L56,0))</f>
        <v>na</v>
      </c>
      <c r="L65" s="91" t="str" cm="1">
        <f t="array" ref="L65">INDEX($G52:$L52,0,MATCH(L57,$G56:$L56,0))</f>
        <v>na</v>
      </c>
      <c r="M65" s="76"/>
      <c r="N65" s="76"/>
      <c r="O65" s="55">
        <f>IF(ISBLANK(P65),"",MAX(O$5:O64)+1)</f>
        <v>32</v>
      </c>
      <c r="P65" s="58" t="s">
        <v>418</v>
      </c>
      <c r="R65" s="54"/>
      <c r="S65" s="54"/>
      <c r="T65" s="57"/>
      <c r="U65" s="57"/>
    </row>
    <row r="66" spans="2:21" outlineLevel="1">
      <c r="B66" s="71" t="str">
        <f>"Average "&amp;B53</f>
        <v>Average Annual or One-Time Dividend or Interest Rate</v>
      </c>
      <c r="C66" s="71"/>
      <c r="D66" s="71"/>
      <c r="E66" s="71"/>
      <c r="F66" s="54" t="s">
        <v>22</v>
      </c>
      <c r="G66" s="93" cm="1">
        <f t="array" ref="G66">IFERROR(SUMPRODUCT($G53:$L53,--($G57:$L57=G56),$G24:$L24)/G59,0)</f>
        <v>0</v>
      </c>
      <c r="H66" s="93" cm="1">
        <f t="array" ref="H66">IFERROR(SUMPRODUCT($G53:$L53,--($G57:$L57=H56),$G24:$L24)/H59,0)</f>
        <v>0</v>
      </c>
      <c r="I66" s="93" cm="1">
        <f t="array" ref="I66">IFERROR(SUMPRODUCT($G53:$L53,--($G57:$L57=I56),$G24:$L24)/I59,0)</f>
        <v>0</v>
      </c>
      <c r="J66" s="93" cm="1">
        <f t="array" ref="J66">IFERROR(SUMPRODUCT($G53:$L53,--($G57:$L57=J56),$G24:$L24)/J59,0)</f>
        <v>0</v>
      </c>
      <c r="K66" s="93" cm="1">
        <f t="array" ref="K66">IFERROR(SUMPRODUCT($G53:$L53,--($G57:$L57=K56),$G24:$L24)/K59,0)</f>
        <v>0</v>
      </c>
      <c r="L66" s="93" cm="1">
        <f t="array" ref="L66">IFERROR(SUMPRODUCT($G53:$L53,--($G57:$L57=L56),$G24:$L24)/L59,0)</f>
        <v>0</v>
      </c>
      <c r="M66" s="76"/>
      <c r="N66" s="76"/>
      <c r="O66" s="55">
        <f>IF(ISBLANK(P66),"",MAX(O$5:O65)+1)</f>
        <v>33</v>
      </c>
      <c r="P66" s="58" t="s">
        <v>419</v>
      </c>
      <c r="R66" s="54"/>
      <c r="S66" s="54"/>
      <c r="T66" s="57"/>
      <c r="U66" s="57"/>
    </row>
    <row r="67" spans="2:21" outlineLevel="1">
      <c r="B67" s="71" t="s">
        <v>420</v>
      </c>
      <c r="C67" s="71"/>
      <c r="D67" s="71"/>
      <c r="E67" s="71"/>
      <c r="F67" s="54" t="s">
        <v>156</v>
      </c>
      <c r="G67" s="94" t="str" cm="1">
        <f t="array" aca="1" ref="G67" ca="1">IFERROR(IF(SUMPRODUCT($G41:$L41,--($G57:$L57=G56),$G24:$L24)/G59=0,"na",SUMPRODUCT($G41:$L41,--($G57:$L57=G56),$G24:$L24)/G59),"na")</f>
        <v>na</v>
      </c>
      <c r="H67" s="94" t="str" cm="1">
        <f t="array" aca="1" ref="H67" ca="1">IFERROR(IF(SUMPRODUCT($G41:$L41,--($G57:$L57=H56),$G24:$L24)/H59=0,"na",SUMPRODUCT($G41:$L41,--($G57:$L57=H56),$G24:$L24)/H59),"na")</f>
        <v>na</v>
      </c>
      <c r="I67" s="94" t="str" cm="1">
        <f t="array" aca="1" ref="I67" ca="1">IFERROR(IF(SUMPRODUCT($G41:$L41,--($G57:$L57=I56),$G24:$L24)/I59=0,"na",SUMPRODUCT($G41:$L41,--($G57:$L57=I56),$G24:$L24)/I59),"na")</f>
        <v>na</v>
      </c>
      <c r="J67" s="94" t="str" cm="1">
        <f t="array" aca="1" ref="J67" ca="1">IFERROR(IF(SUMPRODUCT($G41:$L41,--($G57:$L57=J56),$G24:$L24)/J59=0,"na",SUMPRODUCT($G41:$L41,--($G57:$L57=J56),$G24:$L24)/J59),"na")</f>
        <v>na</v>
      </c>
      <c r="K67" s="94" t="str" cm="1">
        <f t="array" aca="1" ref="K67" ca="1">IFERROR(IF(SUMPRODUCT($G41:$L41,--($G57:$L57=K56),$G24:$L24)/K59=0,"na",SUMPRODUCT($G41:$L41,--($G57:$L57=K56),$G24:$L24)/K59),"na")</f>
        <v>na</v>
      </c>
      <c r="L67" s="94" t="str" cm="1">
        <f t="array" aca="1" ref="L67" ca="1">IFERROR(IF(SUMPRODUCT($G41:$L41,--($G57:$L57=L56),$G24:$L24)/L59=0,"na",SUMPRODUCT($G41:$L41,--($G57:$L57=L56),$G24:$L24)/L59),"na")</f>
        <v>na</v>
      </c>
      <c r="M67" s="76"/>
      <c r="N67" s="76"/>
      <c r="O67" s="55">
        <f>IF(ISBLANK(P67),"",MAX(O$5:O66)+1)</f>
        <v>34</v>
      </c>
      <c r="P67" s="58" t="s">
        <v>419</v>
      </c>
      <c r="R67" s="54"/>
      <c r="S67" s="54"/>
      <c r="T67" s="57"/>
      <c r="U67" s="57"/>
    </row>
    <row r="68" spans="2:21" outlineLevel="1">
      <c r="B68" s="71" t="s">
        <v>421</v>
      </c>
      <c r="C68" s="71"/>
      <c r="D68" s="71"/>
      <c r="E68" s="71"/>
      <c r="F68" s="54" t="s">
        <v>156</v>
      </c>
      <c r="G68" s="95" t="str">
        <f t="shared" ref="G68:L68" si="9">G56</f>
        <v>C</v>
      </c>
      <c r="H68" s="95" t="str">
        <f t="shared" si="9"/>
        <v>B</v>
      </c>
      <c r="I68" s="95" t="str">
        <f t="shared" si="9"/>
        <v>A</v>
      </c>
      <c r="J68" s="95" t="str">
        <f t="shared" si="9"/>
        <v>Seed</v>
      </c>
      <c r="K68" s="95" t="str">
        <f t="shared" si="9"/>
        <v>Common</v>
      </c>
      <c r="L68" s="66" t="str">
        <f t="shared" si="9"/>
        <v>Options</v>
      </c>
      <c r="O68" s="55">
        <f>IF(ISBLANK(P68),"",MAX(O$5:O67)+1)</f>
        <v>35</v>
      </c>
      <c r="P68" s="58" t="s">
        <v>422</v>
      </c>
      <c r="R68" s="54"/>
      <c r="S68" s="54"/>
      <c r="T68" s="57"/>
      <c r="U68" s="57"/>
    </row>
    <row r="69" spans="2:21" outlineLevel="1">
      <c r="B69" s="57"/>
      <c r="C69" s="71"/>
      <c r="D69" s="71"/>
      <c r="E69" s="71"/>
      <c r="F69" s="58"/>
      <c r="O69" s="55" t="str">
        <f>IF(ISBLANK(P69),"",MAX(O$5:O68)+1)</f>
        <v/>
      </c>
      <c r="P69" s="58"/>
      <c r="R69" s="54"/>
      <c r="S69" s="54"/>
      <c r="T69" s="57"/>
      <c r="U69" s="57"/>
    </row>
    <row r="70" spans="2:21" outlineLevel="1">
      <c r="B70" s="96" t="s">
        <v>423</v>
      </c>
      <c r="C70" s="238"/>
      <c r="D70" s="238"/>
      <c r="E70" s="238"/>
      <c r="F70" s="58"/>
      <c r="O70" s="55">
        <f>IF(ISBLANK(P70),"",MAX(O$5:O69)+1)</f>
        <v>36</v>
      </c>
      <c r="P70" s="58" t="s">
        <v>424</v>
      </c>
      <c r="R70" s="54"/>
      <c r="S70" s="54"/>
      <c r="T70" s="57"/>
      <c r="U70" s="57"/>
    </row>
    <row r="71" spans="2:21" outlineLevel="1">
      <c r="B71" s="57" t="str">
        <f>G56</f>
        <v>C</v>
      </c>
      <c r="C71" s="71"/>
      <c r="D71" s="71"/>
      <c r="E71" s="71"/>
      <c r="F71" s="64" t="s">
        <v>22</v>
      </c>
      <c r="G71" s="97" cm="1">
        <f t="array" ref="G71">IFERROR(IF(INDEX($G$57:$L$57,0,MATCH($B71,$G$56:$L$56,0))=G$56,SUMPRODUCT($G$24:$L$24,--($G$13:$L$13=$B71)),0)/G$59,0)</f>
        <v>0</v>
      </c>
      <c r="H71" s="97" cm="1">
        <f t="array" ref="H71">IFERROR(IF(INDEX($G$57:$L$57,0,MATCH($B71,$G$56:$L$56,0))=H$56,SUMPRODUCT($G$24:$L$24,--($G$13:$L$13=$B71)),0)/H$59,0)</f>
        <v>0</v>
      </c>
      <c r="I71" s="97" cm="1">
        <f t="array" ref="I71">IFERROR(IF(INDEX($G$57:$L$57,0,MATCH($B71,$G$56:$L$56,0))=I$56,SUMPRODUCT($G$24:$L$24,--($G$13:$L$13=$B71)),0)/I$59,0)</f>
        <v>0</v>
      </c>
      <c r="J71" s="97" cm="1">
        <f t="array" ref="J71">IFERROR(IF(INDEX($G$57:$L$57,0,MATCH($B71,$G$56:$L$56,0))=J$56,SUMPRODUCT($G$24:$L$24,--($G$13:$L$13=$B71)),0)/J$59,0)</f>
        <v>0</v>
      </c>
      <c r="K71" s="97" cm="1">
        <f t="array" ref="K71">IFERROR(IF(INDEX($G$57:$L$57,0,MATCH($B71,$G$56:$L$56,0))=K$56,SUMPRODUCT($G$24:$L$24,--($G$13:$L$13=$B71)),0)/K$59,0)</f>
        <v>0</v>
      </c>
      <c r="L71" s="97" cm="1">
        <f t="array" ref="L71">IFERROR(IF(INDEX($G$57:$L$57,0,MATCH($B71,$G$56:$L$56,0))=L$56,SUMPRODUCT($G$24:$L$24,--($G$13:$L$13=$B71)),0)/L$59,0)</f>
        <v>0</v>
      </c>
      <c r="O71" s="55" t="str">
        <f>IF(ISBLANK(P71),"",MAX(O$5:O70)+1)</f>
        <v/>
      </c>
      <c r="P71" s="58"/>
      <c r="R71" s="54"/>
      <c r="S71" s="54"/>
      <c r="T71" s="57"/>
      <c r="U71" s="57"/>
    </row>
    <row r="72" spans="2:21" outlineLevel="1">
      <c r="B72" s="57" t="str">
        <f>H56</f>
        <v>B</v>
      </c>
      <c r="C72" s="71"/>
      <c r="D72" s="71"/>
      <c r="E72" s="71"/>
      <c r="F72" s="64" t="s">
        <v>22</v>
      </c>
      <c r="G72" s="97" cm="1">
        <f t="array" ref="G72">IFERROR(IF(INDEX($G$57:$L$57,0,MATCH($B72,$G$56:$L$56,0))=G$56,SUMPRODUCT($G$24:$L$24,--($G$13:$L$13=$B72)),0)/G$59,0)</f>
        <v>0</v>
      </c>
      <c r="H72" s="97" cm="1">
        <f t="array" ref="H72">IFERROR(IF(INDEX($G$57:$L$57,0,MATCH($B72,$G$56:$L$56,0))=H$56,SUMPRODUCT($G$24:$L$24,--($G$13:$L$13=$B72)),0)/H$59,0)</f>
        <v>0</v>
      </c>
      <c r="I72" s="97" cm="1">
        <f t="array" ref="I72">IFERROR(IF(INDEX($G$57:$L$57,0,MATCH($B72,$G$56:$L$56,0))=I$56,SUMPRODUCT($G$24:$L$24,--($G$13:$L$13=$B72)),0)/I$59,0)</f>
        <v>0</v>
      </c>
      <c r="J72" s="97" cm="1">
        <f t="array" ref="J72">IFERROR(IF(INDEX($G$57:$L$57,0,MATCH($B72,$G$56:$L$56,0))=J$56,SUMPRODUCT($G$24:$L$24,--($G$13:$L$13=$B72)),0)/J$59,0)</f>
        <v>0</v>
      </c>
      <c r="K72" s="97" cm="1">
        <f t="array" ref="K72">IFERROR(IF(INDEX($G$57:$L$57,0,MATCH($B72,$G$56:$L$56,0))=K$56,SUMPRODUCT($G$24:$L$24,--($G$13:$L$13=$B72)),0)/K$59,0)</f>
        <v>0</v>
      </c>
      <c r="L72" s="97" cm="1">
        <f t="array" ref="L72">IFERROR(IF(INDEX($G$57:$L$57,0,MATCH($B72,$G$56:$L$56,0))=L$56,SUMPRODUCT($G$24:$L$24,--($G$13:$L$13=$B72)),0)/L$59,0)</f>
        <v>0</v>
      </c>
      <c r="O72" s="55" t="str">
        <f>IF(ISBLANK(P72),"",MAX(O$5:O71)+1)</f>
        <v/>
      </c>
      <c r="P72" s="58"/>
      <c r="R72" s="54"/>
      <c r="S72" s="54"/>
      <c r="T72" s="57"/>
      <c r="U72" s="57"/>
    </row>
    <row r="73" spans="2:21" outlineLevel="1">
      <c r="B73" s="57" t="str">
        <f>I56</f>
        <v>A</v>
      </c>
      <c r="C73" s="71"/>
      <c r="D73" s="71"/>
      <c r="E73" s="71"/>
      <c r="F73" s="64" t="s">
        <v>22</v>
      </c>
      <c r="G73" s="97" cm="1">
        <f t="array" ref="G73">IFERROR(IF(INDEX($G$57:$L$57,0,MATCH($B73,$G$56:$L$56,0))=G$56,SUMPRODUCT($G$24:$L$24,--($G$13:$L$13=$B73)),0)/G$59,0)</f>
        <v>0</v>
      </c>
      <c r="H73" s="97" cm="1">
        <f t="array" ref="H73">IFERROR(IF(INDEX($G$57:$L$57,0,MATCH($B73,$G$56:$L$56,0))=H$56,SUMPRODUCT($G$24:$L$24,--($G$13:$L$13=$B73)),0)/H$59,0)</f>
        <v>0</v>
      </c>
      <c r="I73" s="97" cm="1">
        <f t="array" ref="I73">IFERROR(IF(INDEX($G$57:$L$57,0,MATCH($B73,$G$56:$L$56,0))=I$56,SUMPRODUCT($G$24:$L$24,--($G$13:$L$13=$B73)),0)/I$59,0)</f>
        <v>0</v>
      </c>
      <c r="J73" s="97" cm="1">
        <f t="array" ref="J73">IFERROR(IF(INDEX($G$57:$L$57,0,MATCH($B73,$G$56:$L$56,0))=J$56,SUMPRODUCT($G$24:$L$24,--($G$13:$L$13=$B73)),0)/J$59,0)</f>
        <v>0</v>
      </c>
      <c r="K73" s="97" cm="1">
        <f t="array" ref="K73">IFERROR(IF(INDEX($G$57:$L$57,0,MATCH($B73,$G$56:$L$56,0))=K$56,SUMPRODUCT($G$24:$L$24,--($G$13:$L$13=$B73)),0)/K$59,0)</f>
        <v>0</v>
      </c>
      <c r="L73" s="97" cm="1">
        <f t="array" ref="L73">IFERROR(IF(INDEX($G$57:$L$57,0,MATCH($B73,$G$56:$L$56,0))=L$56,SUMPRODUCT($G$24:$L$24,--($G$13:$L$13=$B73)),0)/L$59,0)</f>
        <v>0</v>
      </c>
      <c r="O73" s="55" t="str">
        <f>IF(ISBLANK(P73),"",MAX(O$5:O72)+1)</f>
        <v/>
      </c>
      <c r="P73" s="58"/>
      <c r="R73" s="54"/>
      <c r="S73" s="54"/>
      <c r="T73" s="57"/>
      <c r="U73" s="57"/>
    </row>
    <row r="74" spans="2:21" outlineLevel="1">
      <c r="B74" s="57" t="str">
        <f>J56</f>
        <v>Seed</v>
      </c>
      <c r="C74" s="71"/>
      <c r="D74" s="71"/>
      <c r="E74" s="71"/>
      <c r="F74" s="64" t="s">
        <v>22</v>
      </c>
      <c r="G74" s="97" cm="1">
        <f t="array" ref="G74">IFERROR(IF(INDEX($G$57:$L$57,0,MATCH($B74,$G$56:$L$56,0))=G$56,SUMPRODUCT($G$24:$L$24,--($G$13:$L$13=$B74)),0)/G$59,0)</f>
        <v>0</v>
      </c>
      <c r="H74" s="97" cm="1">
        <f t="array" ref="H74">IFERROR(IF(INDEX($G$57:$L$57,0,MATCH($B74,$G$56:$L$56,0))=H$56,SUMPRODUCT($G$24:$L$24,--($G$13:$L$13=$B74)),0)/H$59,0)</f>
        <v>0</v>
      </c>
      <c r="I74" s="97" cm="1">
        <f t="array" ref="I74">IFERROR(IF(INDEX($G$57:$L$57,0,MATCH($B74,$G$56:$L$56,0))=I$56,SUMPRODUCT($G$24:$L$24,--($G$13:$L$13=$B74)),0)/I$59,0)</f>
        <v>0</v>
      </c>
      <c r="J74" s="97" cm="1">
        <f t="array" ref="J74">IFERROR(IF(INDEX($G$57:$L$57,0,MATCH($B74,$G$56:$L$56,0))=J$56,SUMPRODUCT($G$24:$L$24,--($G$13:$L$13=$B74)),0)/J$59,0)</f>
        <v>0</v>
      </c>
      <c r="K74" s="97" cm="1">
        <f t="array" ref="K74">IFERROR(IF(INDEX($G$57:$L$57,0,MATCH($B74,$G$56:$L$56,0))=K$56,SUMPRODUCT($G$24:$L$24,--($G$13:$L$13=$B74)),0)/K$59,0)</f>
        <v>0</v>
      </c>
      <c r="L74" s="97" cm="1">
        <f t="array" ref="L74">IFERROR(IF(INDEX($G$57:$L$57,0,MATCH($B74,$G$56:$L$56,0))=L$56,SUMPRODUCT($G$24:$L$24,--($G$13:$L$13=$B74)),0)/L$59,0)</f>
        <v>0</v>
      </c>
      <c r="O74" s="55" t="str">
        <f>IF(ISBLANK(P74),"",MAX(O$5:O73)+1)</f>
        <v/>
      </c>
      <c r="P74" s="58"/>
      <c r="R74" s="54"/>
      <c r="S74" s="54"/>
      <c r="T74" s="57"/>
      <c r="U74" s="57"/>
    </row>
    <row r="75" spans="2:21" outlineLevel="1">
      <c r="B75" s="57" t="str">
        <f>K56</f>
        <v>Common</v>
      </c>
      <c r="C75" s="71"/>
      <c r="D75" s="71"/>
      <c r="E75" s="71"/>
      <c r="F75" s="64" t="s">
        <v>22</v>
      </c>
      <c r="G75" s="97" cm="1">
        <f t="array" ref="G75">IFERROR(IF(INDEX($G$57:$L$57,0,MATCH($B75,$G$56:$L$56,0))=G$56,SUMPRODUCT($G$24:$L$24,--($G$13:$L$13=$B75)),0)/G$59,0)</f>
        <v>0</v>
      </c>
      <c r="H75" s="97" cm="1">
        <f t="array" ref="H75">IFERROR(IF(INDEX($G$57:$L$57,0,MATCH($B75,$G$56:$L$56,0))=H$56,SUMPRODUCT($G$24:$L$24,--($G$13:$L$13=$B75)),0)/H$59,0)</f>
        <v>0</v>
      </c>
      <c r="I75" s="97" cm="1">
        <f t="array" ref="I75">IFERROR(IF(INDEX($G$57:$L$57,0,MATCH($B75,$G$56:$L$56,0))=I$56,SUMPRODUCT($G$24:$L$24,--($G$13:$L$13=$B75)),0)/I$59,0)</f>
        <v>0</v>
      </c>
      <c r="J75" s="97" cm="1">
        <f t="array" ref="J75">IFERROR(IF(INDEX($G$57:$L$57,0,MATCH($B75,$G$56:$L$56,0))=J$56,SUMPRODUCT($G$24:$L$24,--($G$13:$L$13=$B75)),0)/J$59,0)</f>
        <v>0</v>
      </c>
      <c r="K75" s="97" cm="1">
        <f t="array" ref="K75">IFERROR(IF(INDEX($G$57:$L$57,0,MATCH($B75,$G$56:$L$56,0))=K$56,SUMPRODUCT($G$24:$L$24,--($G$13:$L$13=$B75)),0)/K$59,0)</f>
        <v>0</v>
      </c>
      <c r="L75" s="97" cm="1">
        <f t="array" ref="L75">IFERROR(IF(INDEX($G$57:$L$57,0,MATCH($B75,$G$56:$L$56,0))=L$56,SUMPRODUCT($G$24:$L$24,--($G$13:$L$13=$B75)),0)/L$59,0)</f>
        <v>0</v>
      </c>
      <c r="O75" s="55" t="str">
        <f>IF(ISBLANK(P75),"",MAX(O$5:O74)+1)</f>
        <v/>
      </c>
      <c r="P75" s="58"/>
      <c r="R75" s="54"/>
      <c r="S75" s="54"/>
      <c r="T75" s="57"/>
      <c r="U75" s="57"/>
    </row>
    <row r="76" spans="2:21" outlineLevel="1">
      <c r="B76" s="57" t="str">
        <f>L56</f>
        <v>Options</v>
      </c>
      <c r="C76" s="71"/>
      <c r="D76" s="71"/>
      <c r="E76" s="71"/>
      <c r="F76" s="64" t="s">
        <v>22</v>
      </c>
      <c r="G76" s="97" cm="1">
        <f t="array" ref="G76">IFERROR(IF(INDEX($G$57:$L$57,0,MATCH($B76,$G$56:$L$56,0))=G$56,SUMPRODUCT($G$24:$L$24,--($G$13:$L$13=$B76)),0)/G$59,0)</f>
        <v>0</v>
      </c>
      <c r="H76" s="97" cm="1">
        <f t="array" ref="H76">IFERROR(IF(INDEX($G$57:$L$57,0,MATCH($B76,$G$56:$L$56,0))=H$56,SUMPRODUCT($G$24:$L$24,--($G$13:$L$13=$B76)),0)/H$59,0)</f>
        <v>0</v>
      </c>
      <c r="I76" s="97" cm="1">
        <f t="array" ref="I76">IFERROR(IF(INDEX($G$57:$L$57,0,MATCH($B76,$G$56:$L$56,0))=I$56,SUMPRODUCT($G$24:$L$24,--($G$13:$L$13=$B76)),0)/I$59,0)</f>
        <v>0</v>
      </c>
      <c r="J76" s="97" cm="1">
        <f t="array" ref="J76">IFERROR(IF(INDEX($G$57:$L$57,0,MATCH($B76,$G$56:$L$56,0))=J$56,SUMPRODUCT($G$24:$L$24,--($G$13:$L$13=$B76)),0)/J$59,0)</f>
        <v>0</v>
      </c>
      <c r="K76" s="97" cm="1">
        <f t="array" ref="K76">IFERROR(IF(INDEX($G$57:$L$57,0,MATCH($B76,$G$56:$L$56,0))=K$56,SUMPRODUCT($G$24:$L$24,--($G$13:$L$13=$B76)),0)/K$59,0)</f>
        <v>0</v>
      </c>
      <c r="L76" s="97" cm="1">
        <f t="array" ref="L76">IFERROR(IF(INDEX($G$57:$L$57,0,MATCH($B76,$G$56:$L$56,0))=L$56,SUMPRODUCT($G$24:$L$24,--($G$13:$L$13=$B76)),0)/L$59,0)</f>
        <v>0</v>
      </c>
      <c r="O76" s="55" t="str">
        <f>IF(ISBLANK(P76),"",MAX(O$5:O75)+1)</f>
        <v/>
      </c>
      <c r="P76" s="58"/>
      <c r="R76" s="54"/>
      <c r="S76" s="54"/>
      <c r="T76" s="57"/>
      <c r="U76" s="57"/>
    </row>
    <row r="77" spans="2:21" outlineLevel="1">
      <c r="B77" s="57" t="s">
        <v>425</v>
      </c>
      <c r="C77" s="71"/>
      <c r="D77" s="71"/>
      <c r="E77" s="71"/>
      <c r="F77" s="64" t="s">
        <v>22</v>
      </c>
      <c r="G77" s="98">
        <f>SUM(G71:G76)</f>
        <v>0</v>
      </c>
      <c r="H77" s="98">
        <f t="shared" ref="H77:L77" si="10">SUM(H71:H76)</f>
        <v>0</v>
      </c>
      <c r="I77" s="98">
        <f t="shared" si="10"/>
        <v>0</v>
      </c>
      <c r="J77" s="98">
        <f t="shared" si="10"/>
        <v>0</v>
      </c>
      <c r="K77" s="98">
        <f t="shared" si="10"/>
        <v>0</v>
      </c>
      <c r="L77" s="98">
        <f t="shared" si="10"/>
        <v>0</v>
      </c>
      <c r="O77" s="55" t="str">
        <f>IF(ISBLANK(P77),"",MAX(O$5:O76)+1)</f>
        <v/>
      </c>
      <c r="P77" s="58"/>
      <c r="R77" s="54"/>
      <c r="S77" s="54"/>
      <c r="T77" s="57"/>
      <c r="U77" s="57"/>
    </row>
    <row r="78" spans="2:21" outlineLevel="1">
      <c r="B78" s="57"/>
      <c r="C78" s="71"/>
      <c r="D78" s="71"/>
      <c r="E78" s="71"/>
      <c r="F78" s="58"/>
      <c r="O78" s="55" t="str">
        <f>IF(ISBLANK(P78),"",MAX(O$5:O77)+1)</f>
        <v/>
      </c>
      <c r="P78" s="58"/>
      <c r="R78" s="54"/>
      <c r="S78" s="54"/>
      <c r="T78" s="57"/>
      <c r="U78" s="57"/>
    </row>
    <row r="79" spans="2:21" outlineLevel="1">
      <c r="B79" s="96" t="s">
        <v>426</v>
      </c>
      <c r="C79" s="238"/>
      <c r="D79" s="238"/>
      <c r="E79" s="238"/>
      <c r="F79" s="58"/>
      <c r="O79" s="55">
        <f>IF(ISBLANK(P79),"",MAX(O$5:O78)+1)</f>
        <v>37</v>
      </c>
      <c r="P79" s="58" t="s">
        <v>427</v>
      </c>
      <c r="R79" s="54"/>
      <c r="S79" s="54"/>
      <c r="T79" s="57"/>
      <c r="U79" s="57"/>
    </row>
    <row r="80" spans="2:21" outlineLevel="1">
      <c r="B80" s="57" t="str">
        <f>G56</f>
        <v>C</v>
      </c>
      <c r="C80" s="71"/>
      <c r="D80" s="71"/>
      <c r="E80" s="71"/>
      <c r="F80" s="64" t="s">
        <v>22</v>
      </c>
      <c r="G80" s="97" cm="1">
        <f t="array" ref="G80">IFERROR(IF(INDEX($G$57:$L$57,0,MATCH($B80,$G$56:$L$56,0))=G$56,SUMPRODUCT($G$45:$L$45,--($G$13:$L$13=$B80)),0)/G$61,0)</f>
        <v>0</v>
      </c>
      <c r="H80" s="97" cm="1">
        <f t="array" ref="H80">IFERROR(IF(INDEX($G$57:$L$57,0,MATCH($B80,$G$56:$L$56,0))=H$56,SUMPRODUCT($G$45:$L$45,--($G$13:$L$13=$B80)),0)/H$61,0)</f>
        <v>0</v>
      </c>
      <c r="I80" s="97" cm="1">
        <f t="array" ref="I80">IFERROR(IF(INDEX($G$57:$L$57,0,MATCH($B80,$G$56:$L$56,0))=I$56,SUMPRODUCT($G$45:$L$45,--($G$13:$L$13=$B80)),0)/I$61,0)</f>
        <v>0</v>
      </c>
      <c r="J80" s="97" cm="1">
        <f t="array" ref="J80">IFERROR(IF(INDEX($G$57:$L$57,0,MATCH($B80,$G$56:$L$56,0))=J$56,SUMPRODUCT($G$45:$L$45,--($G$13:$L$13=$B80)),0)/J$61,0)</f>
        <v>0</v>
      </c>
      <c r="K80" s="97" cm="1">
        <f t="array" ref="K80">IFERROR(IF(INDEX($G$57:$L$57,0,MATCH($B80,$G$56:$L$56,0))=K$56,SUMPRODUCT($G$45:$L$45,--($G$13:$L$13=$B80)),0)/K$61,0)</f>
        <v>0</v>
      </c>
      <c r="L80" s="97" cm="1">
        <f t="array" ref="L80">IFERROR(IF(INDEX($G$57:$L$57,0,MATCH($B80,$G$56:$L$56,0))=L$56,SUMPRODUCT($G$45:$L$45,--($G$13:$L$13=$B80)),0)/L$61,0)</f>
        <v>0</v>
      </c>
      <c r="O80" s="55" t="str">
        <f>IF(ISBLANK(P80),"",MAX(O$5:O79)+1)</f>
        <v/>
      </c>
      <c r="P80" s="58"/>
      <c r="R80" s="54"/>
      <c r="S80" s="54"/>
      <c r="T80" s="57"/>
      <c r="U80" s="57"/>
    </row>
    <row r="81" spans="2:21" outlineLevel="1">
      <c r="B81" s="57" t="str">
        <f>H56</f>
        <v>B</v>
      </c>
      <c r="C81" s="71"/>
      <c r="D81" s="71"/>
      <c r="E81" s="71"/>
      <c r="F81" s="64" t="s">
        <v>22</v>
      </c>
      <c r="G81" s="97" cm="1">
        <f t="array" ref="G81">IFERROR(IF(INDEX($G$57:$L$57,0,MATCH($B81,$G$56:$L$56,0))=G$56,SUMPRODUCT($G$45:$L$45,--($G$13:$L$13=$B81)),0)/G$61,0)</f>
        <v>0</v>
      </c>
      <c r="H81" s="97" cm="1">
        <f t="array" ref="H81">IFERROR(IF(INDEX($G$57:$L$57,0,MATCH($B81,$G$56:$L$56,0))=H$56,SUMPRODUCT($G$45:$L$45,--($G$13:$L$13=$B81)),0)/H$61,0)</f>
        <v>0</v>
      </c>
      <c r="I81" s="97" cm="1">
        <f t="array" ref="I81">IFERROR(IF(INDEX($G$57:$L$57,0,MATCH($B81,$G$56:$L$56,0))=I$56,SUMPRODUCT($G$45:$L$45,--($G$13:$L$13=$B81)),0)/I$61,0)</f>
        <v>0</v>
      </c>
      <c r="J81" s="97" cm="1">
        <f t="array" ref="J81">IFERROR(IF(INDEX($G$57:$L$57,0,MATCH($B81,$G$56:$L$56,0))=J$56,SUMPRODUCT($G$45:$L$45,--($G$13:$L$13=$B81)),0)/J$61,0)</f>
        <v>0</v>
      </c>
      <c r="K81" s="97" cm="1">
        <f t="array" ref="K81">IFERROR(IF(INDEX($G$57:$L$57,0,MATCH($B81,$G$56:$L$56,0))=K$56,SUMPRODUCT($G$45:$L$45,--($G$13:$L$13=$B81)),0)/K$61,0)</f>
        <v>0</v>
      </c>
      <c r="L81" s="97" cm="1">
        <f t="array" ref="L81">IFERROR(IF(INDEX($G$57:$L$57,0,MATCH($B81,$G$56:$L$56,0))=L$56,SUMPRODUCT($G$45:$L$45,--($G$13:$L$13=$B81)),0)/L$61,0)</f>
        <v>0</v>
      </c>
      <c r="O81" s="55" t="str">
        <f>IF(ISBLANK(P81),"",MAX(O$5:O80)+1)</f>
        <v/>
      </c>
      <c r="P81" s="58"/>
      <c r="R81" s="54"/>
      <c r="S81" s="54"/>
      <c r="T81" s="57"/>
      <c r="U81" s="57"/>
    </row>
    <row r="82" spans="2:21" outlineLevel="1">
      <c r="B82" s="57" t="str">
        <f>I56</f>
        <v>A</v>
      </c>
      <c r="C82" s="71"/>
      <c r="D82" s="71"/>
      <c r="E82" s="71"/>
      <c r="F82" s="64" t="s">
        <v>22</v>
      </c>
      <c r="G82" s="97" cm="1">
        <f t="array" ref="G82">IFERROR(IF(INDEX($G$57:$L$57,0,MATCH($B82,$G$56:$L$56,0))=G$56,SUMPRODUCT($G$45:$L$45,--($G$13:$L$13=$B82)),0)/G$61,0)</f>
        <v>0</v>
      </c>
      <c r="H82" s="97" cm="1">
        <f t="array" ref="H82">IFERROR(IF(INDEX($G$57:$L$57,0,MATCH($B82,$G$56:$L$56,0))=H$56,SUMPRODUCT($G$45:$L$45,--($G$13:$L$13=$B82)),0)/H$61,0)</f>
        <v>0</v>
      </c>
      <c r="I82" s="97" cm="1">
        <f t="array" ref="I82">IFERROR(IF(INDEX($G$57:$L$57,0,MATCH($B82,$G$56:$L$56,0))=I$56,SUMPRODUCT($G$45:$L$45,--($G$13:$L$13=$B82)),0)/I$61,0)</f>
        <v>0</v>
      </c>
      <c r="J82" s="97" cm="1">
        <f t="array" ref="J82">IFERROR(IF(INDEX($G$57:$L$57,0,MATCH($B82,$G$56:$L$56,0))=J$56,SUMPRODUCT($G$45:$L$45,--($G$13:$L$13=$B82)),0)/J$61,0)</f>
        <v>0</v>
      </c>
      <c r="K82" s="97" cm="1">
        <f t="array" ref="K82">IFERROR(IF(INDEX($G$57:$L$57,0,MATCH($B82,$G$56:$L$56,0))=K$56,SUMPRODUCT($G$45:$L$45,--($G$13:$L$13=$B82)),0)/K$61,0)</f>
        <v>0</v>
      </c>
      <c r="L82" s="97" cm="1">
        <f t="array" ref="L82">IFERROR(IF(INDEX($G$57:$L$57,0,MATCH($B82,$G$56:$L$56,0))=L$56,SUMPRODUCT($G$45:$L$45,--($G$13:$L$13=$B82)),0)/L$61,0)</f>
        <v>0</v>
      </c>
      <c r="O82" s="55" t="str">
        <f>IF(ISBLANK(P82),"",MAX(O$5:O81)+1)</f>
        <v/>
      </c>
      <c r="P82" s="58"/>
      <c r="R82" s="54"/>
      <c r="S82" s="54"/>
      <c r="T82" s="57"/>
      <c r="U82" s="57"/>
    </row>
    <row r="83" spans="2:21" outlineLevel="1">
      <c r="B83" s="57" t="str">
        <f>J56</f>
        <v>Seed</v>
      </c>
      <c r="C83" s="71"/>
      <c r="D83" s="71"/>
      <c r="E83" s="71"/>
      <c r="F83" s="64" t="s">
        <v>22</v>
      </c>
      <c r="G83" s="97" cm="1">
        <f t="array" ref="G83">IFERROR(IF(INDEX($G$57:$L$57,0,MATCH($B83,$G$56:$L$56,0))=G$56,SUMPRODUCT($G$45:$L$45,--($G$13:$L$13=$B83)),0)/G$61,0)</f>
        <v>0</v>
      </c>
      <c r="H83" s="97" cm="1">
        <f t="array" ref="H83">IFERROR(IF(INDEX($G$57:$L$57,0,MATCH($B83,$G$56:$L$56,0))=H$56,SUMPRODUCT($G$45:$L$45,--($G$13:$L$13=$B83)),0)/H$61,0)</f>
        <v>0</v>
      </c>
      <c r="I83" s="97" cm="1">
        <f t="array" ref="I83">IFERROR(IF(INDEX($G$57:$L$57,0,MATCH($B83,$G$56:$L$56,0))=I$56,SUMPRODUCT($G$45:$L$45,--($G$13:$L$13=$B83)),0)/I$61,0)</f>
        <v>0</v>
      </c>
      <c r="J83" s="97" cm="1">
        <f t="array" ref="J83">IFERROR(IF(INDEX($G$57:$L$57,0,MATCH($B83,$G$56:$L$56,0))=J$56,SUMPRODUCT($G$45:$L$45,--($G$13:$L$13=$B83)),0)/J$61,0)</f>
        <v>0</v>
      </c>
      <c r="K83" s="97" cm="1">
        <f t="array" ref="K83">IFERROR(IF(INDEX($G$57:$L$57,0,MATCH($B83,$G$56:$L$56,0))=K$56,SUMPRODUCT($G$45:$L$45,--($G$13:$L$13=$B83)),0)/K$61,0)</f>
        <v>0</v>
      </c>
      <c r="L83" s="97" cm="1">
        <f t="array" ref="L83">IFERROR(IF(INDEX($G$57:$L$57,0,MATCH($B83,$G$56:$L$56,0))=L$56,SUMPRODUCT($G$45:$L$45,--($G$13:$L$13=$B83)),0)/L$61,0)</f>
        <v>0</v>
      </c>
      <c r="O83" s="55" t="str">
        <f>IF(ISBLANK(P83),"",MAX(O$5:O82)+1)</f>
        <v/>
      </c>
      <c r="P83" s="58"/>
      <c r="R83" s="54"/>
      <c r="S83" s="54"/>
      <c r="T83" s="57"/>
      <c r="U83" s="57"/>
    </row>
    <row r="84" spans="2:21" outlineLevel="1">
      <c r="B84" s="57" t="str">
        <f>K56</f>
        <v>Common</v>
      </c>
      <c r="C84" s="71"/>
      <c r="D84" s="71"/>
      <c r="E84" s="71"/>
      <c r="F84" s="64" t="s">
        <v>22</v>
      </c>
      <c r="G84" s="97" cm="1">
        <f t="array" ref="G84">IFERROR(IF(INDEX($G$57:$L$57,0,MATCH($B84,$G$56:$L$56,0))=G$56,SUMPRODUCT($G$45:$L$45,--($G$13:$L$13=$B84)),0)/G$61,0)</f>
        <v>0</v>
      </c>
      <c r="H84" s="97" cm="1">
        <f t="array" ref="H84">IFERROR(IF(INDEX($G$57:$L$57,0,MATCH($B84,$G$56:$L$56,0))=H$56,SUMPRODUCT($G$45:$L$45,--($G$13:$L$13=$B84)),0)/H$61,0)</f>
        <v>0</v>
      </c>
      <c r="I84" s="97" cm="1">
        <f t="array" ref="I84">IFERROR(IF(INDEX($G$57:$L$57,0,MATCH($B84,$G$56:$L$56,0))=I$56,SUMPRODUCT($G$45:$L$45,--($G$13:$L$13=$B84)),0)/I$61,0)</f>
        <v>0</v>
      </c>
      <c r="J84" s="97" cm="1">
        <f t="array" ref="J84">IFERROR(IF(INDEX($G$57:$L$57,0,MATCH($B84,$G$56:$L$56,0))=J$56,SUMPRODUCT($G$45:$L$45,--($G$13:$L$13=$B84)),0)/J$61,0)</f>
        <v>0</v>
      </c>
      <c r="K84" s="97" cm="1">
        <f t="array" ref="K84">IFERROR(IF(INDEX($G$57:$L$57,0,MATCH($B84,$G$56:$L$56,0))=K$56,SUMPRODUCT($G$45:$L$45,--($G$13:$L$13=$B84)),0)/K$61,0)</f>
        <v>0</v>
      </c>
      <c r="L84" s="97" cm="1">
        <f t="array" ref="L84">IFERROR(IF(INDEX($G$57:$L$57,0,MATCH($B84,$G$56:$L$56,0))=L$56,SUMPRODUCT($G$45:$L$45,--($G$13:$L$13=$B84)),0)/L$61,0)</f>
        <v>0</v>
      </c>
      <c r="O84" s="55" t="str">
        <f>IF(ISBLANK(P84),"",MAX(O$5:O83)+1)</f>
        <v/>
      </c>
      <c r="P84" s="58"/>
      <c r="R84" s="54"/>
      <c r="S84" s="54"/>
      <c r="T84" s="57"/>
      <c r="U84" s="57"/>
    </row>
    <row r="85" spans="2:21" outlineLevel="1">
      <c r="B85" s="57" t="str">
        <f>L56</f>
        <v>Options</v>
      </c>
      <c r="C85" s="71"/>
      <c r="D85" s="71"/>
      <c r="E85" s="71"/>
      <c r="F85" s="64" t="s">
        <v>22</v>
      </c>
      <c r="G85" s="97" cm="1">
        <f t="array" ref="G85">IFERROR(IF(INDEX($G$57:$L$57,0,MATCH($B85,$G$56:$L$56,0))=G$56,SUMPRODUCT($G$45:$L$45,--($G$13:$L$13=$B85)),0)/G$61,0)</f>
        <v>0</v>
      </c>
      <c r="H85" s="97" cm="1">
        <f t="array" ref="H85">IFERROR(IF(INDEX($G$57:$L$57,0,MATCH($B85,$G$56:$L$56,0))=H$56,SUMPRODUCT($G$45:$L$45,--($G$13:$L$13=$B85)),0)/H$61,0)</f>
        <v>0</v>
      </c>
      <c r="I85" s="97" cm="1">
        <f t="array" ref="I85">IFERROR(IF(INDEX($G$57:$L$57,0,MATCH($B85,$G$56:$L$56,0))=I$56,SUMPRODUCT($G$45:$L$45,--($G$13:$L$13=$B85)),0)/I$61,0)</f>
        <v>0</v>
      </c>
      <c r="J85" s="97" cm="1">
        <f t="array" ref="J85">IFERROR(IF(INDEX($G$57:$L$57,0,MATCH($B85,$G$56:$L$56,0))=J$56,SUMPRODUCT($G$45:$L$45,--($G$13:$L$13=$B85)),0)/J$61,0)</f>
        <v>0</v>
      </c>
      <c r="K85" s="97" cm="1">
        <f t="array" ref="K85">IFERROR(IF(INDEX($G$57:$L$57,0,MATCH($B85,$G$56:$L$56,0))=K$56,SUMPRODUCT($G$45:$L$45,--($G$13:$L$13=$B85)),0)/K$61,0)</f>
        <v>0</v>
      </c>
      <c r="L85" s="97" cm="1">
        <f t="array" ref="L85">IFERROR(IF(INDEX($G$57:$L$57,0,MATCH($B85,$G$56:$L$56,0))=L$56,SUMPRODUCT($G$45:$L$45,--($G$13:$L$13=$B85)),0)/L$61,0)</f>
        <v>0</v>
      </c>
      <c r="O85" s="55" t="str">
        <f>IF(ISBLANK(P85),"",MAX(O$5:O84)+1)</f>
        <v/>
      </c>
      <c r="P85" s="58"/>
      <c r="R85" s="54"/>
      <c r="S85" s="54"/>
      <c r="T85" s="57"/>
      <c r="U85" s="57"/>
    </row>
    <row r="86" spans="2:21" outlineLevel="1">
      <c r="B86" s="57" t="s">
        <v>425</v>
      </c>
      <c r="C86" s="71"/>
      <c r="D86" s="71"/>
      <c r="E86" s="71"/>
      <c r="F86" s="64" t="s">
        <v>22</v>
      </c>
      <c r="G86" s="98">
        <f>SUM(G80:G85)</f>
        <v>0</v>
      </c>
      <c r="H86" s="98">
        <f t="shared" ref="H86:L86" si="11">SUM(H80:H85)</f>
        <v>0</v>
      </c>
      <c r="I86" s="98">
        <f t="shared" si="11"/>
        <v>0</v>
      </c>
      <c r="J86" s="98">
        <f t="shared" si="11"/>
        <v>0</v>
      </c>
      <c r="K86" s="98">
        <f t="shared" si="11"/>
        <v>0</v>
      </c>
      <c r="L86" s="98">
        <f t="shared" si="11"/>
        <v>0</v>
      </c>
      <c r="O86" s="55" t="str">
        <f>IF(ISBLANK(P86),"",MAX(O$5:O85)+1)</f>
        <v/>
      </c>
      <c r="P86" s="58"/>
      <c r="R86" s="54"/>
      <c r="S86" s="54"/>
      <c r="T86" s="57"/>
      <c r="U86" s="57"/>
    </row>
    <row r="87" spans="2:21" outlineLevel="1">
      <c r="B87" s="57"/>
      <c r="C87" s="71"/>
      <c r="D87" s="71"/>
      <c r="E87" s="71"/>
      <c r="F87" s="58"/>
      <c r="O87" s="55" t="str">
        <f>IF(ISBLANK(P87),"",MAX(O$5:O86)+1)</f>
        <v/>
      </c>
      <c r="P87" s="58"/>
      <c r="R87" s="54"/>
      <c r="S87" s="54"/>
      <c r="T87" s="57"/>
      <c r="U87" s="57"/>
    </row>
    <row r="88" spans="2:21">
      <c r="B88" s="57"/>
      <c r="C88" s="71"/>
      <c r="D88" s="71"/>
      <c r="E88" s="71"/>
      <c r="F88" s="58"/>
      <c r="O88" s="55" t="str">
        <f>IF(ISBLANK(P88),"",MAX(O$5:O87)+1)</f>
        <v/>
      </c>
      <c r="P88" s="58"/>
      <c r="R88" s="54"/>
      <c r="S88" s="54"/>
      <c r="T88" s="57"/>
      <c r="U88" s="57"/>
    </row>
    <row r="89" spans="2:21">
      <c r="B89" s="99" t="s">
        <v>428</v>
      </c>
      <c r="C89" s="239"/>
      <c r="D89" s="239"/>
      <c r="E89" s="239"/>
      <c r="F89" s="54"/>
      <c r="G89" s="86"/>
      <c r="H89" s="86"/>
      <c r="I89" s="86"/>
      <c r="J89" s="86"/>
      <c r="K89" s="86"/>
      <c r="L89" s="86"/>
      <c r="M89" s="86"/>
      <c r="N89" s="86"/>
      <c r="O89" s="55" t="str">
        <f>IF(ISBLANK(P89),"",MAX(O$5:O88)+1)</f>
        <v/>
      </c>
      <c r="P89" s="56"/>
      <c r="Q89" s="54"/>
      <c r="R89" s="57"/>
      <c r="S89" s="57"/>
      <c r="T89" s="57"/>
      <c r="U89" s="57"/>
    </row>
    <row r="90" spans="2:21">
      <c r="G90" s="100"/>
      <c r="H90" s="100"/>
      <c r="I90" s="100"/>
      <c r="J90" s="100"/>
      <c r="K90" s="100"/>
      <c r="L90" s="100"/>
      <c r="M90" s="100"/>
      <c r="N90" s="100"/>
      <c r="O90" s="55" t="str">
        <f>IF(ISBLANK(P90),"",MAX(O$5:O89)+1)</f>
        <v/>
      </c>
      <c r="P90" s="56"/>
      <c r="Q90" s="54"/>
      <c r="R90" s="57"/>
      <c r="S90" s="57"/>
    </row>
    <row r="91" spans="2:21">
      <c r="B91" s="57" t="s">
        <v>355</v>
      </c>
      <c r="C91" s="71"/>
      <c r="D91" s="71"/>
      <c r="E91" s="71"/>
      <c r="F91" s="101" t="str">
        <f>F$5</f>
        <v>$</v>
      </c>
      <c r="G91" s="102">
        <f>H91*(1-$G7)</f>
        <v>0</v>
      </c>
      <c r="H91" s="102">
        <f>I91*(1-$G7)</f>
        <v>0</v>
      </c>
      <c r="I91" s="102">
        <f>J91*(1-$G7)</f>
        <v>0</v>
      </c>
      <c r="J91" s="102">
        <f>G5</f>
        <v>0</v>
      </c>
      <c r="K91" s="102">
        <f>J91*(1+$G7)</f>
        <v>0</v>
      </c>
      <c r="L91" s="102">
        <f>K91*(1+$G7)</f>
        <v>0</v>
      </c>
      <c r="M91" s="102">
        <f>L91*(1+$G7)</f>
        <v>0</v>
      </c>
      <c r="N91" s="102"/>
      <c r="O91" s="55">
        <f>IF(ISBLANK(P91),"",MAX(O$5:O90)+1)</f>
        <v>38</v>
      </c>
      <c r="P91" s="56" t="s">
        <v>429</v>
      </c>
      <c r="Q91" s="54"/>
      <c r="R91" s="57"/>
      <c r="S91" s="57"/>
    </row>
    <row r="92" spans="2:21">
      <c r="B92" s="71"/>
      <c r="C92" s="71"/>
      <c r="D92" s="71"/>
      <c r="E92" s="71"/>
      <c r="F92" s="54"/>
      <c r="G92" s="54"/>
      <c r="H92" s="54"/>
      <c r="I92" s="54"/>
      <c r="J92" s="54"/>
      <c r="K92" s="54"/>
      <c r="L92" s="54"/>
      <c r="M92" s="54"/>
      <c r="N92" s="54"/>
      <c r="O92" s="55" t="str">
        <f>IF(ISBLANK(P92),"",MAX(O$5:O91)+1)</f>
        <v/>
      </c>
      <c r="P92" s="56"/>
      <c r="Q92" s="54"/>
      <c r="R92" s="57"/>
      <c r="S92" s="57"/>
      <c r="T92" s="57"/>
      <c r="U92" s="57"/>
    </row>
    <row r="93" spans="2:21">
      <c r="B93" s="119" t="str">
        <f>"Unconverted Convertible Instruments, "&amp;F5&amp;" Amount Paid prior to distribution to Equity"</f>
        <v>Unconverted Convertible Instruments, $ Amount Paid prior to distribution to Equity</v>
      </c>
      <c r="C93" s="242"/>
      <c r="D93" s="121"/>
      <c r="E93" s="121"/>
      <c r="O93" s="55">
        <f>IF(ISBLANK(P93),"",MAX(O$5:O92)+1)</f>
        <v>39</v>
      </c>
      <c r="P93" s="56" t="s">
        <v>579</v>
      </c>
    </row>
    <row r="94" spans="2:21" outlineLevel="1">
      <c r="B94" s="120" t="str">
        <f t="shared" ref="B94:B101" si="12">B14</f>
        <v>Investor</v>
      </c>
      <c r="C94" s="121"/>
      <c r="D94" s="121"/>
      <c r="E94" s="121"/>
      <c r="F94" s="86" t="str">
        <f t="shared" ref="F94:F102" si="13">F$5</f>
        <v>$</v>
      </c>
      <c r="G94" s="61">
        <v>0</v>
      </c>
      <c r="H94" s="61">
        <v>0</v>
      </c>
      <c r="I94" s="61">
        <v>0</v>
      </c>
      <c r="J94" s="61">
        <v>0</v>
      </c>
      <c r="K94" s="61">
        <v>0</v>
      </c>
      <c r="L94" s="61">
        <v>0</v>
      </c>
      <c r="M94" s="61">
        <v>0</v>
      </c>
      <c r="O94" s="55">
        <f>IF(ISBLANK(P94),"",MAX(O$5:O93)+1)</f>
        <v>40</v>
      </c>
      <c r="P94" s="56" t="s">
        <v>578</v>
      </c>
    </row>
    <row r="95" spans="2:21" outlineLevel="1">
      <c r="B95" s="120" t="str">
        <f t="shared" si="12"/>
        <v>Investor</v>
      </c>
      <c r="C95" s="121"/>
      <c r="D95" s="121"/>
      <c r="E95" s="121"/>
      <c r="F95" s="86" t="str">
        <f t="shared" si="13"/>
        <v>$</v>
      </c>
      <c r="G95" s="61">
        <v>0</v>
      </c>
      <c r="H95" s="61">
        <v>0</v>
      </c>
      <c r="I95" s="61">
        <v>0</v>
      </c>
      <c r="J95" s="61">
        <v>0</v>
      </c>
      <c r="K95" s="61">
        <v>0</v>
      </c>
      <c r="L95" s="61">
        <v>0</v>
      </c>
      <c r="M95" s="61">
        <v>0</v>
      </c>
      <c r="O95" s="55" t="str">
        <f>IF(ISBLANK(P95),"",MAX(O$5:O94)+1)</f>
        <v/>
      </c>
      <c r="P95" s="56"/>
    </row>
    <row r="96" spans="2:21" outlineLevel="1">
      <c r="B96" s="120" t="str">
        <f t="shared" si="12"/>
        <v>Investor</v>
      </c>
      <c r="C96" s="121"/>
      <c r="D96" s="121"/>
      <c r="E96" s="121"/>
      <c r="F96" s="86" t="str">
        <f t="shared" si="13"/>
        <v>$</v>
      </c>
      <c r="G96" s="61">
        <v>0</v>
      </c>
      <c r="H96" s="61">
        <v>0</v>
      </c>
      <c r="I96" s="61">
        <v>0</v>
      </c>
      <c r="J96" s="61">
        <v>0</v>
      </c>
      <c r="K96" s="61">
        <v>0</v>
      </c>
      <c r="L96" s="61">
        <v>0</v>
      </c>
      <c r="M96" s="61">
        <v>0</v>
      </c>
      <c r="O96" s="55" t="str">
        <f>IF(ISBLANK(P96),"",MAX(O$5:O95)+1)</f>
        <v/>
      </c>
      <c r="P96" s="56"/>
    </row>
    <row r="97" spans="2:19" outlineLevel="1">
      <c r="B97" s="120" t="str">
        <f t="shared" si="12"/>
        <v>Investor</v>
      </c>
      <c r="C97" s="121"/>
      <c r="D97" s="121"/>
      <c r="E97" s="121"/>
      <c r="F97" s="86" t="str">
        <f t="shared" si="13"/>
        <v>$</v>
      </c>
      <c r="G97" s="61">
        <v>0</v>
      </c>
      <c r="H97" s="61">
        <v>0</v>
      </c>
      <c r="I97" s="61">
        <v>0</v>
      </c>
      <c r="J97" s="61">
        <v>0</v>
      </c>
      <c r="K97" s="61">
        <v>0</v>
      </c>
      <c r="L97" s="61">
        <v>0</v>
      </c>
      <c r="M97" s="61">
        <v>0</v>
      </c>
      <c r="O97" s="55" t="str">
        <f>IF(ISBLANK(P97),"",MAX(O$5:O96)+1)</f>
        <v/>
      </c>
      <c r="P97" s="56"/>
    </row>
    <row r="98" spans="2:19" outlineLevel="1">
      <c r="B98" s="120" t="str">
        <f t="shared" si="12"/>
        <v>Investor</v>
      </c>
      <c r="C98" s="121"/>
      <c r="D98" s="121"/>
      <c r="E98" s="121"/>
      <c r="F98" s="86" t="str">
        <f t="shared" si="13"/>
        <v>$</v>
      </c>
      <c r="G98" s="61">
        <v>0</v>
      </c>
      <c r="H98" s="61">
        <v>0</v>
      </c>
      <c r="I98" s="61">
        <v>0</v>
      </c>
      <c r="J98" s="61">
        <v>0</v>
      </c>
      <c r="K98" s="61">
        <v>0</v>
      </c>
      <c r="L98" s="61">
        <v>0</v>
      </c>
      <c r="M98" s="61">
        <v>0</v>
      </c>
      <c r="O98" s="55" t="str">
        <f>IF(ISBLANK(P98),"",MAX(O$5:O97)+1)</f>
        <v/>
      </c>
      <c r="P98" s="56"/>
    </row>
    <row r="99" spans="2:19" outlineLevel="1">
      <c r="B99" s="120" t="str">
        <f t="shared" si="12"/>
        <v>Investor</v>
      </c>
      <c r="C99" s="121"/>
      <c r="D99" s="121"/>
      <c r="E99" s="121"/>
      <c r="F99" s="86" t="str">
        <f t="shared" si="13"/>
        <v>$</v>
      </c>
      <c r="G99" s="61">
        <v>0</v>
      </c>
      <c r="H99" s="61">
        <v>0</v>
      </c>
      <c r="I99" s="61">
        <v>0</v>
      </c>
      <c r="J99" s="61">
        <v>0</v>
      </c>
      <c r="K99" s="61">
        <v>0</v>
      </c>
      <c r="L99" s="61">
        <v>0</v>
      </c>
      <c r="M99" s="61">
        <v>0</v>
      </c>
      <c r="O99" s="55" t="str">
        <f>IF(ISBLANK(P99),"",MAX(O$5:O98)+1)</f>
        <v/>
      </c>
      <c r="P99" s="56"/>
    </row>
    <row r="100" spans="2:19" outlineLevel="1">
      <c r="B100" s="120" t="str">
        <f t="shared" si="12"/>
        <v>Investor</v>
      </c>
      <c r="C100" s="121"/>
      <c r="D100" s="121"/>
      <c r="E100" s="121"/>
      <c r="F100" s="86" t="str">
        <f t="shared" si="13"/>
        <v>$</v>
      </c>
      <c r="G100" s="61">
        <v>0</v>
      </c>
      <c r="H100" s="61">
        <v>0</v>
      </c>
      <c r="I100" s="61">
        <v>0</v>
      </c>
      <c r="J100" s="61">
        <v>0</v>
      </c>
      <c r="K100" s="61">
        <v>0</v>
      </c>
      <c r="L100" s="61">
        <v>0</v>
      </c>
      <c r="M100" s="61">
        <v>0</v>
      </c>
      <c r="O100" s="55" t="str">
        <f>IF(ISBLANK(P100),"",MAX(O$5:O99)+1)</f>
        <v/>
      </c>
      <c r="P100" s="56"/>
    </row>
    <row r="101" spans="2:19" outlineLevel="1">
      <c r="B101" s="120" t="str">
        <f t="shared" si="12"/>
        <v>Options Exercised</v>
      </c>
      <c r="C101" s="121"/>
      <c r="D101" s="121"/>
      <c r="E101" s="121"/>
      <c r="F101" s="86" t="str">
        <f t="shared" si="13"/>
        <v>$</v>
      </c>
      <c r="G101" s="61">
        <v>0</v>
      </c>
      <c r="H101" s="61">
        <v>0</v>
      </c>
      <c r="I101" s="61">
        <v>0</v>
      </c>
      <c r="J101" s="61">
        <v>0</v>
      </c>
      <c r="K101" s="61">
        <v>0</v>
      </c>
      <c r="L101" s="61">
        <v>0</v>
      </c>
      <c r="M101" s="61">
        <v>0</v>
      </c>
      <c r="O101" s="55" t="str">
        <f>IF(ISBLANK(P101),"",MAX(O$5:O100)+1)</f>
        <v/>
      </c>
      <c r="P101" s="56"/>
    </row>
    <row r="102" spans="2:19" outlineLevel="1">
      <c r="B102" s="121" t="s">
        <v>3</v>
      </c>
      <c r="C102" s="121"/>
      <c r="D102" s="121"/>
      <c r="E102" s="121"/>
      <c r="F102" s="86" t="str">
        <f t="shared" si="13"/>
        <v>$</v>
      </c>
      <c r="G102" s="113">
        <f t="shared" ref="G102:M102" si="14">SUM(G94:G101)</f>
        <v>0</v>
      </c>
      <c r="H102" s="113">
        <f t="shared" si="14"/>
        <v>0</v>
      </c>
      <c r="I102" s="113">
        <f t="shared" si="14"/>
        <v>0</v>
      </c>
      <c r="J102" s="113">
        <f t="shared" si="14"/>
        <v>0</v>
      </c>
      <c r="K102" s="113">
        <f t="shared" si="14"/>
        <v>0</v>
      </c>
      <c r="L102" s="113">
        <f t="shared" si="14"/>
        <v>0</v>
      </c>
      <c r="M102" s="113">
        <f t="shared" si="14"/>
        <v>0</v>
      </c>
      <c r="O102" s="55" t="str">
        <f>IF(ISBLANK(P102),"",MAX(O$5:O101)+1)</f>
        <v/>
      </c>
      <c r="P102" s="56"/>
    </row>
    <row r="103" spans="2:19" outlineLevel="1">
      <c r="B103" s="121"/>
      <c r="C103" s="121"/>
      <c r="D103" s="121"/>
      <c r="E103" s="121"/>
      <c r="F103" s="86"/>
      <c r="G103" s="248"/>
      <c r="H103" s="248"/>
      <c r="I103" s="248"/>
      <c r="J103" s="248"/>
      <c r="K103" s="248"/>
      <c r="L103" s="248"/>
      <c r="M103" s="248"/>
      <c r="O103" s="55" t="str">
        <f>IF(ISBLANK(P103),"",MAX(O$5:O102)+1)</f>
        <v/>
      </c>
      <c r="P103" s="56"/>
    </row>
    <row r="104" spans="2:19">
      <c r="B104" s="57" t="s">
        <v>430</v>
      </c>
      <c r="C104" s="71"/>
      <c r="D104" s="71"/>
      <c r="E104" s="71"/>
      <c r="F104" s="101" t="str">
        <f>F$5</f>
        <v>$</v>
      </c>
      <c r="G104" s="247">
        <f t="shared" ref="G104:M104" si="15">G102</f>
        <v>0</v>
      </c>
      <c r="H104" s="247">
        <f t="shared" si="15"/>
        <v>0</v>
      </c>
      <c r="I104" s="247">
        <f t="shared" si="15"/>
        <v>0</v>
      </c>
      <c r="J104" s="247">
        <f t="shared" si="15"/>
        <v>0</v>
      </c>
      <c r="K104" s="247">
        <f t="shared" si="15"/>
        <v>0</v>
      </c>
      <c r="L104" s="247">
        <f t="shared" si="15"/>
        <v>0</v>
      </c>
      <c r="M104" s="247">
        <f t="shared" si="15"/>
        <v>0</v>
      </c>
      <c r="N104" s="102"/>
      <c r="O104" s="55">
        <f>IF(ISBLANK(P104),"",MAX(O$5:O103)+1)</f>
        <v>41</v>
      </c>
      <c r="P104" s="56" t="s">
        <v>431</v>
      </c>
      <c r="Q104" s="54"/>
      <c r="R104" s="57"/>
      <c r="S104" s="57"/>
    </row>
    <row r="105" spans="2:19">
      <c r="B105" s="57" t="s">
        <v>432</v>
      </c>
      <c r="C105" s="71"/>
      <c r="D105" s="71"/>
      <c r="E105" s="71"/>
      <c r="F105" s="101" t="str">
        <f>F$5</f>
        <v>$</v>
      </c>
      <c r="G105" s="61">
        <v>0</v>
      </c>
      <c r="H105" s="61">
        <f>G105</f>
        <v>0</v>
      </c>
      <c r="I105" s="61">
        <f t="shared" ref="I105:M105" si="16">H105</f>
        <v>0</v>
      </c>
      <c r="J105" s="61">
        <f t="shared" si="16"/>
        <v>0</v>
      </c>
      <c r="K105" s="61">
        <f t="shared" si="16"/>
        <v>0</v>
      </c>
      <c r="L105" s="61">
        <f t="shared" si="16"/>
        <v>0</v>
      </c>
      <c r="M105" s="61">
        <f t="shared" si="16"/>
        <v>0</v>
      </c>
      <c r="N105" s="102"/>
      <c r="O105" s="55">
        <f>IF(ISBLANK(P105),"",MAX(O$5:O104)+1)</f>
        <v>42</v>
      </c>
      <c r="P105" s="56" t="s">
        <v>433</v>
      </c>
      <c r="Q105" s="54"/>
      <c r="R105" s="57"/>
      <c r="S105" s="57"/>
    </row>
    <row r="106" spans="2:19">
      <c r="B106" s="57" t="s">
        <v>434</v>
      </c>
      <c r="C106" s="71"/>
      <c r="D106" s="71"/>
      <c r="E106" s="71"/>
      <c r="F106" s="101" t="str">
        <f>F$5</f>
        <v>$</v>
      </c>
      <c r="G106" s="103">
        <f t="shared" ref="G106:M106" si="17">MAX(0,G91-ABS(G104)-ABS(G105))</f>
        <v>0</v>
      </c>
      <c r="H106" s="103">
        <f t="shared" si="17"/>
        <v>0</v>
      </c>
      <c r="I106" s="103">
        <f t="shared" si="17"/>
        <v>0</v>
      </c>
      <c r="J106" s="103">
        <f t="shared" si="17"/>
        <v>0</v>
      </c>
      <c r="K106" s="103">
        <f t="shared" si="17"/>
        <v>0</v>
      </c>
      <c r="L106" s="103">
        <f t="shared" si="17"/>
        <v>0</v>
      </c>
      <c r="M106" s="103">
        <f t="shared" si="17"/>
        <v>0</v>
      </c>
      <c r="N106" s="102"/>
      <c r="O106" s="55">
        <f>IF(ISBLANK(P106),"",MAX(O$5:O105)+1)</f>
        <v>43</v>
      </c>
      <c r="P106" s="56" t="s">
        <v>435</v>
      </c>
      <c r="Q106" s="54"/>
      <c r="R106" s="57"/>
      <c r="S106" s="57"/>
    </row>
    <row r="107" spans="2:19">
      <c r="B107" s="57" t="s">
        <v>372</v>
      </c>
      <c r="C107" s="71"/>
      <c r="D107" s="71"/>
      <c r="E107" s="71"/>
      <c r="F107" s="64" t="s">
        <v>130</v>
      </c>
      <c r="G107" s="89">
        <f t="shared" ref="G107:M107" si="18">$M24</f>
        <v>0</v>
      </c>
      <c r="H107" s="89">
        <f t="shared" si="18"/>
        <v>0</v>
      </c>
      <c r="I107" s="89">
        <f t="shared" si="18"/>
        <v>0</v>
      </c>
      <c r="J107" s="89">
        <f t="shared" si="18"/>
        <v>0</v>
      </c>
      <c r="K107" s="89">
        <f t="shared" si="18"/>
        <v>0</v>
      </c>
      <c r="L107" s="89">
        <f t="shared" si="18"/>
        <v>0</v>
      </c>
      <c r="M107" s="89">
        <f t="shared" si="18"/>
        <v>0</v>
      </c>
      <c r="N107" s="102"/>
      <c r="O107" s="55">
        <f>IF(ISBLANK(P107),"",MAX(O$5:O106)+1)</f>
        <v>44</v>
      </c>
      <c r="P107" s="56" t="s">
        <v>436</v>
      </c>
      <c r="Q107" s="54"/>
      <c r="R107" s="57"/>
      <c r="S107" s="57"/>
    </row>
    <row r="108" spans="2:19">
      <c r="B108" s="57" t="s">
        <v>570</v>
      </c>
      <c r="C108" s="71"/>
      <c r="D108" s="71"/>
      <c r="E108" s="71"/>
      <c r="F108" s="101" t="s">
        <v>22</v>
      </c>
      <c r="G108" s="63" cm="1">
        <f t="array" ref="G108">IF($G8="yes",IFERROR(SUMPRODUCT($L14:$L22,--($E14:$E22&lt;G210))/SUMPRODUCT($L14:$L22,--($E14:$E22&gt;0)),1),0)</f>
        <v>0</v>
      </c>
      <c r="H108" s="63" cm="1">
        <f t="array" ref="H108">IF($G8="yes",IFERROR(SUMPRODUCT($L14:$L22,--($E14:$E22&lt;H210))/SUMPRODUCT($L14:$L22,--($E14:$E22&gt;0)),1),0)</f>
        <v>0</v>
      </c>
      <c r="I108" s="63" cm="1">
        <f t="array" ref="I108">IF($G8="yes",IFERROR(SUMPRODUCT($L14:$L22,--($E14:$E22&lt;I210))/SUMPRODUCT($L14:$L22,--($E14:$E22&gt;0)),1),0)</f>
        <v>0</v>
      </c>
      <c r="J108" s="63" cm="1">
        <f t="array" ref="J108">IF($G8="yes",IFERROR(SUMPRODUCT($L14:$L22,--($E14:$E22&lt;J210))/SUMPRODUCT($L14:$L22,--($E14:$E22&gt;0)),1),0)</f>
        <v>0</v>
      </c>
      <c r="K108" s="63" cm="1">
        <f t="array" ref="K108">IF($G8="yes",IFERROR(SUMPRODUCT($L14:$L22,--($E14:$E22&lt;K210))/SUMPRODUCT($L14:$L22,--($E14:$E22&gt;0)),1),0)</f>
        <v>0</v>
      </c>
      <c r="L108" s="63" cm="1">
        <f t="array" ref="L108">IF($G8="yes",IFERROR(SUMPRODUCT($L14:$L22,--($E14:$E22&lt;L210))/SUMPRODUCT($L14:$L22,--($E14:$E22&gt;0)),1),0)</f>
        <v>0</v>
      </c>
      <c r="M108" s="63" cm="1">
        <f t="array" ref="M108">IF($G8="yes",IFERROR(SUMPRODUCT($L14:$L22,--($E14:$E22&lt;M210))/SUMPRODUCT($L14:$L22,--($E14:$E22&gt;0)),1),0)</f>
        <v>0</v>
      </c>
      <c r="N108" s="102"/>
      <c r="O108" s="55">
        <f>IF(ISBLANK(P108),"",MAX(O$5:O107)+1)</f>
        <v>45</v>
      </c>
      <c r="P108" s="56" t="s">
        <v>571</v>
      </c>
      <c r="Q108" s="54"/>
      <c r="R108" s="57"/>
      <c r="S108" s="57"/>
    </row>
    <row r="109" spans="2:19">
      <c r="B109" s="57" t="s">
        <v>572</v>
      </c>
      <c r="C109" s="71"/>
      <c r="D109" s="71"/>
      <c r="E109" s="71"/>
      <c r="F109" s="64" t="s">
        <v>130</v>
      </c>
      <c r="G109" s="61">
        <f t="shared" ref="G109:M109" si="19">$L24*(1-G108)</f>
        <v>0</v>
      </c>
      <c r="H109" s="61">
        <f t="shared" si="19"/>
        <v>0</v>
      </c>
      <c r="I109" s="61">
        <f t="shared" si="19"/>
        <v>0</v>
      </c>
      <c r="J109" s="61">
        <f t="shared" si="19"/>
        <v>0</v>
      </c>
      <c r="K109" s="61">
        <f t="shared" si="19"/>
        <v>0</v>
      </c>
      <c r="L109" s="61">
        <f t="shared" si="19"/>
        <v>0</v>
      </c>
      <c r="M109" s="61">
        <f t="shared" si="19"/>
        <v>0</v>
      </c>
      <c r="N109" s="102"/>
      <c r="O109" s="55">
        <f>IF(ISBLANK(P109),"",MAX(O$5:O108)+1)</f>
        <v>46</v>
      </c>
      <c r="P109" s="56" t="s">
        <v>571</v>
      </c>
      <c r="Q109" s="54"/>
      <c r="R109" s="57"/>
      <c r="S109" s="57"/>
    </row>
    <row r="110" spans="2:19">
      <c r="B110" s="57" t="s">
        <v>372</v>
      </c>
      <c r="C110" s="71"/>
      <c r="D110" s="71"/>
      <c r="E110" s="71"/>
      <c r="F110" s="64" t="s">
        <v>130</v>
      </c>
      <c r="G110" s="89">
        <f>G107-G109</f>
        <v>0</v>
      </c>
      <c r="H110" s="89">
        <f t="shared" ref="H110:M110" si="20">H107-H109</f>
        <v>0</v>
      </c>
      <c r="I110" s="89">
        <f t="shared" si="20"/>
        <v>0</v>
      </c>
      <c r="J110" s="89">
        <f t="shared" si="20"/>
        <v>0</v>
      </c>
      <c r="K110" s="89">
        <f t="shared" si="20"/>
        <v>0</v>
      </c>
      <c r="L110" s="89">
        <f t="shared" si="20"/>
        <v>0</v>
      </c>
      <c r="M110" s="89">
        <f t="shared" si="20"/>
        <v>0</v>
      </c>
      <c r="N110" s="102"/>
      <c r="O110" s="55">
        <f>IF(ISBLANK(P110),"",MAX(O$5:O109)+1)</f>
        <v>47</v>
      </c>
      <c r="P110" s="56" t="s">
        <v>436</v>
      </c>
      <c r="Q110" s="54"/>
      <c r="R110" s="57"/>
    </row>
    <row r="111" spans="2:19">
      <c r="B111" s="57" t="s">
        <v>437</v>
      </c>
      <c r="C111" s="71"/>
      <c r="D111" s="71"/>
      <c r="E111" s="71"/>
      <c r="F111" s="54" t="str">
        <f>F5</f>
        <v>$</v>
      </c>
      <c r="G111" s="104">
        <f t="shared" ref="G111:M111" si="21">IFERROR(G106/G110,0)</f>
        <v>0</v>
      </c>
      <c r="H111" s="104">
        <f t="shared" si="21"/>
        <v>0</v>
      </c>
      <c r="I111" s="104">
        <f t="shared" si="21"/>
        <v>0</v>
      </c>
      <c r="J111" s="104">
        <f t="shared" si="21"/>
        <v>0</v>
      </c>
      <c r="K111" s="104">
        <f t="shared" si="21"/>
        <v>0</v>
      </c>
      <c r="L111" s="104">
        <f t="shared" si="21"/>
        <v>0</v>
      </c>
      <c r="M111" s="104">
        <f t="shared" si="21"/>
        <v>0</v>
      </c>
      <c r="N111" s="102"/>
      <c r="O111" s="55">
        <f>IF(ISBLANK(P111),"",MAX(O$5:O110)+1)</f>
        <v>48</v>
      </c>
      <c r="P111" s="56" t="s">
        <v>438</v>
      </c>
      <c r="Q111" s="54"/>
      <c r="R111" s="57"/>
    </row>
    <row r="112" spans="2:19">
      <c r="B112" s="57"/>
      <c r="C112" s="71"/>
      <c r="D112" s="71"/>
      <c r="E112" s="71"/>
      <c r="N112" s="102"/>
      <c r="O112" s="55" t="str">
        <f>IF(ISBLANK(P112),"",MAX(O$5:O111)+1)</f>
        <v/>
      </c>
      <c r="P112" s="56"/>
      <c r="Q112" s="54"/>
      <c r="R112" s="57"/>
    </row>
    <row r="113" spans="2:18">
      <c r="B113" s="59" t="str">
        <f>"Preferred, "&amp;G68</f>
        <v>Preferred, C</v>
      </c>
      <c r="C113" s="74"/>
      <c r="D113" s="74"/>
      <c r="E113" s="74"/>
      <c r="F113" s="105"/>
      <c r="L113" s="106"/>
      <c r="N113" s="102"/>
      <c r="O113" s="55" t="str">
        <f>IF(ISBLANK(P113),"",MAX(O$5:O112)+1)</f>
        <v/>
      </c>
      <c r="P113" s="56"/>
      <c r="Q113" s="54"/>
      <c r="R113" s="57"/>
    </row>
    <row r="114" spans="2:18">
      <c r="B114" s="57" t="s">
        <v>439</v>
      </c>
      <c r="C114" s="71"/>
      <c r="D114" s="71"/>
      <c r="E114" s="71"/>
      <c r="F114" s="54" t="str">
        <f>F5</f>
        <v>$</v>
      </c>
      <c r="G114" s="89">
        <f t="shared" ref="G114:M114" si="22">G106</f>
        <v>0</v>
      </c>
      <c r="H114" s="89">
        <f t="shared" si="22"/>
        <v>0</v>
      </c>
      <c r="I114" s="89">
        <f t="shared" si="22"/>
        <v>0</v>
      </c>
      <c r="J114" s="89">
        <f t="shared" si="22"/>
        <v>0</v>
      </c>
      <c r="K114" s="89">
        <f t="shared" si="22"/>
        <v>0</v>
      </c>
      <c r="L114" s="89">
        <f t="shared" si="22"/>
        <v>0</v>
      </c>
      <c r="M114" s="89">
        <f t="shared" si="22"/>
        <v>0</v>
      </c>
      <c r="N114" s="102"/>
      <c r="O114" s="55">
        <f>IF(ISBLANK(P114),"",MAX(O$5:O113)+1)</f>
        <v>49</v>
      </c>
      <c r="P114" s="56" t="s">
        <v>440</v>
      </c>
    </row>
    <row r="115" spans="2:18">
      <c r="B115" s="57" t="s">
        <v>441</v>
      </c>
      <c r="C115" s="71"/>
      <c r="D115" s="71"/>
      <c r="E115" s="71"/>
      <c r="F115" s="64" t="s">
        <v>130</v>
      </c>
      <c r="G115" s="89">
        <f t="shared" ref="G115:M115" si="23">G110</f>
        <v>0</v>
      </c>
      <c r="H115" s="89">
        <f t="shared" si="23"/>
        <v>0</v>
      </c>
      <c r="I115" s="89">
        <f t="shared" si="23"/>
        <v>0</v>
      </c>
      <c r="J115" s="89">
        <f t="shared" si="23"/>
        <v>0</v>
      </c>
      <c r="K115" s="89">
        <f t="shared" si="23"/>
        <v>0</v>
      </c>
      <c r="L115" s="89">
        <f t="shared" si="23"/>
        <v>0</v>
      </c>
      <c r="M115" s="89">
        <f t="shared" si="23"/>
        <v>0</v>
      </c>
      <c r="N115" s="102"/>
      <c r="O115" s="55">
        <f>IF(ISBLANK(P115),"",MAX(O$5:O114)+1)</f>
        <v>50</v>
      </c>
      <c r="P115" s="56" t="s">
        <v>442</v>
      </c>
    </row>
    <row r="116" spans="2:18">
      <c r="B116" s="71" t="str">
        <f>"Shares, "&amp;B113</f>
        <v>Shares, Preferred, C</v>
      </c>
      <c r="C116" s="71"/>
      <c r="D116" s="71"/>
      <c r="E116" s="71"/>
      <c r="F116" s="86" t="s">
        <v>130</v>
      </c>
      <c r="G116" s="89">
        <f t="shared" ref="G116:M116" si="24">$G59</f>
        <v>0</v>
      </c>
      <c r="H116" s="89">
        <f t="shared" si="24"/>
        <v>0</v>
      </c>
      <c r="I116" s="89">
        <f t="shared" si="24"/>
        <v>0</v>
      </c>
      <c r="J116" s="89">
        <f t="shared" si="24"/>
        <v>0</v>
      </c>
      <c r="K116" s="89">
        <f t="shared" si="24"/>
        <v>0</v>
      </c>
      <c r="L116" s="89">
        <f t="shared" si="24"/>
        <v>0</v>
      </c>
      <c r="M116" s="89">
        <f t="shared" si="24"/>
        <v>0</v>
      </c>
      <c r="N116" s="102"/>
      <c r="O116" s="55">
        <f>IF(ISBLANK(P116),"",MAX(O$5:O115)+1)</f>
        <v>51</v>
      </c>
      <c r="P116" s="107" t="s">
        <v>443</v>
      </c>
    </row>
    <row r="117" spans="2:18">
      <c r="B117" s="71" t="s">
        <v>444</v>
      </c>
      <c r="C117" s="71"/>
      <c r="D117" s="71"/>
      <c r="E117" s="71"/>
      <c r="F117" s="86" t="str">
        <f>F$5</f>
        <v>$</v>
      </c>
      <c r="G117" s="89">
        <f t="shared" ref="G117:M117" si="25">$G61</f>
        <v>0</v>
      </c>
      <c r="H117" s="89">
        <f t="shared" si="25"/>
        <v>0</v>
      </c>
      <c r="I117" s="89">
        <f t="shared" si="25"/>
        <v>0</v>
      </c>
      <c r="J117" s="89">
        <f t="shared" si="25"/>
        <v>0</v>
      </c>
      <c r="K117" s="89">
        <f t="shared" si="25"/>
        <v>0</v>
      </c>
      <c r="L117" s="89">
        <f t="shared" si="25"/>
        <v>0</v>
      </c>
      <c r="M117" s="89">
        <f t="shared" si="25"/>
        <v>0</v>
      </c>
      <c r="N117" s="102"/>
      <c r="O117" s="55">
        <f>IF(ISBLANK(P117),"",MAX(O$5:O116)+1)</f>
        <v>52</v>
      </c>
      <c r="P117" s="107" t="s">
        <v>445</v>
      </c>
    </row>
    <row r="118" spans="2:18">
      <c r="B118" s="71" t="s">
        <v>446</v>
      </c>
      <c r="C118" s="71"/>
      <c r="D118" s="71"/>
      <c r="E118" s="71"/>
      <c r="F118" s="86" t="str">
        <f>F5</f>
        <v>$</v>
      </c>
      <c r="G118" s="108" t="str">
        <f t="shared" ref="G118:M118" si="26">IF($G$62=$B$329,$G60*$G$63,IF($G$62=$B$330,0,"na"))</f>
        <v>na</v>
      </c>
      <c r="H118" s="108" t="str">
        <f t="shared" si="26"/>
        <v>na</v>
      </c>
      <c r="I118" s="108" t="str">
        <f t="shared" si="26"/>
        <v>na</v>
      </c>
      <c r="J118" s="108" t="str">
        <f t="shared" si="26"/>
        <v>na</v>
      </c>
      <c r="K118" s="108" t="str">
        <f t="shared" si="26"/>
        <v>na</v>
      </c>
      <c r="L118" s="108" t="str">
        <f t="shared" si="26"/>
        <v>na</v>
      </c>
      <c r="M118" s="108" t="str">
        <f t="shared" si="26"/>
        <v>na</v>
      </c>
      <c r="N118" s="108"/>
      <c r="O118" s="55">
        <f>IF(ISBLANK(P118),"",MAX(O$5:O117)+1)</f>
        <v>53</v>
      </c>
      <c r="P118" s="107" t="s">
        <v>447</v>
      </c>
    </row>
    <row r="119" spans="2:18">
      <c r="B119" s="74" t="str">
        <f>"Note: Implied Proceeds, do not convert to Common, if "&amp;B$328</f>
        <v>Note: Implied Proceeds, do not convert to Common, if Non Participating Preferred</v>
      </c>
      <c r="C119" s="74"/>
      <c r="D119" s="74"/>
      <c r="E119" s="74"/>
      <c r="F119" s="86" t="str">
        <f>F$5</f>
        <v>$</v>
      </c>
      <c r="G119" s="89">
        <f>MIN(G114,G117)</f>
        <v>0</v>
      </c>
      <c r="H119" s="89">
        <f>MIN(H114,H117)</f>
        <v>0</v>
      </c>
      <c r="I119" s="89">
        <f>MIN(I114,I117)</f>
        <v>0</v>
      </c>
      <c r="J119" s="89">
        <f t="shared" ref="J119:M119" si="27">MIN(J114,J117)</f>
        <v>0</v>
      </c>
      <c r="K119" s="89">
        <f t="shared" si="27"/>
        <v>0</v>
      </c>
      <c r="L119" s="89">
        <f t="shared" si="27"/>
        <v>0</v>
      </c>
      <c r="M119" s="89">
        <f t="shared" si="27"/>
        <v>0</v>
      </c>
      <c r="N119" s="89"/>
      <c r="O119" s="55">
        <f>IF(ISBLANK(P119),"",MAX(O$5:O118)+1)</f>
        <v>54</v>
      </c>
      <c r="P119" s="107" t="s">
        <v>448</v>
      </c>
      <c r="Q119" s="100"/>
    </row>
    <row r="120" spans="2:18">
      <c r="B120" s="74" t="str">
        <f>"Note: Implied Proceeds, do not convert to Common, if "&amp;B$329</f>
        <v>Note: Implied Proceeds, do not convert to Common, if Participating Preferred with a Cap</v>
      </c>
      <c r="C120" s="74"/>
      <c r="D120" s="74"/>
      <c r="E120" s="74"/>
      <c r="F120" s="86" t="str">
        <f>F$5</f>
        <v>$</v>
      </c>
      <c r="G120" s="89">
        <f t="shared" ref="G120:M120" si="28">IFERROR(IF($G$8="no",MIN(MAX(0,G$106)/G$110*G116+G117,G114,$G$60*$G$63),MIN(G$210*G116+G117,G114,$G$60*$G$63)),0)</f>
        <v>0</v>
      </c>
      <c r="H120" s="89">
        <f t="shared" si="28"/>
        <v>0</v>
      </c>
      <c r="I120" s="89">
        <f t="shared" si="28"/>
        <v>0</v>
      </c>
      <c r="J120" s="89">
        <f t="shared" si="28"/>
        <v>0</v>
      </c>
      <c r="K120" s="89">
        <f t="shared" si="28"/>
        <v>0</v>
      </c>
      <c r="L120" s="89">
        <f t="shared" si="28"/>
        <v>0</v>
      </c>
      <c r="M120" s="89">
        <f t="shared" si="28"/>
        <v>0</v>
      </c>
      <c r="N120" s="89"/>
      <c r="O120" s="55">
        <f>IF(ISBLANK(P120),"",MAX(O$5:O119)+1)</f>
        <v>55</v>
      </c>
      <c r="P120" s="107" t="s">
        <v>449</v>
      </c>
      <c r="Q120" s="100"/>
    </row>
    <row r="121" spans="2:18">
      <c r="B121" s="74" t="str">
        <f>"Note: Implied Proceeds, do not convert to Common, if "&amp;B$330</f>
        <v>Note: Implied Proceeds, do not convert to Common, if Full Participating Preferred</v>
      </c>
      <c r="C121" s="74"/>
      <c r="D121" s="74"/>
      <c r="E121" s="74"/>
      <c r="F121" s="86" t="str">
        <f>F$5</f>
        <v>$</v>
      </c>
      <c r="G121" s="89">
        <f t="shared" ref="G121:M121" si="29">IFERROR(MIN(G$210*G116+G117,G114),0)</f>
        <v>0</v>
      </c>
      <c r="H121" s="89">
        <f t="shared" si="29"/>
        <v>0</v>
      </c>
      <c r="I121" s="89">
        <f t="shared" si="29"/>
        <v>0</v>
      </c>
      <c r="J121" s="89">
        <f t="shared" si="29"/>
        <v>0</v>
      </c>
      <c r="K121" s="89">
        <f t="shared" si="29"/>
        <v>0</v>
      </c>
      <c r="L121" s="89">
        <f t="shared" si="29"/>
        <v>0</v>
      </c>
      <c r="M121" s="89">
        <f t="shared" si="29"/>
        <v>0</v>
      </c>
      <c r="N121" s="89"/>
      <c r="O121" s="55">
        <f>IF(ISBLANK(P121),"",MAX(O$5:O120)+1)</f>
        <v>56</v>
      </c>
      <c r="P121" s="107" t="s">
        <v>450</v>
      </c>
      <c r="Q121" s="100"/>
    </row>
    <row r="122" spans="2:18">
      <c r="B122" s="74" t="s">
        <v>451</v>
      </c>
      <c r="C122" s="74"/>
      <c r="D122" s="74"/>
      <c r="E122" s="74"/>
      <c r="F122" s="86" t="str">
        <f>F$5</f>
        <v>$</v>
      </c>
      <c r="G122" s="109">
        <f t="shared" ref="G122:M122" si="30">IFERROR(IF($G$8="no",MAX(0,G$106)/G$110*G116*$G$64,G$210*G116*$G$64),0)</f>
        <v>0</v>
      </c>
      <c r="H122" s="109">
        <f t="shared" si="30"/>
        <v>0</v>
      </c>
      <c r="I122" s="109">
        <f t="shared" si="30"/>
        <v>0</v>
      </c>
      <c r="J122" s="109">
        <f t="shared" si="30"/>
        <v>0</v>
      </c>
      <c r="K122" s="109">
        <f t="shared" si="30"/>
        <v>0</v>
      </c>
      <c r="L122" s="109">
        <f t="shared" si="30"/>
        <v>0</v>
      </c>
      <c r="M122" s="109">
        <f t="shared" si="30"/>
        <v>0</v>
      </c>
      <c r="N122" s="109"/>
      <c r="O122" s="55">
        <f>IF(ISBLANK(P122),"",MAX(O$5:O121)+1)</f>
        <v>57</v>
      </c>
      <c r="P122" s="107" t="s">
        <v>452</v>
      </c>
    </row>
    <row r="123" spans="2:18">
      <c r="B123" s="71" t="s">
        <v>453</v>
      </c>
      <c r="C123" s="71"/>
      <c r="D123" s="71"/>
      <c r="E123" s="71"/>
      <c r="F123" s="86" t="s">
        <v>361</v>
      </c>
      <c r="G123" s="91" t="str">
        <f t="shared" ref="G123:M123" si="31">IF($G$62=$B$328,"no",IF($G$62=$B$330,"yes",IF(G120&gt;G122,"yes","no")))</f>
        <v>no</v>
      </c>
      <c r="H123" s="91" t="str">
        <f t="shared" si="31"/>
        <v>no</v>
      </c>
      <c r="I123" s="91" t="str">
        <f t="shared" si="31"/>
        <v>no</v>
      </c>
      <c r="J123" s="91" t="str">
        <f t="shared" si="31"/>
        <v>no</v>
      </c>
      <c r="K123" s="91" t="str">
        <f t="shared" si="31"/>
        <v>no</v>
      </c>
      <c r="L123" s="91" t="str">
        <f t="shared" si="31"/>
        <v>no</v>
      </c>
      <c r="M123" s="91" t="str">
        <f t="shared" si="31"/>
        <v>no</v>
      </c>
      <c r="N123" s="91"/>
      <c r="O123" s="55">
        <f>IF(ISBLANK(P123),"",MAX(O$5:O122)+1)</f>
        <v>58</v>
      </c>
      <c r="P123" s="107" t="s">
        <v>454</v>
      </c>
    </row>
    <row r="124" spans="2:18">
      <c r="B124" s="71" t="s">
        <v>455</v>
      </c>
      <c r="C124" s="71"/>
      <c r="D124" s="71"/>
      <c r="E124" s="71"/>
      <c r="F124" s="86" t="s">
        <v>130</v>
      </c>
      <c r="G124" s="89">
        <f t="shared" ref="G124:M124" si="32">IFERROR(IF(G123="yes",INDEX(G125:G127,MATCH($G$62,$B$328:$B$330,0))/G$210,0),0)</f>
        <v>0</v>
      </c>
      <c r="H124" s="89">
        <f t="shared" si="32"/>
        <v>0</v>
      </c>
      <c r="I124" s="89">
        <f t="shared" si="32"/>
        <v>0</v>
      </c>
      <c r="J124" s="89">
        <f t="shared" si="32"/>
        <v>0</v>
      </c>
      <c r="K124" s="89">
        <f t="shared" si="32"/>
        <v>0</v>
      </c>
      <c r="L124" s="89">
        <f t="shared" si="32"/>
        <v>0</v>
      </c>
      <c r="M124" s="89">
        <f t="shared" si="32"/>
        <v>0</v>
      </c>
      <c r="N124" s="89"/>
      <c r="O124" s="55">
        <f>IF(ISBLANK(P124),"",MAX(O$5:O123)+1)</f>
        <v>59</v>
      </c>
      <c r="P124" s="107" t="s">
        <v>456</v>
      </c>
    </row>
    <row r="125" spans="2:18">
      <c r="B125" s="74" t="str">
        <f>"Note: Participation, if "&amp;B328</f>
        <v>Note: Participation, if Non Participating Preferred</v>
      </c>
      <c r="C125" s="74"/>
      <c r="D125" s="74"/>
      <c r="E125" s="74"/>
      <c r="F125" s="86" t="str">
        <f>F$5</f>
        <v>$</v>
      </c>
      <c r="G125" s="89">
        <f t="shared" ref="G125:M127" si="33">MAX(0,G119-G$117)</f>
        <v>0</v>
      </c>
      <c r="H125" s="89">
        <f t="shared" si="33"/>
        <v>0</v>
      </c>
      <c r="I125" s="89">
        <f t="shared" si="33"/>
        <v>0</v>
      </c>
      <c r="J125" s="89">
        <f t="shared" si="33"/>
        <v>0</v>
      </c>
      <c r="K125" s="89">
        <f t="shared" si="33"/>
        <v>0</v>
      </c>
      <c r="L125" s="89">
        <f t="shared" si="33"/>
        <v>0</v>
      </c>
      <c r="M125" s="89">
        <f t="shared" si="33"/>
        <v>0</v>
      </c>
      <c r="N125" s="89"/>
      <c r="O125" s="55">
        <f>IF(ISBLANK(P125),"",MAX(O$5:O124)+1)</f>
        <v>60</v>
      </c>
      <c r="P125" s="107" t="s">
        <v>457</v>
      </c>
    </row>
    <row r="126" spans="2:18">
      <c r="B126" s="74" t="str">
        <f>"Note: Participation, if "&amp;B329</f>
        <v>Note: Participation, if Participating Preferred with a Cap</v>
      </c>
      <c r="C126" s="74"/>
      <c r="D126" s="74"/>
      <c r="E126" s="74"/>
      <c r="F126" s="86" t="str">
        <f>F$5</f>
        <v>$</v>
      </c>
      <c r="G126" s="89">
        <f t="shared" si="33"/>
        <v>0</v>
      </c>
      <c r="H126" s="89">
        <f t="shared" si="33"/>
        <v>0</v>
      </c>
      <c r="I126" s="89">
        <f t="shared" si="33"/>
        <v>0</v>
      </c>
      <c r="J126" s="89">
        <f t="shared" si="33"/>
        <v>0</v>
      </c>
      <c r="K126" s="89">
        <f t="shared" si="33"/>
        <v>0</v>
      </c>
      <c r="L126" s="89">
        <f t="shared" si="33"/>
        <v>0</v>
      </c>
      <c r="M126" s="89">
        <f t="shared" si="33"/>
        <v>0</v>
      </c>
      <c r="N126" s="89"/>
      <c r="O126" s="55">
        <f>IF(ISBLANK(P126),"",MAX(O$5:O125)+1)</f>
        <v>61</v>
      </c>
      <c r="P126" s="107" t="s">
        <v>457</v>
      </c>
    </row>
    <row r="127" spans="2:18">
      <c r="B127" s="74" t="str">
        <f>"Note: Participation, if "&amp;B330</f>
        <v>Note: Participation, if Full Participating Preferred</v>
      </c>
      <c r="C127" s="74"/>
      <c r="D127" s="74"/>
      <c r="E127" s="74"/>
      <c r="F127" s="86" t="str">
        <f>F$5</f>
        <v>$</v>
      </c>
      <c r="G127" s="89">
        <f t="shared" si="33"/>
        <v>0</v>
      </c>
      <c r="H127" s="89">
        <f t="shared" si="33"/>
        <v>0</v>
      </c>
      <c r="I127" s="89">
        <f t="shared" si="33"/>
        <v>0</v>
      </c>
      <c r="J127" s="89">
        <f t="shared" si="33"/>
        <v>0</v>
      </c>
      <c r="K127" s="89">
        <f t="shared" si="33"/>
        <v>0</v>
      </c>
      <c r="L127" s="89">
        <f t="shared" si="33"/>
        <v>0</v>
      </c>
      <c r="M127" s="89">
        <f t="shared" si="33"/>
        <v>0</v>
      </c>
      <c r="N127" s="89"/>
      <c r="O127" s="55">
        <f>IF(ISBLANK(P127),"",MAX(O$5:O126)+1)</f>
        <v>62</v>
      </c>
      <c r="P127" s="107" t="s">
        <v>457</v>
      </c>
    </row>
    <row r="128" spans="2:18">
      <c r="B128" s="71" t="s">
        <v>458</v>
      </c>
      <c r="C128" s="71"/>
      <c r="D128" s="71"/>
      <c r="E128" s="71"/>
      <c r="F128" s="86" t="s">
        <v>361</v>
      </c>
      <c r="G128" s="91" t="str">
        <f t="shared" ref="G128:M128" si="34">IF($G$62=$B$328,IF(G119&gt;=G122,"no","yes"),IF(G123="yes","no","yes"))</f>
        <v>no</v>
      </c>
      <c r="H128" s="91" t="str">
        <f t="shared" si="34"/>
        <v>no</v>
      </c>
      <c r="I128" s="91" t="str">
        <f t="shared" si="34"/>
        <v>no</v>
      </c>
      <c r="J128" s="91" t="str">
        <f t="shared" si="34"/>
        <v>no</v>
      </c>
      <c r="K128" s="91" t="str">
        <f t="shared" si="34"/>
        <v>no</v>
      </c>
      <c r="L128" s="91" t="str">
        <f t="shared" si="34"/>
        <v>no</v>
      </c>
      <c r="M128" s="91" t="str">
        <f t="shared" si="34"/>
        <v>no</v>
      </c>
      <c r="N128" s="91"/>
      <c r="O128" s="55">
        <f>IF(ISBLANK(P128),"",MAX(O$5:O127)+1)</f>
        <v>63</v>
      </c>
      <c r="P128" s="107" t="s">
        <v>459</v>
      </c>
    </row>
    <row r="129" spans="2:17">
      <c r="B129" s="71" t="s">
        <v>460</v>
      </c>
      <c r="C129" s="71"/>
      <c r="D129" s="71"/>
      <c r="E129" s="71"/>
      <c r="F129" s="86" t="s">
        <v>130</v>
      </c>
      <c r="G129" s="89">
        <f>IF(G128="yes",G116*$G$64,0)</f>
        <v>0</v>
      </c>
      <c r="H129" s="89">
        <f t="shared" ref="H129:M129" si="35">IF(H128="yes",H116*$G$64,0)</f>
        <v>0</v>
      </c>
      <c r="I129" s="89">
        <f t="shared" si="35"/>
        <v>0</v>
      </c>
      <c r="J129" s="89">
        <f t="shared" si="35"/>
        <v>0</v>
      </c>
      <c r="K129" s="89">
        <f t="shared" si="35"/>
        <v>0</v>
      </c>
      <c r="L129" s="89">
        <f t="shared" si="35"/>
        <v>0</v>
      </c>
      <c r="M129" s="89">
        <f t="shared" si="35"/>
        <v>0</v>
      </c>
      <c r="N129" s="89"/>
      <c r="O129" s="55">
        <f>IF(ISBLANK(P129),"",MAX(O$5:O128)+1)</f>
        <v>64</v>
      </c>
      <c r="P129" s="107" t="s">
        <v>461</v>
      </c>
    </row>
    <row r="130" spans="2:17">
      <c r="B130" s="71" t="s">
        <v>462</v>
      </c>
      <c r="C130" s="71"/>
      <c r="D130" s="71"/>
      <c r="E130" s="71"/>
      <c r="F130" s="86" t="str">
        <f>F$5</f>
        <v>$</v>
      </c>
      <c r="G130" s="109">
        <f t="shared" ref="G130:M130" si="36">IF($G8="yes",IFERROR(G129*G$210,0),IFERROR(G129/G$110*G$106,0))</f>
        <v>0</v>
      </c>
      <c r="H130" s="109">
        <f t="shared" si="36"/>
        <v>0</v>
      </c>
      <c r="I130" s="109">
        <f t="shared" si="36"/>
        <v>0</v>
      </c>
      <c r="J130" s="109">
        <f t="shared" si="36"/>
        <v>0</v>
      </c>
      <c r="K130" s="109">
        <f t="shared" si="36"/>
        <v>0</v>
      </c>
      <c r="L130" s="109">
        <f t="shared" si="36"/>
        <v>0</v>
      </c>
      <c r="M130" s="109">
        <f t="shared" si="36"/>
        <v>0</v>
      </c>
      <c r="N130" s="109"/>
      <c r="O130" s="55">
        <f>IF(ISBLANK(P130),"",MAX(O$5:O129)+1)</f>
        <v>65</v>
      </c>
      <c r="P130" s="107" t="s">
        <v>463</v>
      </c>
    </row>
    <row r="131" spans="2:17">
      <c r="B131" s="71" t="s">
        <v>384</v>
      </c>
      <c r="C131" s="71"/>
      <c r="D131" s="71"/>
      <c r="E131" s="71"/>
      <c r="F131" s="86" t="str">
        <f>F$5</f>
        <v>$</v>
      </c>
      <c r="G131" s="109">
        <f t="shared" ref="G131:M131" si="37">IF(OR(G128="yes",$G$65=$B$335),0,IF($G$65=$B$333,$G$66*$G$60,ROUND(YEARFRAC($G$67,$G$6,1),0)*$G$66*$G$60))</f>
        <v>0</v>
      </c>
      <c r="H131" s="109">
        <f t="shared" si="37"/>
        <v>0</v>
      </c>
      <c r="I131" s="109">
        <f t="shared" si="37"/>
        <v>0</v>
      </c>
      <c r="J131" s="109">
        <f t="shared" si="37"/>
        <v>0</v>
      </c>
      <c r="K131" s="109">
        <f t="shared" si="37"/>
        <v>0</v>
      </c>
      <c r="L131" s="109">
        <f t="shared" si="37"/>
        <v>0</v>
      </c>
      <c r="M131" s="109">
        <f t="shared" si="37"/>
        <v>0</v>
      </c>
      <c r="N131" s="109"/>
      <c r="O131" s="55">
        <f>IF(ISBLANK(P131),"",MAX(O$5:O130)+1)</f>
        <v>66</v>
      </c>
      <c r="P131" s="107" t="s">
        <v>464</v>
      </c>
    </row>
    <row r="132" spans="2:17">
      <c r="B132" s="71" t="str">
        <f>"Proceeds to "&amp;B113</f>
        <v>Proceeds to Preferred, C</v>
      </c>
      <c r="C132" s="71"/>
      <c r="D132" s="71"/>
      <c r="E132" s="71"/>
      <c r="F132" s="86" t="str">
        <f>F5</f>
        <v>$</v>
      </c>
      <c r="G132" s="89">
        <f t="shared" ref="G132:M132" si="38">MIN(G114,MAX(G131+INDEX(G119:G121,MATCH($G$62,$B$328:$B$330,0)),G130))</f>
        <v>0</v>
      </c>
      <c r="H132" s="89">
        <f t="shared" si="38"/>
        <v>0</v>
      </c>
      <c r="I132" s="89">
        <f t="shared" si="38"/>
        <v>0</v>
      </c>
      <c r="J132" s="89">
        <f t="shared" si="38"/>
        <v>0</v>
      </c>
      <c r="K132" s="89">
        <f t="shared" si="38"/>
        <v>0</v>
      </c>
      <c r="L132" s="89">
        <f t="shared" si="38"/>
        <v>0</v>
      </c>
      <c r="M132" s="89">
        <f t="shared" si="38"/>
        <v>0</v>
      </c>
      <c r="N132" s="89"/>
      <c r="O132" s="55">
        <f>IF(ISBLANK(P132),"",MAX(O$5:O131)+1)</f>
        <v>67</v>
      </c>
      <c r="P132" s="107" t="s">
        <v>465</v>
      </c>
    </row>
    <row r="133" spans="2:17">
      <c r="B133" s="71" t="s">
        <v>466</v>
      </c>
      <c r="C133" s="71"/>
      <c r="D133" s="71"/>
      <c r="E133" s="71"/>
      <c r="F133" s="86" t="str">
        <f>F5</f>
        <v>$</v>
      </c>
      <c r="G133" s="110">
        <f t="shared" ref="G133:M133" si="39">IFERROR(G132/G116,0)</f>
        <v>0</v>
      </c>
      <c r="H133" s="110">
        <f t="shared" si="39"/>
        <v>0</v>
      </c>
      <c r="I133" s="110">
        <f t="shared" si="39"/>
        <v>0</v>
      </c>
      <c r="J133" s="110">
        <f t="shared" si="39"/>
        <v>0</v>
      </c>
      <c r="K133" s="110">
        <f t="shared" si="39"/>
        <v>0</v>
      </c>
      <c r="L133" s="110">
        <f t="shared" si="39"/>
        <v>0</v>
      </c>
      <c r="M133" s="110">
        <f t="shared" si="39"/>
        <v>0</v>
      </c>
      <c r="N133" s="110"/>
      <c r="O133" s="55">
        <f>IF(ISBLANK(P133),"",MAX(O$5:O132)+1)</f>
        <v>68</v>
      </c>
      <c r="P133" s="107" t="s">
        <v>467</v>
      </c>
    </row>
    <row r="134" spans="2:17">
      <c r="B134" s="71"/>
      <c r="C134" s="71"/>
      <c r="D134" s="71"/>
      <c r="E134" s="71"/>
      <c r="K134" s="89"/>
      <c r="L134" s="111"/>
      <c r="O134" s="55" t="str">
        <f>IF(ISBLANK(P134),"",MAX(O$5:O133)+1)</f>
        <v/>
      </c>
    </row>
    <row r="135" spans="2:17">
      <c r="B135" s="74" t="str">
        <f>"Preferred, "&amp;H68</f>
        <v>Preferred, B</v>
      </c>
      <c r="C135" s="74"/>
      <c r="D135" s="74"/>
      <c r="E135" s="74"/>
      <c r="F135" s="105"/>
      <c r="G135" s="89"/>
      <c r="H135" s="89"/>
      <c r="I135" s="89"/>
      <c r="J135" s="89"/>
      <c r="K135" s="89"/>
      <c r="L135" s="89"/>
      <c r="O135" s="55" t="str">
        <f>IF(ISBLANK(P135),"",MAX(O$5:O134)+1)</f>
        <v/>
      </c>
    </row>
    <row r="136" spans="2:17">
      <c r="B136" s="71" t="s">
        <v>439</v>
      </c>
      <c r="C136" s="71"/>
      <c r="D136" s="71"/>
      <c r="E136" s="71"/>
      <c r="F136" s="86" t="str">
        <f>F$5</f>
        <v>$</v>
      </c>
      <c r="G136" s="89">
        <f>IF(G128="no",MAX(0,G114-G117-G131),IF($G$62=$B$330,MAX(0,G114-G117-G131),IF(AND($G$62=$B$329,G130=0),MAX(0,G114-G117-G131),G114)))</f>
        <v>0</v>
      </c>
      <c r="H136" s="89">
        <f t="shared" ref="H136:M136" si="40">IF(H128="no",MAX(0,H114-H117-H131),IF($G62=$B$330,MAX(0,H114-H117-H131),IF(AND($G62=$B$329,H130=0),MAX(0,H114-H117-H131),H114)))</f>
        <v>0</v>
      </c>
      <c r="I136" s="89">
        <f t="shared" si="40"/>
        <v>0</v>
      </c>
      <c r="J136" s="89">
        <f t="shared" si="40"/>
        <v>0</v>
      </c>
      <c r="K136" s="89">
        <f t="shared" si="40"/>
        <v>0</v>
      </c>
      <c r="L136" s="89">
        <f t="shared" si="40"/>
        <v>0</v>
      </c>
      <c r="M136" s="89">
        <f t="shared" si="40"/>
        <v>0</v>
      </c>
      <c r="N136" s="89"/>
      <c r="O136" s="55" t="str">
        <f>IF(ISBLANK(P136),"",MAX(O$5:O135)+1)</f>
        <v/>
      </c>
      <c r="P136" s="107"/>
    </row>
    <row r="137" spans="2:17">
      <c r="B137" s="71" t="s">
        <v>441</v>
      </c>
      <c r="C137" s="71"/>
      <c r="D137" s="71"/>
      <c r="E137" s="71"/>
      <c r="F137" s="64" t="s">
        <v>130</v>
      </c>
      <c r="G137" s="89">
        <f t="shared" ref="G137:M137" si="41">G115-G129</f>
        <v>0</v>
      </c>
      <c r="H137" s="89">
        <f t="shared" si="41"/>
        <v>0</v>
      </c>
      <c r="I137" s="89">
        <f t="shared" si="41"/>
        <v>0</v>
      </c>
      <c r="J137" s="89">
        <f t="shared" si="41"/>
        <v>0</v>
      </c>
      <c r="K137" s="89">
        <f t="shared" si="41"/>
        <v>0</v>
      </c>
      <c r="L137" s="89">
        <f t="shared" si="41"/>
        <v>0</v>
      </c>
      <c r="M137" s="89">
        <f t="shared" si="41"/>
        <v>0</v>
      </c>
      <c r="N137" s="89"/>
      <c r="O137" s="55" t="str">
        <f>IF(ISBLANK(P137),"",MAX(O$5:O136)+1)</f>
        <v/>
      </c>
    </row>
    <row r="138" spans="2:17">
      <c r="B138" s="71" t="str">
        <f>"Shares, "&amp;B135</f>
        <v>Shares, Preferred, B</v>
      </c>
      <c r="C138" s="71"/>
      <c r="D138" s="71"/>
      <c r="E138" s="71"/>
      <c r="F138" s="86" t="s">
        <v>130</v>
      </c>
      <c r="G138" s="89">
        <f t="shared" ref="G138:M138" si="42">$H59</f>
        <v>0</v>
      </c>
      <c r="H138" s="89">
        <f t="shared" si="42"/>
        <v>0</v>
      </c>
      <c r="I138" s="89">
        <f t="shared" si="42"/>
        <v>0</v>
      </c>
      <c r="J138" s="89">
        <f t="shared" si="42"/>
        <v>0</v>
      </c>
      <c r="K138" s="89">
        <f t="shared" si="42"/>
        <v>0</v>
      </c>
      <c r="L138" s="89">
        <f t="shared" si="42"/>
        <v>0</v>
      </c>
      <c r="M138" s="89">
        <f t="shared" si="42"/>
        <v>0</v>
      </c>
      <c r="N138" s="89"/>
      <c r="O138" s="55" t="str">
        <f>IF(ISBLANK(P138),"",MAX(O$5:O137)+1)</f>
        <v/>
      </c>
    </row>
    <row r="139" spans="2:17">
      <c r="B139" s="71" t="s">
        <v>444</v>
      </c>
      <c r="C139" s="71"/>
      <c r="D139" s="71"/>
      <c r="E139" s="71"/>
      <c r="F139" s="86" t="str">
        <f t="shared" ref="F139:F144" si="43">F$5</f>
        <v>$</v>
      </c>
      <c r="G139" s="108">
        <f t="shared" ref="G139:M139" si="44">$H61</f>
        <v>0</v>
      </c>
      <c r="H139" s="108">
        <f t="shared" si="44"/>
        <v>0</v>
      </c>
      <c r="I139" s="108">
        <f t="shared" si="44"/>
        <v>0</v>
      </c>
      <c r="J139" s="108">
        <f t="shared" si="44"/>
        <v>0</v>
      </c>
      <c r="K139" s="108">
        <f t="shared" si="44"/>
        <v>0</v>
      </c>
      <c r="L139" s="108">
        <f t="shared" si="44"/>
        <v>0</v>
      </c>
      <c r="M139" s="108">
        <f t="shared" si="44"/>
        <v>0</v>
      </c>
      <c r="N139" s="108"/>
      <c r="O139" s="55" t="str">
        <f>IF(ISBLANK(P139),"",MAX(O$5:O138)+1)</f>
        <v/>
      </c>
    </row>
    <row r="140" spans="2:17">
      <c r="B140" s="71" t="s">
        <v>446</v>
      </c>
      <c r="C140" s="71"/>
      <c r="D140" s="71"/>
      <c r="E140" s="71"/>
      <c r="F140" s="86" t="str">
        <f t="shared" si="43"/>
        <v>$</v>
      </c>
      <c r="G140" s="108" t="str">
        <f t="shared" ref="G140:M140" si="45">IF($H$62=$B$329,$H60*$H$63,IF($H$62=$B$330,0,"na"))</f>
        <v>na</v>
      </c>
      <c r="H140" s="108" t="str">
        <f t="shared" si="45"/>
        <v>na</v>
      </c>
      <c r="I140" s="108" t="str">
        <f t="shared" si="45"/>
        <v>na</v>
      </c>
      <c r="J140" s="108" t="str">
        <f t="shared" si="45"/>
        <v>na</v>
      </c>
      <c r="K140" s="108" t="str">
        <f t="shared" si="45"/>
        <v>na</v>
      </c>
      <c r="L140" s="108" t="str">
        <f t="shared" si="45"/>
        <v>na</v>
      </c>
      <c r="M140" s="108" t="str">
        <f t="shared" si="45"/>
        <v>na</v>
      </c>
      <c r="N140" s="108"/>
      <c r="O140" s="55" t="str">
        <f>IF(ISBLANK(P140),"",MAX(O$5:O139)+1)</f>
        <v/>
      </c>
    </row>
    <row r="141" spans="2:17">
      <c r="B141" s="74" t="str">
        <f>"Note: Implied Proceeds, do not convert to Common, if "&amp;B$328</f>
        <v>Note: Implied Proceeds, do not convert to Common, if Non Participating Preferred</v>
      </c>
      <c r="C141" s="74"/>
      <c r="D141" s="74"/>
      <c r="E141" s="74"/>
      <c r="F141" s="86" t="str">
        <f t="shared" si="43"/>
        <v>$</v>
      </c>
      <c r="G141" s="89">
        <f>MIN(G136,G139)</f>
        <v>0</v>
      </c>
      <c r="H141" s="89">
        <f t="shared" ref="H141:M141" si="46">MIN(H136,H139)</f>
        <v>0</v>
      </c>
      <c r="I141" s="89">
        <f t="shared" si="46"/>
        <v>0</v>
      </c>
      <c r="J141" s="89">
        <f t="shared" si="46"/>
        <v>0</v>
      </c>
      <c r="K141" s="89">
        <f t="shared" si="46"/>
        <v>0</v>
      </c>
      <c r="L141" s="89">
        <f t="shared" si="46"/>
        <v>0</v>
      </c>
      <c r="M141" s="89">
        <f t="shared" si="46"/>
        <v>0</v>
      </c>
      <c r="N141" s="89"/>
      <c r="O141" s="55" t="str">
        <f>IF(ISBLANK(P141),"",MAX(O$5:O140)+1)</f>
        <v/>
      </c>
    </row>
    <row r="142" spans="2:17">
      <c r="B142" s="74" t="str">
        <f>"Note: Implied Proceeds, do not convert to Common, if "&amp;B$329</f>
        <v>Note: Implied Proceeds, do not convert to Common, if Participating Preferred with a Cap</v>
      </c>
      <c r="C142" s="74"/>
      <c r="D142" s="74"/>
      <c r="E142" s="74"/>
      <c r="F142" s="86" t="str">
        <f t="shared" si="43"/>
        <v>$</v>
      </c>
      <c r="G142" s="89">
        <f t="shared" ref="G142:M142" si="47">IFERROR(IF($G$8="no",MIN(MAX(0,G$106)/G$110*G138+G139,G136,$H$60*$H$63),MIN(G$210*G138+G139,G136,$H$60*$H$63)),0)</f>
        <v>0</v>
      </c>
      <c r="H142" s="89">
        <f t="shared" si="47"/>
        <v>0</v>
      </c>
      <c r="I142" s="89">
        <f t="shared" si="47"/>
        <v>0</v>
      </c>
      <c r="J142" s="89">
        <f t="shared" si="47"/>
        <v>0</v>
      </c>
      <c r="K142" s="89">
        <f t="shared" si="47"/>
        <v>0</v>
      </c>
      <c r="L142" s="89">
        <f t="shared" si="47"/>
        <v>0</v>
      </c>
      <c r="M142" s="89">
        <f t="shared" si="47"/>
        <v>0</v>
      </c>
      <c r="N142" s="89"/>
      <c r="O142" s="55" t="str">
        <f>IF(ISBLANK(P142),"",MAX(O$5:O141)+1)</f>
        <v/>
      </c>
    </row>
    <row r="143" spans="2:17">
      <c r="B143" s="74" t="str">
        <f>"Note: Implied Proceeds, do not convert to Common, if "&amp;B$330</f>
        <v>Note: Implied Proceeds, do not convert to Common, if Full Participating Preferred</v>
      </c>
      <c r="C143" s="74"/>
      <c r="D143" s="74"/>
      <c r="E143" s="74"/>
      <c r="F143" s="86" t="str">
        <f t="shared" si="43"/>
        <v>$</v>
      </c>
      <c r="G143" s="89">
        <f>IFERROR(MIN(G$210*G138+G139,G136),0)</f>
        <v>0</v>
      </c>
      <c r="H143" s="89">
        <f t="shared" ref="H143:M143" si="48">IFERROR(MIN(H$210*H138+H139,H136),0)</f>
        <v>0</v>
      </c>
      <c r="I143" s="89">
        <f t="shared" si="48"/>
        <v>0</v>
      </c>
      <c r="J143" s="89">
        <f t="shared" si="48"/>
        <v>0</v>
      </c>
      <c r="K143" s="89">
        <f t="shared" si="48"/>
        <v>0</v>
      </c>
      <c r="L143" s="89">
        <f t="shared" si="48"/>
        <v>0</v>
      </c>
      <c r="M143" s="89">
        <f t="shared" si="48"/>
        <v>0</v>
      </c>
      <c r="N143" s="89"/>
      <c r="O143" s="55" t="str">
        <f>IF(ISBLANK(P143),"",MAX(O$5:O142)+1)</f>
        <v/>
      </c>
    </row>
    <row r="144" spans="2:17">
      <c r="B144" s="74" t="s">
        <v>451</v>
      </c>
      <c r="C144" s="74"/>
      <c r="D144" s="74"/>
      <c r="E144" s="74"/>
      <c r="F144" s="86" t="str">
        <f t="shared" si="43"/>
        <v>$</v>
      </c>
      <c r="G144" s="109">
        <f t="shared" ref="G144:M144" si="49">IFERROR(IF($G$8="no",MAX(0,G$106)/G$110*G138*$H$64,G$210*G138*$H$64),0)</f>
        <v>0</v>
      </c>
      <c r="H144" s="109">
        <f t="shared" si="49"/>
        <v>0</v>
      </c>
      <c r="I144" s="109">
        <f t="shared" si="49"/>
        <v>0</v>
      </c>
      <c r="J144" s="109">
        <f t="shared" si="49"/>
        <v>0</v>
      </c>
      <c r="K144" s="109">
        <f t="shared" si="49"/>
        <v>0</v>
      </c>
      <c r="L144" s="109">
        <f t="shared" si="49"/>
        <v>0</v>
      </c>
      <c r="M144" s="109">
        <f t="shared" si="49"/>
        <v>0</v>
      </c>
      <c r="N144" s="109"/>
      <c r="O144" s="55" t="str">
        <f>IF(ISBLANK(P144),"",MAX(O$5:O143)+1)</f>
        <v/>
      </c>
      <c r="Q144" s="112"/>
    </row>
    <row r="145" spans="2:16">
      <c r="B145" s="71" t="s">
        <v>453</v>
      </c>
      <c r="C145" s="71"/>
      <c r="D145" s="71"/>
      <c r="E145" s="71"/>
      <c r="F145" s="86" t="s">
        <v>361</v>
      </c>
      <c r="G145" s="91" t="str">
        <f t="shared" ref="G145:M145" si="50">IF($H$62=$B$328,"no",IF($H$62=$B$330,"yes",IF(G142&gt;G144,"yes","no")))</f>
        <v>no</v>
      </c>
      <c r="H145" s="91" t="str">
        <f t="shared" si="50"/>
        <v>no</v>
      </c>
      <c r="I145" s="91" t="str">
        <f t="shared" si="50"/>
        <v>no</v>
      </c>
      <c r="J145" s="91" t="str">
        <f t="shared" si="50"/>
        <v>no</v>
      </c>
      <c r="K145" s="91" t="str">
        <f t="shared" si="50"/>
        <v>no</v>
      </c>
      <c r="L145" s="91" t="str">
        <f t="shared" si="50"/>
        <v>no</v>
      </c>
      <c r="M145" s="91" t="str">
        <f t="shared" si="50"/>
        <v>no</v>
      </c>
      <c r="N145" s="91"/>
      <c r="O145" s="55" t="str">
        <f>IF(ISBLANK(P145),"",MAX(O$5:O144)+1)</f>
        <v/>
      </c>
    </row>
    <row r="146" spans="2:16">
      <c r="B146" s="71" t="s">
        <v>455</v>
      </c>
      <c r="C146" s="71"/>
      <c r="D146" s="71"/>
      <c r="E146" s="71"/>
      <c r="F146" s="86" t="s">
        <v>130</v>
      </c>
      <c r="G146" s="89">
        <f t="shared" ref="G146:M146" si="51">IFERROR(IF(G145="yes",INDEX(G147:G149,MATCH($H$62,$B$328:$B$330,0))/G$210,0),0)</f>
        <v>0</v>
      </c>
      <c r="H146" s="89">
        <f t="shared" si="51"/>
        <v>0</v>
      </c>
      <c r="I146" s="89">
        <f t="shared" si="51"/>
        <v>0</v>
      </c>
      <c r="J146" s="89">
        <f t="shared" si="51"/>
        <v>0</v>
      </c>
      <c r="K146" s="89">
        <f t="shared" si="51"/>
        <v>0</v>
      </c>
      <c r="L146" s="89">
        <f t="shared" si="51"/>
        <v>0</v>
      </c>
      <c r="M146" s="89">
        <f t="shared" si="51"/>
        <v>0</v>
      </c>
      <c r="N146" s="89"/>
      <c r="O146" s="55" t="str">
        <f>IF(ISBLANK(P146),"",MAX(O$5:O145)+1)</f>
        <v/>
      </c>
    </row>
    <row r="147" spans="2:16">
      <c r="B147" s="74" t="str">
        <f>"Note: Participation, if "&amp;B328</f>
        <v>Note: Participation, if Non Participating Preferred</v>
      </c>
      <c r="C147" s="74"/>
      <c r="D147" s="74"/>
      <c r="E147" s="74"/>
      <c r="F147" s="86" t="str">
        <f>F$5</f>
        <v>$</v>
      </c>
      <c r="G147" s="89">
        <f>MAX(0,G141-G$139)</f>
        <v>0</v>
      </c>
      <c r="H147" s="89">
        <f t="shared" ref="H147:M149" si="52">MAX(0,H141-H$139)</f>
        <v>0</v>
      </c>
      <c r="I147" s="89">
        <f t="shared" si="52"/>
        <v>0</v>
      </c>
      <c r="J147" s="89">
        <f t="shared" si="52"/>
        <v>0</v>
      </c>
      <c r="K147" s="89">
        <f t="shared" si="52"/>
        <v>0</v>
      </c>
      <c r="L147" s="89">
        <f t="shared" si="52"/>
        <v>0</v>
      </c>
      <c r="M147" s="89">
        <f t="shared" si="52"/>
        <v>0</v>
      </c>
      <c r="N147" s="89"/>
      <c r="O147" s="55" t="str">
        <f>IF(ISBLANK(P147),"",MAX(O$5:O146)+1)</f>
        <v/>
      </c>
    </row>
    <row r="148" spans="2:16">
      <c r="B148" s="74" t="str">
        <f>"Note: Participation, if "&amp;B329</f>
        <v>Note: Participation, if Participating Preferred with a Cap</v>
      </c>
      <c r="C148" s="74"/>
      <c r="D148" s="74"/>
      <c r="E148" s="74"/>
      <c r="F148" s="86" t="str">
        <f>F$5</f>
        <v>$</v>
      </c>
      <c r="G148" s="89">
        <f>MAX(0,G142-G$139)</f>
        <v>0</v>
      </c>
      <c r="H148" s="89">
        <f t="shared" si="52"/>
        <v>0</v>
      </c>
      <c r="I148" s="89">
        <f t="shared" si="52"/>
        <v>0</v>
      </c>
      <c r="J148" s="89">
        <f t="shared" si="52"/>
        <v>0</v>
      </c>
      <c r="K148" s="89">
        <f t="shared" si="52"/>
        <v>0</v>
      </c>
      <c r="L148" s="89">
        <f t="shared" si="52"/>
        <v>0</v>
      </c>
      <c r="M148" s="89">
        <f t="shared" si="52"/>
        <v>0</v>
      </c>
      <c r="N148" s="89"/>
      <c r="O148" s="55" t="str">
        <f>IF(ISBLANK(P148),"",MAX(O$5:O147)+1)</f>
        <v/>
      </c>
    </row>
    <row r="149" spans="2:16" s="83" customFormat="1">
      <c r="B149" s="74" t="str">
        <f>"Note: Participation, if "&amp;B330</f>
        <v>Note: Participation, if Full Participating Preferred</v>
      </c>
      <c r="C149" s="74"/>
      <c r="D149" s="74"/>
      <c r="E149" s="74"/>
      <c r="F149" s="86" t="str">
        <f>F$5</f>
        <v>$</v>
      </c>
      <c r="G149" s="89">
        <f>MAX(0,G143-G$139)</f>
        <v>0</v>
      </c>
      <c r="H149" s="89">
        <f t="shared" si="52"/>
        <v>0</v>
      </c>
      <c r="I149" s="89">
        <f t="shared" si="52"/>
        <v>0</v>
      </c>
      <c r="J149" s="89">
        <f t="shared" si="52"/>
        <v>0</v>
      </c>
      <c r="K149" s="89">
        <f t="shared" si="52"/>
        <v>0</v>
      </c>
      <c r="L149" s="89">
        <f t="shared" si="52"/>
        <v>0</v>
      </c>
      <c r="M149" s="89">
        <f t="shared" si="52"/>
        <v>0</v>
      </c>
      <c r="N149" s="89"/>
      <c r="O149" s="55" t="str">
        <f>IF(ISBLANK(P149),"",MAX(O$5:O148)+1)</f>
        <v/>
      </c>
    </row>
    <row r="150" spans="2:16" s="83" customFormat="1">
      <c r="B150" s="71" t="s">
        <v>458</v>
      </c>
      <c r="C150" s="71"/>
      <c r="D150" s="71"/>
      <c r="E150" s="71"/>
      <c r="F150" s="86" t="s">
        <v>361</v>
      </c>
      <c r="G150" s="91" t="str">
        <f t="shared" ref="G150:M150" si="53">IF($H$62=$B$328,IF(G141&gt;=G144,"no","yes"),IF(G145="yes","no","yes"))</f>
        <v>no</v>
      </c>
      <c r="H150" s="91" t="str">
        <f t="shared" si="53"/>
        <v>no</v>
      </c>
      <c r="I150" s="91" t="str">
        <f t="shared" si="53"/>
        <v>no</v>
      </c>
      <c r="J150" s="91" t="str">
        <f t="shared" si="53"/>
        <v>no</v>
      </c>
      <c r="K150" s="91" t="str">
        <f t="shared" si="53"/>
        <v>no</v>
      </c>
      <c r="L150" s="91" t="str">
        <f t="shared" si="53"/>
        <v>no</v>
      </c>
      <c r="M150" s="91" t="str">
        <f t="shared" si="53"/>
        <v>no</v>
      </c>
      <c r="N150" s="91"/>
      <c r="O150" s="55" t="str">
        <f>IF(ISBLANK(P150),"",MAX(O$5:O149)+1)</f>
        <v/>
      </c>
    </row>
    <row r="151" spans="2:16" s="83" customFormat="1">
      <c r="B151" s="71" t="s">
        <v>460</v>
      </c>
      <c r="C151" s="71"/>
      <c r="D151" s="71"/>
      <c r="E151" s="71"/>
      <c r="F151" s="86" t="s">
        <v>130</v>
      </c>
      <c r="G151" s="89">
        <f>IF(G150="yes",G138*$H$64,0)</f>
        <v>0</v>
      </c>
      <c r="H151" s="89">
        <f t="shared" ref="H151:M151" si="54">IF(H150="yes",H138*$H$64,0)</f>
        <v>0</v>
      </c>
      <c r="I151" s="89">
        <f t="shared" si="54"/>
        <v>0</v>
      </c>
      <c r="J151" s="89">
        <f t="shared" si="54"/>
        <v>0</v>
      </c>
      <c r="K151" s="89">
        <f t="shared" si="54"/>
        <v>0</v>
      </c>
      <c r="L151" s="89">
        <f t="shared" si="54"/>
        <v>0</v>
      </c>
      <c r="M151" s="89">
        <f t="shared" si="54"/>
        <v>0</v>
      </c>
      <c r="N151" s="89"/>
      <c r="O151" s="55" t="str">
        <f>IF(ISBLANK(P151),"",MAX(O$5:O150)+1)</f>
        <v/>
      </c>
    </row>
    <row r="152" spans="2:16" s="83" customFormat="1">
      <c r="B152" s="71" t="s">
        <v>462</v>
      </c>
      <c r="C152" s="71"/>
      <c r="D152" s="71"/>
      <c r="E152" s="71"/>
      <c r="F152" s="86" t="str">
        <f>F$5</f>
        <v>$</v>
      </c>
      <c r="G152" s="109">
        <f t="shared" ref="G152:M152" si="55">IF($G$8="yes",IFERROR(G151*G$210,0),IFERROR(G151/G$110*G$106,0))</f>
        <v>0</v>
      </c>
      <c r="H152" s="109">
        <f t="shared" si="55"/>
        <v>0</v>
      </c>
      <c r="I152" s="109">
        <f t="shared" si="55"/>
        <v>0</v>
      </c>
      <c r="J152" s="109">
        <f t="shared" si="55"/>
        <v>0</v>
      </c>
      <c r="K152" s="109">
        <f t="shared" si="55"/>
        <v>0</v>
      </c>
      <c r="L152" s="109">
        <f t="shared" si="55"/>
        <v>0</v>
      </c>
      <c r="M152" s="109">
        <f t="shared" si="55"/>
        <v>0</v>
      </c>
      <c r="N152" s="109"/>
      <c r="O152" s="55" t="str">
        <f>IF(ISBLANK(P152),"",MAX(O$5:O151)+1)</f>
        <v/>
      </c>
    </row>
    <row r="153" spans="2:16" s="83" customFormat="1">
      <c r="B153" s="71" t="s">
        <v>384</v>
      </c>
      <c r="C153" s="71"/>
      <c r="D153" s="71"/>
      <c r="E153" s="71"/>
      <c r="F153" s="86" t="str">
        <f>F$5</f>
        <v>$</v>
      </c>
      <c r="G153" s="109">
        <f t="shared" ref="G153:M153" si="56">IF(OR(G150="yes",$H$65=$B$335),0,IF($H$65=$B$333,$H$66*$H$60,ROUND(YEARFRAC($H$67,$G$6,1),0)*$H$66*$H$60))</f>
        <v>0</v>
      </c>
      <c r="H153" s="109">
        <f t="shared" si="56"/>
        <v>0</v>
      </c>
      <c r="I153" s="109">
        <f t="shared" si="56"/>
        <v>0</v>
      </c>
      <c r="J153" s="109">
        <f t="shared" si="56"/>
        <v>0</v>
      </c>
      <c r="K153" s="109">
        <f t="shared" si="56"/>
        <v>0</v>
      </c>
      <c r="L153" s="109">
        <f t="shared" si="56"/>
        <v>0</v>
      </c>
      <c r="M153" s="109">
        <f t="shared" si="56"/>
        <v>0</v>
      </c>
      <c r="N153" s="109"/>
      <c r="O153" s="55" t="str">
        <f>IF(ISBLANK(P153),"",MAX(O$5:O152)+1)</f>
        <v/>
      </c>
    </row>
    <row r="154" spans="2:16" s="83" customFormat="1">
      <c r="B154" s="71" t="str">
        <f>"Proceeds to "&amp;B135</f>
        <v>Proceeds to Preferred, B</v>
      </c>
      <c r="C154" s="71"/>
      <c r="D154" s="71"/>
      <c r="E154" s="71"/>
      <c r="F154" s="86" t="str">
        <f>F$5</f>
        <v>$</v>
      </c>
      <c r="G154" s="89">
        <f t="shared" ref="G154:M154" si="57">MIN(G136,MAX(G153+INDEX(G141:G143,MATCH($H$62,$B$328:$B$330,0)),G152))</f>
        <v>0</v>
      </c>
      <c r="H154" s="89">
        <f t="shared" si="57"/>
        <v>0</v>
      </c>
      <c r="I154" s="89">
        <f t="shared" si="57"/>
        <v>0</v>
      </c>
      <c r="J154" s="89">
        <f t="shared" si="57"/>
        <v>0</v>
      </c>
      <c r="K154" s="89">
        <f t="shared" si="57"/>
        <v>0</v>
      </c>
      <c r="L154" s="89">
        <f t="shared" si="57"/>
        <v>0</v>
      </c>
      <c r="M154" s="89">
        <f t="shared" si="57"/>
        <v>0</v>
      </c>
      <c r="N154" s="89"/>
      <c r="O154" s="55" t="str">
        <f>IF(ISBLANK(P154),"",MAX(O$5:O153)+1)</f>
        <v/>
      </c>
    </row>
    <row r="155" spans="2:16" s="83" customFormat="1">
      <c r="B155" s="71" t="s">
        <v>466</v>
      </c>
      <c r="C155" s="71"/>
      <c r="D155" s="71"/>
      <c r="E155" s="71"/>
      <c r="F155" s="86" t="str">
        <f>F$5</f>
        <v>$</v>
      </c>
      <c r="G155" s="110">
        <f>IFERROR(G154/G138,0)</f>
        <v>0</v>
      </c>
      <c r="H155" s="110">
        <f t="shared" ref="H155:M155" si="58">IFERROR(H154/H138,0)</f>
        <v>0</v>
      </c>
      <c r="I155" s="110">
        <f t="shared" si="58"/>
        <v>0</v>
      </c>
      <c r="J155" s="110">
        <f t="shared" si="58"/>
        <v>0</v>
      </c>
      <c r="K155" s="110">
        <f t="shared" si="58"/>
        <v>0</v>
      </c>
      <c r="L155" s="110">
        <f t="shared" si="58"/>
        <v>0</v>
      </c>
      <c r="M155" s="110">
        <f t="shared" si="58"/>
        <v>0</v>
      </c>
      <c r="N155" s="110"/>
      <c r="O155" s="55" t="str">
        <f>IF(ISBLANK(P155),"",MAX(O$5:O154)+1)</f>
        <v/>
      </c>
    </row>
    <row r="156" spans="2:16" s="83" customFormat="1">
      <c r="B156" s="58"/>
      <c r="C156" s="240"/>
      <c r="D156" s="240"/>
      <c r="E156" s="240"/>
      <c r="F156" s="64"/>
      <c r="G156" s="58"/>
      <c r="H156" s="58"/>
      <c r="I156" s="58"/>
      <c r="J156" s="58"/>
      <c r="K156" s="58"/>
      <c r="L156" s="58"/>
      <c r="M156" s="58"/>
      <c r="N156" s="58"/>
      <c r="O156" s="55" t="str">
        <f>IF(ISBLANK(P156),"",MAX(O$5:O155)+1)</f>
        <v/>
      </c>
    </row>
    <row r="157" spans="2:16">
      <c r="B157" s="74" t="str">
        <f>"Preferred, "&amp;I68</f>
        <v>Preferred, A</v>
      </c>
      <c r="C157" s="74"/>
      <c r="D157" s="74"/>
      <c r="E157" s="74"/>
      <c r="F157" s="105"/>
      <c r="G157" s="89"/>
      <c r="H157" s="89"/>
      <c r="I157" s="89"/>
      <c r="J157" s="89"/>
      <c r="K157" s="89"/>
      <c r="L157" s="89"/>
      <c r="M157" s="89"/>
      <c r="N157" s="89"/>
      <c r="O157" s="55" t="str">
        <f>IF(ISBLANK(P157),"",MAX(O$5:O156)+1)</f>
        <v/>
      </c>
    </row>
    <row r="158" spans="2:16">
      <c r="B158" s="71" t="s">
        <v>439</v>
      </c>
      <c r="C158" s="71"/>
      <c r="D158" s="71"/>
      <c r="E158" s="71"/>
      <c r="F158" s="86" t="str">
        <f>F$5</f>
        <v>$</v>
      </c>
      <c r="G158" s="89">
        <f t="shared" ref="G158:M158" si="59">IF(G150="no",MAX(0,G136-G139-G153),IF($H$62=$B$330,MAX(0,G136-G139-G153),IF(AND($H$62=$B$329,G152=0),MAX(0,G136-G139-G153),G136)))</f>
        <v>0</v>
      </c>
      <c r="H158" s="89">
        <f t="shared" si="59"/>
        <v>0</v>
      </c>
      <c r="I158" s="89">
        <f t="shared" si="59"/>
        <v>0</v>
      </c>
      <c r="J158" s="89">
        <f t="shared" si="59"/>
        <v>0</v>
      </c>
      <c r="K158" s="89">
        <f t="shared" si="59"/>
        <v>0</v>
      </c>
      <c r="L158" s="89">
        <f t="shared" si="59"/>
        <v>0</v>
      </c>
      <c r="M158" s="89">
        <f t="shared" si="59"/>
        <v>0</v>
      </c>
      <c r="N158" s="89"/>
      <c r="O158" s="55" t="str">
        <f>IF(ISBLANK(P158),"",MAX(O$5:O157)+1)</f>
        <v/>
      </c>
      <c r="P158" s="107"/>
    </row>
    <row r="159" spans="2:16">
      <c r="B159" s="71" t="s">
        <v>441</v>
      </c>
      <c r="C159" s="71"/>
      <c r="D159" s="71"/>
      <c r="E159" s="71"/>
      <c r="F159" s="64" t="s">
        <v>130</v>
      </c>
      <c r="G159" s="89">
        <f>G137-G151</f>
        <v>0</v>
      </c>
      <c r="H159" s="89">
        <f t="shared" ref="H159:M159" si="60">H137-H151</f>
        <v>0</v>
      </c>
      <c r="I159" s="89">
        <f t="shared" si="60"/>
        <v>0</v>
      </c>
      <c r="J159" s="89">
        <f t="shared" si="60"/>
        <v>0</v>
      </c>
      <c r="K159" s="89">
        <f t="shared" si="60"/>
        <v>0</v>
      </c>
      <c r="L159" s="89">
        <f t="shared" si="60"/>
        <v>0</v>
      </c>
      <c r="M159" s="89">
        <f t="shared" si="60"/>
        <v>0</v>
      </c>
      <c r="N159" s="89"/>
      <c r="O159" s="55" t="str">
        <f>IF(ISBLANK(P159),"",MAX(O$5:O158)+1)</f>
        <v/>
      </c>
    </row>
    <row r="160" spans="2:16">
      <c r="B160" s="71" t="str">
        <f>"Shares, "&amp;B157</f>
        <v>Shares, Preferred, A</v>
      </c>
      <c r="C160" s="71"/>
      <c r="D160" s="71"/>
      <c r="E160" s="71"/>
      <c r="F160" s="86" t="s">
        <v>130</v>
      </c>
      <c r="G160" s="89">
        <f t="shared" ref="G160:M160" si="61">$I59</f>
        <v>0</v>
      </c>
      <c r="H160" s="89">
        <f t="shared" si="61"/>
        <v>0</v>
      </c>
      <c r="I160" s="89">
        <f t="shared" si="61"/>
        <v>0</v>
      </c>
      <c r="J160" s="89">
        <f t="shared" si="61"/>
        <v>0</v>
      </c>
      <c r="K160" s="89">
        <f t="shared" si="61"/>
        <v>0</v>
      </c>
      <c r="L160" s="89">
        <f t="shared" si="61"/>
        <v>0</v>
      </c>
      <c r="M160" s="89">
        <f t="shared" si="61"/>
        <v>0</v>
      </c>
      <c r="N160" s="89"/>
      <c r="O160" s="55" t="str">
        <f>IF(ISBLANK(P160),"",MAX(O$5:O159)+1)</f>
        <v/>
      </c>
    </row>
    <row r="161" spans="2:17">
      <c r="B161" s="71" t="s">
        <v>444</v>
      </c>
      <c r="C161" s="71"/>
      <c r="D161" s="71"/>
      <c r="E161" s="71"/>
      <c r="F161" s="86" t="str">
        <f t="shared" ref="F161:F166" si="62">F$5</f>
        <v>$</v>
      </c>
      <c r="G161" s="108">
        <f t="shared" ref="G161:M161" si="63">$I61</f>
        <v>0</v>
      </c>
      <c r="H161" s="108">
        <f t="shared" si="63"/>
        <v>0</v>
      </c>
      <c r="I161" s="108">
        <f t="shared" si="63"/>
        <v>0</v>
      </c>
      <c r="J161" s="108">
        <f t="shared" si="63"/>
        <v>0</v>
      </c>
      <c r="K161" s="108">
        <f t="shared" si="63"/>
        <v>0</v>
      </c>
      <c r="L161" s="108">
        <f t="shared" si="63"/>
        <v>0</v>
      </c>
      <c r="M161" s="108">
        <f t="shared" si="63"/>
        <v>0</v>
      </c>
      <c r="N161" s="108"/>
      <c r="O161" s="55" t="str">
        <f>IF(ISBLANK(P161),"",MAX(O$5:O160)+1)</f>
        <v/>
      </c>
    </row>
    <row r="162" spans="2:17">
      <c r="B162" s="71" t="s">
        <v>446</v>
      </c>
      <c r="C162" s="71"/>
      <c r="D162" s="71"/>
      <c r="E162" s="71"/>
      <c r="F162" s="86" t="str">
        <f t="shared" si="62"/>
        <v>$</v>
      </c>
      <c r="G162" s="108" t="str">
        <f t="shared" ref="G162:M162" si="64">IF($I$62=$B$329,$I60*$I$63,IF($I$62=$B$330,0,"na"))</f>
        <v>na</v>
      </c>
      <c r="H162" s="108" t="str">
        <f t="shared" si="64"/>
        <v>na</v>
      </c>
      <c r="I162" s="108" t="str">
        <f t="shared" si="64"/>
        <v>na</v>
      </c>
      <c r="J162" s="108" t="str">
        <f t="shared" si="64"/>
        <v>na</v>
      </c>
      <c r="K162" s="108" t="str">
        <f t="shared" si="64"/>
        <v>na</v>
      </c>
      <c r="L162" s="108" t="str">
        <f t="shared" si="64"/>
        <v>na</v>
      </c>
      <c r="M162" s="108" t="str">
        <f t="shared" si="64"/>
        <v>na</v>
      </c>
      <c r="N162" s="108"/>
      <c r="O162" s="55" t="str">
        <f>IF(ISBLANK(P162),"",MAX(O$5:O161)+1)</f>
        <v/>
      </c>
    </row>
    <row r="163" spans="2:17">
      <c r="B163" s="74" t="str">
        <f>"Note: Implied Proceeds, do not convert to Common, if "&amp;B$328</f>
        <v>Note: Implied Proceeds, do not convert to Common, if Non Participating Preferred</v>
      </c>
      <c r="C163" s="74"/>
      <c r="D163" s="74"/>
      <c r="E163" s="74"/>
      <c r="F163" s="86" t="str">
        <f t="shared" si="62"/>
        <v>$</v>
      </c>
      <c r="G163" s="89">
        <f>MIN(G158,G161)</f>
        <v>0</v>
      </c>
      <c r="H163" s="89">
        <f t="shared" ref="H163:M163" si="65">MIN(H158,H161)</f>
        <v>0</v>
      </c>
      <c r="I163" s="89">
        <f t="shared" si="65"/>
        <v>0</v>
      </c>
      <c r="J163" s="89">
        <f t="shared" si="65"/>
        <v>0</v>
      </c>
      <c r="K163" s="89">
        <f t="shared" si="65"/>
        <v>0</v>
      </c>
      <c r="L163" s="89">
        <f t="shared" si="65"/>
        <v>0</v>
      </c>
      <c r="M163" s="89">
        <f t="shared" si="65"/>
        <v>0</v>
      </c>
      <c r="N163" s="89"/>
      <c r="O163" s="55" t="str">
        <f>IF(ISBLANK(P163),"",MAX(O$5:O162)+1)</f>
        <v/>
      </c>
    </row>
    <row r="164" spans="2:17">
      <c r="B164" s="74" t="str">
        <f>"Note: Implied Proceeds, do not convert to Common, if "&amp;B$329</f>
        <v>Note: Implied Proceeds, do not convert to Common, if Participating Preferred with a Cap</v>
      </c>
      <c r="C164" s="74"/>
      <c r="D164" s="74"/>
      <c r="E164" s="74"/>
      <c r="F164" s="86" t="str">
        <f t="shared" si="62"/>
        <v>$</v>
      </c>
      <c r="G164" s="89">
        <f t="shared" ref="G164:M164" si="66">IFERROR(IF($G$8="no",MIN(MAX(0,G$106)/G$110*G160+G161,G158,$I$60*$I$63),MIN(G$210*G160+G161,G158,$I$60*$I$63)),0)</f>
        <v>0</v>
      </c>
      <c r="H164" s="89">
        <f t="shared" si="66"/>
        <v>0</v>
      </c>
      <c r="I164" s="89">
        <f t="shared" si="66"/>
        <v>0</v>
      </c>
      <c r="J164" s="89">
        <f t="shared" si="66"/>
        <v>0</v>
      </c>
      <c r="K164" s="89">
        <f t="shared" si="66"/>
        <v>0</v>
      </c>
      <c r="L164" s="89">
        <f t="shared" si="66"/>
        <v>0</v>
      </c>
      <c r="M164" s="89">
        <f t="shared" si="66"/>
        <v>0</v>
      </c>
      <c r="N164" s="89"/>
      <c r="O164" s="55" t="str">
        <f>IF(ISBLANK(P164),"",MAX(O$5:O163)+1)</f>
        <v/>
      </c>
    </row>
    <row r="165" spans="2:17">
      <c r="B165" s="74" t="str">
        <f>"Note: Implied Proceeds, do not convert to Common, if "&amp;B$330</f>
        <v>Note: Implied Proceeds, do not convert to Common, if Full Participating Preferred</v>
      </c>
      <c r="C165" s="74"/>
      <c r="D165" s="74"/>
      <c r="E165" s="74"/>
      <c r="F165" s="86" t="str">
        <f t="shared" si="62"/>
        <v>$</v>
      </c>
      <c r="G165" s="89">
        <f>IFERROR(MIN(G$210*G160+G161,G158),0)</f>
        <v>0</v>
      </c>
      <c r="H165" s="89">
        <f t="shared" ref="H165:M165" si="67">IFERROR(MIN(H$210*H160+H161,H158),0)</f>
        <v>0</v>
      </c>
      <c r="I165" s="89">
        <f t="shared" si="67"/>
        <v>0</v>
      </c>
      <c r="J165" s="89">
        <f t="shared" si="67"/>
        <v>0</v>
      </c>
      <c r="K165" s="89">
        <f t="shared" si="67"/>
        <v>0</v>
      </c>
      <c r="L165" s="89">
        <f t="shared" si="67"/>
        <v>0</v>
      </c>
      <c r="M165" s="89">
        <f t="shared" si="67"/>
        <v>0</v>
      </c>
      <c r="N165" s="89"/>
      <c r="O165" s="55" t="str">
        <f>IF(ISBLANK(P165),"",MAX(O$5:O164)+1)</f>
        <v/>
      </c>
    </row>
    <row r="166" spans="2:17">
      <c r="B166" s="74" t="s">
        <v>451</v>
      </c>
      <c r="C166" s="74"/>
      <c r="D166" s="74"/>
      <c r="E166" s="74"/>
      <c r="F166" s="86" t="str">
        <f t="shared" si="62"/>
        <v>$</v>
      </c>
      <c r="G166" s="109">
        <f t="shared" ref="G166:M166" si="68">IFERROR(IF($G$8="no",MAX(0,G$106)/G$110*G160*$I$64,G$210*G160*$I$64),0)</f>
        <v>0</v>
      </c>
      <c r="H166" s="109">
        <f t="shared" si="68"/>
        <v>0</v>
      </c>
      <c r="I166" s="109">
        <f t="shared" si="68"/>
        <v>0</v>
      </c>
      <c r="J166" s="109">
        <f t="shared" si="68"/>
        <v>0</v>
      </c>
      <c r="K166" s="109">
        <f t="shared" si="68"/>
        <v>0</v>
      </c>
      <c r="L166" s="109">
        <f t="shared" si="68"/>
        <v>0</v>
      </c>
      <c r="M166" s="109">
        <f t="shared" si="68"/>
        <v>0</v>
      </c>
      <c r="N166" s="109"/>
      <c r="O166" s="55" t="str">
        <f>IF(ISBLANK(P166),"",MAX(O$5:O165)+1)</f>
        <v/>
      </c>
      <c r="Q166" s="112"/>
    </row>
    <row r="167" spans="2:17">
      <c r="B167" s="71" t="s">
        <v>453</v>
      </c>
      <c r="C167" s="71"/>
      <c r="D167" s="71"/>
      <c r="E167" s="71"/>
      <c r="F167" s="86" t="s">
        <v>361</v>
      </c>
      <c r="G167" s="91" t="str">
        <f t="shared" ref="G167:M167" si="69">IF($I$62=$B$328,"no",IF($I$62=$B$330,"yes",IF(G164&gt;G166,"yes","no")))</f>
        <v>no</v>
      </c>
      <c r="H167" s="91" t="str">
        <f t="shared" si="69"/>
        <v>no</v>
      </c>
      <c r="I167" s="91" t="str">
        <f t="shared" si="69"/>
        <v>no</v>
      </c>
      <c r="J167" s="91" t="str">
        <f t="shared" si="69"/>
        <v>no</v>
      </c>
      <c r="K167" s="91" t="str">
        <f t="shared" si="69"/>
        <v>no</v>
      </c>
      <c r="L167" s="91" t="str">
        <f t="shared" si="69"/>
        <v>no</v>
      </c>
      <c r="M167" s="91" t="str">
        <f t="shared" si="69"/>
        <v>no</v>
      </c>
      <c r="N167" s="91"/>
      <c r="O167" s="55" t="str">
        <f>IF(ISBLANK(P167),"",MAX(O$5:O166)+1)</f>
        <v/>
      </c>
    </row>
    <row r="168" spans="2:17">
      <c r="B168" s="71" t="s">
        <v>455</v>
      </c>
      <c r="C168" s="71"/>
      <c r="D168" s="71"/>
      <c r="E168" s="71"/>
      <c r="F168" s="86" t="s">
        <v>130</v>
      </c>
      <c r="G168" s="89">
        <f t="shared" ref="G168:M168" si="70">IFERROR(IF(G167="yes",INDEX(G169:G171,MATCH($I$62,$B$328:$B$330,0))/G$210,0),0)</f>
        <v>0</v>
      </c>
      <c r="H168" s="89">
        <f t="shared" si="70"/>
        <v>0</v>
      </c>
      <c r="I168" s="89">
        <f t="shared" si="70"/>
        <v>0</v>
      </c>
      <c r="J168" s="89">
        <f t="shared" si="70"/>
        <v>0</v>
      </c>
      <c r="K168" s="89">
        <f t="shared" si="70"/>
        <v>0</v>
      </c>
      <c r="L168" s="89">
        <f t="shared" si="70"/>
        <v>0</v>
      </c>
      <c r="M168" s="89">
        <f t="shared" si="70"/>
        <v>0</v>
      </c>
      <c r="N168" s="89"/>
      <c r="O168" s="55" t="str">
        <f>IF(ISBLANK(P168),"",MAX(O$5:O167)+1)</f>
        <v/>
      </c>
    </row>
    <row r="169" spans="2:17">
      <c r="B169" s="74" t="str">
        <f>"Note: Participation, if "&amp;B328</f>
        <v>Note: Participation, if Non Participating Preferred</v>
      </c>
      <c r="C169" s="74"/>
      <c r="D169" s="74"/>
      <c r="E169" s="74"/>
      <c r="F169" s="86" t="str">
        <f>F$5</f>
        <v>$</v>
      </c>
      <c r="G169" s="89">
        <f>MAX(0,G163-G$161)</f>
        <v>0</v>
      </c>
      <c r="H169" s="89">
        <f t="shared" ref="H169:M171" si="71">MAX(0,H163-H$161)</f>
        <v>0</v>
      </c>
      <c r="I169" s="89">
        <f t="shared" si="71"/>
        <v>0</v>
      </c>
      <c r="J169" s="89">
        <f t="shared" si="71"/>
        <v>0</v>
      </c>
      <c r="K169" s="89">
        <f t="shared" si="71"/>
        <v>0</v>
      </c>
      <c r="L169" s="89">
        <f t="shared" si="71"/>
        <v>0</v>
      </c>
      <c r="M169" s="89">
        <f t="shared" si="71"/>
        <v>0</v>
      </c>
      <c r="N169" s="89"/>
      <c r="O169" s="55" t="str">
        <f>IF(ISBLANK(P169),"",MAX(O$5:O168)+1)</f>
        <v/>
      </c>
    </row>
    <row r="170" spans="2:17">
      <c r="B170" s="74" t="str">
        <f>"Note: Participation, if "&amp;B329</f>
        <v>Note: Participation, if Participating Preferred with a Cap</v>
      </c>
      <c r="C170" s="74"/>
      <c r="D170" s="74"/>
      <c r="E170" s="74"/>
      <c r="F170" s="86" t="str">
        <f>F$5</f>
        <v>$</v>
      </c>
      <c r="G170" s="89">
        <f>MAX(0,G164-G$161)</f>
        <v>0</v>
      </c>
      <c r="H170" s="89">
        <f t="shared" si="71"/>
        <v>0</v>
      </c>
      <c r="I170" s="89">
        <f t="shared" si="71"/>
        <v>0</v>
      </c>
      <c r="J170" s="89">
        <f t="shared" si="71"/>
        <v>0</v>
      </c>
      <c r="K170" s="89">
        <f t="shared" si="71"/>
        <v>0</v>
      </c>
      <c r="L170" s="89">
        <f t="shared" si="71"/>
        <v>0</v>
      </c>
      <c r="M170" s="89">
        <f t="shared" si="71"/>
        <v>0</v>
      </c>
      <c r="N170" s="89"/>
      <c r="O170" s="55" t="str">
        <f>IF(ISBLANK(P170),"",MAX(O$5:O169)+1)</f>
        <v/>
      </c>
    </row>
    <row r="171" spans="2:17" s="83" customFormat="1">
      <c r="B171" s="74" t="str">
        <f>"Note: Participation, if "&amp;B330</f>
        <v>Note: Participation, if Full Participating Preferred</v>
      </c>
      <c r="C171" s="74"/>
      <c r="D171" s="74"/>
      <c r="E171" s="74"/>
      <c r="F171" s="86" t="str">
        <f>F$5</f>
        <v>$</v>
      </c>
      <c r="G171" s="89">
        <f>MAX(0,G165-G$161)</f>
        <v>0</v>
      </c>
      <c r="H171" s="89">
        <f t="shared" si="71"/>
        <v>0</v>
      </c>
      <c r="I171" s="89">
        <f t="shared" si="71"/>
        <v>0</v>
      </c>
      <c r="J171" s="89">
        <f t="shared" si="71"/>
        <v>0</v>
      </c>
      <c r="K171" s="89">
        <f t="shared" si="71"/>
        <v>0</v>
      </c>
      <c r="L171" s="89">
        <f t="shared" si="71"/>
        <v>0</v>
      </c>
      <c r="M171" s="89">
        <f t="shared" si="71"/>
        <v>0</v>
      </c>
      <c r="N171" s="89"/>
      <c r="O171" s="55" t="str">
        <f>IF(ISBLANK(P171),"",MAX(O$5:O170)+1)</f>
        <v/>
      </c>
    </row>
    <row r="172" spans="2:17" s="83" customFormat="1">
      <c r="B172" s="71" t="s">
        <v>458</v>
      </c>
      <c r="C172" s="71"/>
      <c r="D172" s="71"/>
      <c r="E172" s="71"/>
      <c r="F172" s="86" t="s">
        <v>361</v>
      </c>
      <c r="G172" s="91" t="str">
        <f t="shared" ref="G172:M172" si="72">IF($I$62=$B$328,IF(G163&gt;=G166,"no","yes"),IF(G167="yes","no","yes"))</f>
        <v>no</v>
      </c>
      <c r="H172" s="91" t="str">
        <f t="shared" si="72"/>
        <v>no</v>
      </c>
      <c r="I172" s="91" t="str">
        <f t="shared" si="72"/>
        <v>no</v>
      </c>
      <c r="J172" s="91" t="str">
        <f t="shared" si="72"/>
        <v>no</v>
      </c>
      <c r="K172" s="91" t="str">
        <f t="shared" si="72"/>
        <v>no</v>
      </c>
      <c r="L172" s="91" t="str">
        <f t="shared" si="72"/>
        <v>no</v>
      </c>
      <c r="M172" s="91" t="str">
        <f t="shared" si="72"/>
        <v>no</v>
      </c>
      <c r="N172" s="91"/>
      <c r="O172" s="55" t="str">
        <f>IF(ISBLANK(P172),"",MAX(O$5:O171)+1)</f>
        <v/>
      </c>
    </row>
    <row r="173" spans="2:17" s="83" customFormat="1">
      <c r="B173" s="71" t="s">
        <v>460</v>
      </c>
      <c r="C173" s="71"/>
      <c r="D173" s="71"/>
      <c r="E173" s="71"/>
      <c r="F173" s="86" t="s">
        <v>130</v>
      </c>
      <c r="G173" s="89">
        <f>IF(G172="yes",G160*$I$64,0)</f>
        <v>0</v>
      </c>
      <c r="H173" s="89">
        <f t="shared" ref="H173:M173" si="73">IF(H172="yes",H160*$I$64,0)</f>
        <v>0</v>
      </c>
      <c r="I173" s="89">
        <f t="shared" si="73"/>
        <v>0</v>
      </c>
      <c r="J173" s="89">
        <f t="shared" si="73"/>
        <v>0</v>
      </c>
      <c r="K173" s="89">
        <f t="shared" si="73"/>
        <v>0</v>
      </c>
      <c r="L173" s="89">
        <f t="shared" si="73"/>
        <v>0</v>
      </c>
      <c r="M173" s="89">
        <f t="shared" si="73"/>
        <v>0</v>
      </c>
      <c r="N173" s="89"/>
      <c r="O173" s="55" t="str">
        <f>IF(ISBLANK(P173),"",MAX(O$5:O172)+1)</f>
        <v/>
      </c>
    </row>
    <row r="174" spans="2:17" s="83" customFormat="1">
      <c r="B174" s="71" t="s">
        <v>462</v>
      </c>
      <c r="C174" s="71"/>
      <c r="D174" s="71"/>
      <c r="E174" s="71"/>
      <c r="F174" s="86" t="str">
        <f>F$5</f>
        <v>$</v>
      </c>
      <c r="G174" s="109">
        <f t="shared" ref="G174:M174" si="74">IF($G$8="yes",IFERROR(G173*G$210,0),IFERROR(G173/G$110*G$106,0))</f>
        <v>0</v>
      </c>
      <c r="H174" s="109">
        <f t="shared" si="74"/>
        <v>0</v>
      </c>
      <c r="I174" s="109">
        <f t="shared" si="74"/>
        <v>0</v>
      </c>
      <c r="J174" s="109">
        <f t="shared" si="74"/>
        <v>0</v>
      </c>
      <c r="K174" s="109">
        <f t="shared" si="74"/>
        <v>0</v>
      </c>
      <c r="L174" s="109">
        <f t="shared" si="74"/>
        <v>0</v>
      </c>
      <c r="M174" s="109">
        <f t="shared" si="74"/>
        <v>0</v>
      </c>
      <c r="N174" s="109"/>
      <c r="O174" s="55" t="str">
        <f>IF(ISBLANK(P174),"",MAX(O$5:O173)+1)</f>
        <v/>
      </c>
    </row>
    <row r="175" spans="2:17" s="83" customFormat="1">
      <c r="B175" s="71" t="s">
        <v>384</v>
      </c>
      <c r="C175" s="71"/>
      <c r="D175" s="71"/>
      <c r="E175" s="71"/>
      <c r="F175" s="86" t="str">
        <f>F$5</f>
        <v>$</v>
      </c>
      <c r="G175" s="109">
        <f t="shared" ref="G175:M175" si="75">IF(OR(G172="yes",$I$65=$B$335),0,IF($I$65=$B$333,$I$66*$I$60,ROUND(YEARFRAC($I$67,$G$6,1),0)*$I$66*$I$60))</f>
        <v>0</v>
      </c>
      <c r="H175" s="109">
        <f t="shared" si="75"/>
        <v>0</v>
      </c>
      <c r="I175" s="109">
        <f t="shared" si="75"/>
        <v>0</v>
      </c>
      <c r="J175" s="109">
        <f t="shared" si="75"/>
        <v>0</v>
      </c>
      <c r="K175" s="109">
        <f t="shared" si="75"/>
        <v>0</v>
      </c>
      <c r="L175" s="109">
        <f t="shared" si="75"/>
        <v>0</v>
      </c>
      <c r="M175" s="109">
        <f t="shared" si="75"/>
        <v>0</v>
      </c>
      <c r="N175" s="109"/>
      <c r="O175" s="55" t="str">
        <f>IF(ISBLANK(P175),"",MAX(O$5:O174)+1)</f>
        <v/>
      </c>
    </row>
    <row r="176" spans="2:17" s="83" customFormat="1">
      <c r="B176" s="71" t="str">
        <f>"Proceeds to "&amp;B157</f>
        <v>Proceeds to Preferred, A</v>
      </c>
      <c r="C176" s="71"/>
      <c r="D176" s="71"/>
      <c r="E176" s="71"/>
      <c r="F176" s="86" t="str">
        <f>F$5</f>
        <v>$</v>
      </c>
      <c r="G176" s="89">
        <f t="shared" ref="G176:M176" si="76">MIN(G158,MAX(G175+INDEX(G163:G165,MATCH($I$62,$B$328:$B$330,0)),G174))</f>
        <v>0</v>
      </c>
      <c r="H176" s="89">
        <f t="shared" si="76"/>
        <v>0</v>
      </c>
      <c r="I176" s="89">
        <f t="shared" si="76"/>
        <v>0</v>
      </c>
      <c r="J176" s="89">
        <f t="shared" si="76"/>
        <v>0</v>
      </c>
      <c r="K176" s="89">
        <f t="shared" si="76"/>
        <v>0</v>
      </c>
      <c r="L176" s="89">
        <f t="shared" si="76"/>
        <v>0</v>
      </c>
      <c r="M176" s="89">
        <f t="shared" si="76"/>
        <v>0</v>
      </c>
      <c r="N176" s="89"/>
      <c r="O176" s="55" t="str">
        <f>IF(ISBLANK(P176),"",MAX(O$5:O175)+1)</f>
        <v/>
      </c>
    </row>
    <row r="177" spans="1:29" s="83" customFormat="1">
      <c r="B177" s="71" t="s">
        <v>466</v>
      </c>
      <c r="C177" s="71"/>
      <c r="D177" s="71"/>
      <c r="E177" s="71"/>
      <c r="F177" s="86" t="str">
        <f>F$5</f>
        <v>$</v>
      </c>
      <c r="G177" s="110">
        <f>IFERROR(G176/G160,0)</f>
        <v>0</v>
      </c>
      <c r="H177" s="110">
        <f t="shared" ref="H177:M177" si="77">IFERROR(H176/H160,0)</f>
        <v>0</v>
      </c>
      <c r="I177" s="110">
        <f t="shared" si="77"/>
        <v>0</v>
      </c>
      <c r="J177" s="110">
        <f t="shared" si="77"/>
        <v>0</v>
      </c>
      <c r="K177" s="110">
        <f t="shared" si="77"/>
        <v>0</v>
      </c>
      <c r="L177" s="110">
        <f t="shared" si="77"/>
        <v>0</v>
      </c>
      <c r="M177" s="110">
        <f t="shared" si="77"/>
        <v>0</v>
      </c>
      <c r="N177" s="110"/>
      <c r="O177" s="55" t="str">
        <f>IF(ISBLANK(P177),"",MAX(O$5:O176)+1)</f>
        <v/>
      </c>
    </row>
    <row r="178" spans="1:29" s="83" customFormat="1">
      <c r="B178" s="58"/>
      <c r="C178" s="240"/>
      <c r="D178" s="240"/>
      <c r="E178" s="240"/>
      <c r="F178" s="64"/>
      <c r="G178" s="58"/>
      <c r="H178" s="58"/>
      <c r="I178" s="58"/>
      <c r="J178" s="58"/>
      <c r="K178" s="109"/>
      <c r="L178" s="58"/>
      <c r="M178" s="58"/>
      <c r="N178" s="58"/>
      <c r="O178" s="55" t="str">
        <f>IF(ISBLANK(P178),"",MAX(O$5:O177)+1)</f>
        <v/>
      </c>
    </row>
    <row r="179" spans="1:29">
      <c r="B179" s="74" t="str">
        <f>"Preferred, "&amp;J68</f>
        <v>Preferred, Seed</v>
      </c>
      <c r="C179" s="74"/>
      <c r="D179" s="74"/>
      <c r="E179" s="74"/>
      <c r="F179" s="105"/>
      <c r="G179" s="89"/>
      <c r="H179" s="89"/>
      <c r="I179" s="89"/>
      <c r="J179" s="89"/>
      <c r="K179" s="89"/>
      <c r="L179" s="89"/>
      <c r="O179" s="55" t="str">
        <f>IF(ISBLANK(P179),"",MAX(O$5:O178)+1)</f>
        <v/>
      </c>
    </row>
    <row r="180" spans="1:29">
      <c r="B180" s="71" t="s">
        <v>439</v>
      </c>
      <c r="C180" s="71"/>
      <c r="D180" s="71"/>
      <c r="E180" s="71"/>
      <c r="F180" s="86" t="str">
        <f>F$5</f>
        <v>$</v>
      </c>
      <c r="G180" s="89">
        <f t="shared" ref="G180:M180" si="78">IF(G172="no",MAX(0,G158-G161-G175),IF($I$62=$B$330,MAX(0,G158-G161-G175),IF(AND($I$62=$B$329,G174=0),MAX(0,G158-G161-G175),G158)))</f>
        <v>0</v>
      </c>
      <c r="H180" s="89">
        <f t="shared" si="78"/>
        <v>0</v>
      </c>
      <c r="I180" s="89">
        <f t="shared" si="78"/>
        <v>0</v>
      </c>
      <c r="J180" s="89">
        <f t="shared" si="78"/>
        <v>0</v>
      </c>
      <c r="K180" s="89">
        <f t="shared" si="78"/>
        <v>0</v>
      </c>
      <c r="L180" s="89">
        <f t="shared" si="78"/>
        <v>0</v>
      </c>
      <c r="M180" s="89">
        <f t="shared" si="78"/>
        <v>0</v>
      </c>
      <c r="N180" s="89"/>
      <c r="O180" s="55" t="str">
        <f>IF(ISBLANK(P180),"",MAX(O$5:O179)+1)</f>
        <v/>
      </c>
      <c r="P180" s="107"/>
    </row>
    <row r="181" spans="1:29">
      <c r="B181" s="71" t="s">
        <v>441</v>
      </c>
      <c r="C181" s="71"/>
      <c r="D181" s="71"/>
      <c r="E181" s="71"/>
      <c r="F181" s="64" t="s">
        <v>130</v>
      </c>
      <c r="G181" s="89">
        <f>G159-G173</f>
        <v>0</v>
      </c>
      <c r="H181" s="89">
        <f t="shared" ref="H181:M181" si="79">H159-H173</f>
        <v>0</v>
      </c>
      <c r="I181" s="89">
        <f t="shared" si="79"/>
        <v>0</v>
      </c>
      <c r="J181" s="89">
        <f t="shared" si="79"/>
        <v>0</v>
      </c>
      <c r="K181" s="89">
        <f t="shared" si="79"/>
        <v>0</v>
      </c>
      <c r="L181" s="89">
        <f t="shared" si="79"/>
        <v>0</v>
      </c>
      <c r="M181" s="89">
        <f t="shared" si="79"/>
        <v>0</v>
      </c>
      <c r="N181" s="89"/>
      <c r="O181" s="55" t="str">
        <f>IF(ISBLANK(P181),"",MAX(O$5:O180)+1)</f>
        <v/>
      </c>
    </row>
    <row r="182" spans="1:29">
      <c r="B182" s="71" t="str">
        <f>"Shares, "&amp;B179</f>
        <v>Shares, Preferred, Seed</v>
      </c>
      <c r="C182" s="71"/>
      <c r="D182" s="71"/>
      <c r="E182" s="71"/>
      <c r="F182" s="86" t="s">
        <v>130</v>
      </c>
      <c r="G182" s="89">
        <f t="shared" ref="G182:M182" si="80">$J59</f>
        <v>0</v>
      </c>
      <c r="H182" s="89">
        <f t="shared" si="80"/>
        <v>0</v>
      </c>
      <c r="I182" s="89">
        <f t="shared" si="80"/>
        <v>0</v>
      </c>
      <c r="J182" s="89">
        <f t="shared" si="80"/>
        <v>0</v>
      </c>
      <c r="K182" s="89">
        <f t="shared" si="80"/>
        <v>0</v>
      </c>
      <c r="L182" s="89">
        <f t="shared" si="80"/>
        <v>0</v>
      </c>
      <c r="M182" s="89">
        <f t="shared" si="80"/>
        <v>0</v>
      </c>
      <c r="N182" s="89"/>
      <c r="O182" s="55" t="str">
        <f>IF(ISBLANK(P182),"",MAX(O$5:O181)+1)</f>
        <v/>
      </c>
    </row>
    <row r="183" spans="1:29">
      <c r="B183" s="71" t="s">
        <v>444</v>
      </c>
      <c r="C183" s="71"/>
      <c r="D183" s="71"/>
      <c r="E183" s="71"/>
      <c r="F183" s="86" t="str">
        <f>F5</f>
        <v>$</v>
      </c>
      <c r="G183" s="108">
        <f t="shared" ref="G183:M183" si="81">$J61</f>
        <v>0</v>
      </c>
      <c r="H183" s="108">
        <f t="shared" si="81"/>
        <v>0</v>
      </c>
      <c r="I183" s="108">
        <f t="shared" si="81"/>
        <v>0</v>
      </c>
      <c r="J183" s="108">
        <f t="shared" si="81"/>
        <v>0</v>
      </c>
      <c r="K183" s="108">
        <f t="shared" si="81"/>
        <v>0</v>
      </c>
      <c r="L183" s="108">
        <f t="shared" si="81"/>
        <v>0</v>
      </c>
      <c r="M183" s="108">
        <f t="shared" si="81"/>
        <v>0</v>
      </c>
      <c r="N183" s="108"/>
      <c r="O183" s="55" t="str">
        <f>IF(ISBLANK(P183),"",MAX(O$5:O182)+1)</f>
        <v/>
      </c>
    </row>
    <row r="184" spans="1:29">
      <c r="B184" s="71" t="s">
        <v>446</v>
      </c>
      <c r="C184" s="71"/>
      <c r="D184" s="71"/>
      <c r="E184" s="71"/>
      <c r="F184" s="86" t="str">
        <f>F$5</f>
        <v>$</v>
      </c>
      <c r="G184" s="108" t="str">
        <f t="shared" ref="G184:M184" si="82">IF($J$62=$B$329,$J60*$J$63,IF($J$62=$B$330,0,"na"))</f>
        <v>na</v>
      </c>
      <c r="H184" s="108" t="str">
        <f t="shared" si="82"/>
        <v>na</v>
      </c>
      <c r="I184" s="108" t="str">
        <f t="shared" si="82"/>
        <v>na</v>
      </c>
      <c r="J184" s="108" t="str">
        <f t="shared" si="82"/>
        <v>na</v>
      </c>
      <c r="K184" s="108" t="str">
        <f t="shared" si="82"/>
        <v>na</v>
      </c>
      <c r="L184" s="108" t="str">
        <f t="shared" si="82"/>
        <v>na</v>
      </c>
      <c r="M184" s="108" t="str">
        <f t="shared" si="82"/>
        <v>na</v>
      </c>
      <c r="N184" s="108"/>
      <c r="O184" s="55" t="str">
        <f>IF(ISBLANK(P184),"",MAX(O$5:O183)+1)</f>
        <v/>
      </c>
    </row>
    <row r="185" spans="1:29">
      <c r="B185" s="74" t="str">
        <f>"Note: Implied Proceeds, do not convert to Common, if "&amp;B$328</f>
        <v>Note: Implied Proceeds, do not convert to Common, if Non Participating Preferred</v>
      </c>
      <c r="C185" s="74"/>
      <c r="D185" s="74"/>
      <c r="E185" s="74"/>
      <c r="F185" s="86" t="str">
        <f>F$5</f>
        <v>$</v>
      </c>
      <c r="G185" s="89">
        <f>MIN(G180,G183)</f>
        <v>0</v>
      </c>
      <c r="H185" s="89">
        <f t="shared" ref="H185:M185" si="83">MIN(H180,H183)</f>
        <v>0</v>
      </c>
      <c r="I185" s="89">
        <f t="shared" si="83"/>
        <v>0</v>
      </c>
      <c r="J185" s="89">
        <f t="shared" si="83"/>
        <v>0</v>
      </c>
      <c r="K185" s="89">
        <f t="shared" si="83"/>
        <v>0</v>
      </c>
      <c r="L185" s="89">
        <f t="shared" si="83"/>
        <v>0</v>
      </c>
      <c r="M185" s="89">
        <f t="shared" si="83"/>
        <v>0</v>
      </c>
      <c r="N185" s="89"/>
      <c r="O185" s="55" t="str">
        <f>IF(ISBLANK(P185),"",MAX(O$5:O184)+1)</f>
        <v/>
      </c>
    </row>
    <row r="186" spans="1:29">
      <c r="B186" s="74" t="str">
        <f>"Note: Implied Proceeds, do not convert to Common, if "&amp;B$329</f>
        <v>Note: Implied Proceeds, do not convert to Common, if Participating Preferred with a Cap</v>
      </c>
      <c r="C186" s="74"/>
      <c r="D186" s="74"/>
      <c r="E186" s="74"/>
      <c r="F186" s="86" t="str">
        <f>F$5</f>
        <v>$</v>
      </c>
      <c r="G186" s="89">
        <f t="shared" ref="G186:M186" si="84">IFERROR(IF($G$8="no",MIN(MAX(0,G$106)/G$110*G182+G183,G180,$J$60*$J$63),MIN(G$210*G182+G183,G180,$J$60*$J$63)),0)</f>
        <v>0</v>
      </c>
      <c r="H186" s="89">
        <f t="shared" si="84"/>
        <v>0</v>
      </c>
      <c r="I186" s="89">
        <f t="shared" si="84"/>
        <v>0</v>
      </c>
      <c r="J186" s="89">
        <f t="shared" si="84"/>
        <v>0</v>
      </c>
      <c r="K186" s="89">
        <f t="shared" si="84"/>
        <v>0</v>
      </c>
      <c r="L186" s="89">
        <f t="shared" si="84"/>
        <v>0</v>
      </c>
      <c r="M186" s="89">
        <f t="shared" si="84"/>
        <v>0</v>
      </c>
      <c r="N186" s="89"/>
      <c r="O186" s="55" t="str">
        <f>IF(ISBLANK(P186),"",MAX(O$5:O185)+1)</f>
        <v/>
      </c>
    </row>
    <row r="187" spans="1:29">
      <c r="B187" s="74" t="str">
        <f>"Note: Implied Proceeds, do not convert to Common, if "&amp;B$330</f>
        <v>Note: Implied Proceeds, do not convert to Common, if Full Participating Preferred</v>
      </c>
      <c r="C187" s="74"/>
      <c r="D187" s="74"/>
      <c r="E187" s="74"/>
      <c r="F187" s="86" t="str">
        <f>F$5</f>
        <v>$</v>
      </c>
      <c r="G187" s="89">
        <f>IFERROR(MIN(G$210*G182+G183,G180),0)</f>
        <v>0</v>
      </c>
      <c r="H187" s="89">
        <f t="shared" ref="H187:M187" si="85">IFERROR(MIN(H$210*H182+H183,H180),0)</f>
        <v>0</v>
      </c>
      <c r="I187" s="89">
        <f t="shared" si="85"/>
        <v>0</v>
      </c>
      <c r="J187" s="89">
        <f t="shared" si="85"/>
        <v>0</v>
      </c>
      <c r="K187" s="89">
        <f t="shared" si="85"/>
        <v>0</v>
      </c>
      <c r="L187" s="89">
        <f t="shared" si="85"/>
        <v>0</v>
      </c>
      <c r="M187" s="89">
        <f t="shared" si="85"/>
        <v>0</v>
      </c>
      <c r="N187" s="89"/>
      <c r="O187" s="55" t="str">
        <f>IF(ISBLANK(P187),"",MAX(O$5:O186)+1)</f>
        <v/>
      </c>
    </row>
    <row r="188" spans="1:29">
      <c r="B188" s="74" t="s">
        <v>451</v>
      </c>
      <c r="C188" s="74"/>
      <c r="D188" s="74"/>
      <c r="E188" s="74"/>
      <c r="F188" s="86" t="str">
        <f>F5</f>
        <v>$</v>
      </c>
      <c r="G188" s="109">
        <f t="shared" ref="G188:M188" si="86">IFERROR(IF($G$8="no",MAX(0,G$106)/G$110*G182*$J$64,G$210*G182*$J$64),0)</f>
        <v>0</v>
      </c>
      <c r="H188" s="109">
        <f t="shared" si="86"/>
        <v>0</v>
      </c>
      <c r="I188" s="109">
        <f t="shared" si="86"/>
        <v>0</v>
      </c>
      <c r="J188" s="109">
        <f t="shared" si="86"/>
        <v>0</v>
      </c>
      <c r="K188" s="109">
        <f t="shared" si="86"/>
        <v>0</v>
      </c>
      <c r="L188" s="109">
        <f t="shared" si="86"/>
        <v>0</v>
      </c>
      <c r="M188" s="109">
        <f t="shared" si="86"/>
        <v>0</v>
      </c>
      <c r="N188" s="109"/>
      <c r="O188" s="55" t="str">
        <f>IF(ISBLANK(P188),"",MAX(O$5:O187)+1)</f>
        <v/>
      </c>
      <c r="Q188" s="112"/>
    </row>
    <row r="189" spans="1:29">
      <c r="B189" s="71" t="s">
        <v>453</v>
      </c>
      <c r="C189" s="71"/>
      <c r="D189" s="71"/>
      <c r="E189" s="71"/>
      <c r="F189" s="86" t="s">
        <v>361</v>
      </c>
      <c r="G189" s="91" t="str">
        <f t="shared" ref="G189:M189" si="87">IF($J$62=$B$328,"no",IF($J$62=$B$330,"yes",IF(G186&gt;G188,"yes","no")))</f>
        <v>no</v>
      </c>
      <c r="H189" s="91" t="str">
        <f t="shared" si="87"/>
        <v>no</v>
      </c>
      <c r="I189" s="91" t="str">
        <f t="shared" si="87"/>
        <v>no</v>
      </c>
      <c r="J189" s="91" t="str">
        <f t="shared" si="87"/>
        <v>no</v>
      </c>
      <c r="K189" s="91" t="str">
        <f t="shared" si="87"/>
        <v>no</v>
      </c>
      <c r="L189" s="91" t="str">
        <f t="shared" si="87"/>
        <v>no</v>
      </c>
      <c r="M189" s="91" t="str">
        <f t="shared" si="87"/>
        <v>no</v>
      </c>
      <c r="N189" s="91"/>
      <c r="O189" s="55" t="str">
        <f>IF(ISBLANK(P189),"",MAX(O$5:O188)+1)</f>
        <v/>
      </c>
    </row>
    <row r="190" spans="1:29">
      <c r="B190" s="71" t="s">
        <v>455</v>
      </c>
      <c r="C190" s="71"/>
      <c r="D190" s="71"/>
      <c r="E190" s="71"/>
      <c r="F190" s="86" t="s">
        <v>130</v>
      </c>
      <c r="G190" s="89">
        <f t="shared" ref="G190:M190" si="88">IFERROR(IF(G189="yes",INDEX(G191:G193,MATCH($J$62,$B$328:$B$330,0))/G$210,0),0)</f>
        <v>0</v>
      </c>
      <c r="H190" s="89">
        <f t="shared" si="88"/>
        <v>0</v>
      </c>
      <c r="I190" s="89">
        <f t="shared" si="88"/>
        <v>0</v>
      </c>
      <c r="J190" s="89">
        <f t="shared" si="88"/>
        <v>0</v>
      </c>
      <c r="K190" s="89">
        <f t="shared" si="88"/>
        <v>0</v>
      </c>
      <c r="L190" s="89">
        <f t="shared" si="88"/>
        <v>0</v>
      </c>
      <c r="M190" s="89">
        <f t="shared" si="88"/>
        <v>0</v>
      </c>
      <c r="N190" s="89"/>
      <c r="O190" s="55" t="str">
        <f>IF(ISBLANK(P190),"",MAX(O$5:O189)+1)</f>
        <v/>
      </c>
    </row>
    <row r="191" spans="1:29">
      <c r="B191" s="74" t="str">
        <f>"Note: Participation, if "&amp;B328</f>
        <v>Note: Participation, if Non Participating Preferred</v>
      </c>
      <c r="C191" s="74"/>
      <c r="D191" s="74"/>
      <c r="E191" s="74"/>
      <c r="F191" s="86" t="str">
        <f>F$5</f>
        <v>$</v>
      </c>
      <c r="G191" s="89">
        <f>MAX(0,G185-G$183)</f>
        <v>0</v>
      </c>
      <c r="H191" s="89">
        <f t="shared" ref="H191:M193" si="89">MAX(0,H185-H$183)</f>
        <v>0</v>
      </c>
      <c r="I191" s="89">
        <f t="shared" si="89"/>
        <v>0</v>
      </c>
      <c r="J191" s="89">
        <f t="shared" si="89"/>
        <v>0</v>
      </c>
      <c r="K191" s="89">
        <f t="shared" si="89"/>
        <v>0</v>
      </c>
      <c r="L191" s="89">
        <f t="shared" si="89"/>
        <v>0</v>
      </c>
      <c r="M191" s="89">
        <f t="shared" si="89"/>
        <v>0</v>
      </c>
      <c r="N191" s="89"/>
      <c r="O191" s="55" t="str">
        <f>IF(ISBLANK(P191),"",MAX(O$5:O190)+1)</f>
        <v/>
      </c>
    </row>
    <row r="192" spans="1:29" s="83" customFormat="1">
      <c r="A192" s="58"/>
      <c r="B192" s="74" t="str">
        <f>"Note: Participation, if "&amp;B329</f>
        <v>Note: Participation, if Participating Preferred with a Cap</v>
      </c>
      <c r="C192" s="74"/>
      <c r="D192" s="74"/>
      <c r="E192" s="74"/>
      <c r="F192" s="86" t="str">
        <f>F$5</f>
        <v>$</v>
      </c>
      <c r="G192" s="89">
        <f>MAX(0,G186-G$183)</f>
        <v>0</v>
      </c>
      <c r="H192" s="89">
        <f t="shared" si="89"/>
        <v>0</v>
      </c>
      <c r="I192" s="89">
        <f t="shared" si="89"/>
        <v>0</v>
      </c>
      <c r="J192" s="89">
        <f t="shared" si="89"/>
        <v>0</v>
      </c>
      <c r="K192" s="89">
        <f t="shared" si="89"/>
        <v>0</v>
      </c>
      <c r="L192" s="89">
        <f t="shared" si="89"/>
        <v>0</v>
      </c>
      <c r="M192" s="89">
        <f t="shared" si="89"/>
        <v>0</v>
      </c>
      <c r="N192" s="89"/>
      <c r="O192" s="55" t="str">
        <f>IF(ISBLANK(P192),"",MAX(O$5:O191)+1)</f>
        <v/>
      </c>
      <c r="Q192" s="58"/>
      <c r="R192" s="58"/>
      <c r="S192" s="58"/>
      <c r="T192" s="58"/>
      <c r="U192" s="58"/>
      <c r="V192" s="58"/>
      <c r="W192" s="58"/>
      <c r="X192" s="58"/>
      <c r="Y192" s="58"/>
      <c r="Z192" s="58"/>
      <c r="AA192" s="58"/>
      <c r="AB192" s="58"/>
      <c r="AC192" s="58"/>
    </row>
    <row r="193" spans="2:15" s="83" customFormat="1">
      <c r="B193" s="74" t="str">
        <f>"Note: Participation, if "&amp;B330</f>
        <v>Note: Participation, if Full Participating Preferred</v>
      </c>
      <c r="C193" s="74"/>
      <c r="D193" s="74"/>
      <c r="E193" s="74"/>
      <c r="F193" s="86" t="str">
        <f>F$5</f>
        <v>$</v>
      </c>
      <c r="G193" s="89">
        <f>MAX(0,G187-G$183)</f>
        <v>0</v>
      </c>
      <c r="H193" s="89">
        <f t="shared" si="89"/>
        <v>0</v>
      </c>
      <c r="I193" s="89">
        <f t="shared" si="89"/>
        <v>0</v>
      </c>
      <c r="J193" s="89">
        <f t="shared" si="89"/>
        <v>0</v>
      </c>
      <c r="K193" s="89">
        <f t="shared" si="89"/>
        <v>0</v>
      </c>
      <c r="L193" s="89">
        <f t="shared" si="89"/>
        <v>0</v>
      </c>
      <c r="M193" s="89">
        <f t="shared" si="89"/>
        <v>0</v>
      </c>
      <c r="N193" s="89"/>
      <c r="O193" s="55" t="str">
        <f>IF(ISBLANK(P193),"",MAX(O$5:O192)+1)</f>
        <v/>
      </c>
    </row>
    <row r="194" spans="2:15" s="83" customFormat="1">
      <c r="B194" s="71" t="s">
        <v>458</v>
      </c>
      <c r="C194" s="71"/>
      <c r="D194" s="71"/>
      <c r="E194" s="71"/>
      <c r="F194" s="86" t="s">
        <v>361</v>
      </c>
      <c r="G194" s="91" t="str">
        <f t="shared" ref="G194:M194" si="90">IF($J$62=$B$328,IF(G185&gt;=G188,"no","yes"),IF(G189="yes","no","yes"))</f>
        <v>no</v>
      </c>
      <c r="H194" s="91" t="str">
        <f t="shared" si="90"/>
        <v>no</v>
      </c>
      <c r="I194" s="91" t="str">
        <f t="shared" si="90"/>
        <v>no</v>
      </c>
      <c r="J194" s="91" t="str">
        <f t="shared" si="90"/>
        <v>no</v>
      </c>
      <c r="K194" s="91" t="str">
        <f t="shared" si="90"/>
        <v>no</v>
      </c>
      <c r="L194" s="91" t="str">
        <f t="shared" si="90"/>
        <v>no</v>
      </c>
      <c r="M194" s="91" t="str">
        <f t="shared" si="90"/>
        <v>no</v>
      </c>
      <c r="N194" s="91"/>
      <c r="O194" s="55" t="str">
        <f>IF(ISBLANK(P194),"",MAX(O$5:O193)+1)</f>
        <v/>
      </c>
    </row>
    <row r="195" spans="2:15" s="83" customFormat="1">
      <c r="B195" s="71" t="s">
        <v>460</v>
      </c>
      <c r="C195" s="71"/>
      <c r="D195" s="71"/>
      <c r="E195" s="71"/>
      <c r="F195" s="86" t="s">
        <v>130</v>
      </c>
      <c r="G195" s="89">
        <f>IF(G194="yes",G182*$J$64,0)</f>
        <v>0</v>
      </c>
      <c r="H195" s="89">
        <f t="shared" ref="H195:M195" si="91">IF(H194="yes",H182*$J$64,0)</f>
        <v>0</v>
      </c>
      <c r="I195" s="89">
        <f t="shared" si="91"/>
        <v>0</v>
      </c>
      <c r="J195" s="89">
        <f t="shared" si="91"/>
        <v>0</v>
      </c>
      <c r="K195" s="89">
        <f t="shared" si="91"/>
        <v>0</v>
      </c>
      <c r="L195" s="89">
        <f t="shared" si="91"/>
        <v>0</v>
      </c>
      <c r="M195" s="89">
        <f t="shared" si="91"/>
        <v>0</v>
      </c>
      <c r="N195" s="89"/>
      <c r="O195" s="55" t="str">
        <f>IF(ISBLANK(P195),"",MAX(O$5:O194)+1)</f>
        <v/>
      </c>
    </row>
    <row r="196" spans="2:15" s="83" customFormat="1">
      <c r="B196" s="71" t="s">
        <v>462</v>
      </c>
      <c r="C196" s="71"/>
      <c r="D196" s="71"/>
      <c r="E196" s="71"/>
      <c r="F196" s="86" t="str">
        <f>F5</f>
        <v>$</v>
      </c>
      <c r="G196" s="109">
        <f t="shared" ref="G196:M196" si="92">IF($G$8="yes",IFERROR(G195*G$210,0),IFERROR(G195/G$110*G$106,0))</f>
        <v>0</v>
      </c>
      <c r="H196" s="109">
        <f t="shared" si="92"/>
        <v>0</v>
      </c>
      <c r="I196" s="109">
        <f t="shared" si="92"/>
        <v>0</v>
      </c>
      <c r="J196" s="109">
        <f t="shared" si="92"/>
        <v>0</v>
      </c>
      <c r="K196" s="109">
        <f t="shared" si="92"/>
        <v>0</v>
      </c>
      <c r="L196" s="109">
        <f t="shared" si="92"/>
        <v>0</v>
      </c>
      <c r="M196" s="109">
        <f t="shared" si="92"/>
        <v>0</v>
      </c>
      <c r="N196" s="109"/>
      <c r="O196" s="55" t="str">
        <f>IF(ISBLANK(P196),"",MAX(O$5:O195)+1)</f>
        <v/>
      </c>
    </row>
    <row r="197" spans="2:15" s="83" customFormat="1">
      <c r="B197" s="71" t="s">
        <v>384</v>
      </c>
      <c r="C197" s="71"/>
      <c r="D197" s="71"/>
      <c r="E197" s="71"/>
      <c r="F197" s="86" t="str">
        <f>F$5</f>
        <v>$</v>
      </c>
      <c r="G197" s="109">
        <f t="shared" ref="G197:M197" si="93">IF(OR(G194="yes",$J$65=$B$335),0,IF($J$65=$B$333,$J$66*$J$60,ROUND(YEARFRAC($J$67,$G$6,1),0)*$J$66*$J$60))</f>
        <v>0</v>
      </c>
      <c r="H197" s="109">
        <f t="shared" si="93"/>
        <v>0</v>
      </c>
      <c r="I197" s="109">
        <f t="shared" si="93"/>
        <v>0</v>
      </c>
      <c r="J197" s="109">
        <f t="shared" si="93"/>
        <v>0</v>
      </c>
      <c r="K197" s="109">
        <f t="shared" si="93"/>
        <v>0</v>
      </c>
      <c r="L197" s="109">
        <f t="shared" si="93"/>
        <v>0</v>
      </c>
      <c r="M197" s="109">
        <f t="shared" si="93"/>
        <v>0</v>
      </c>
      <c r="N197" s="109"/>
      <c r="O197" s="55" t="str">
        <f>IF(ISBLANK(P197),"",MAX(O$5:O196)+1)</f>
        <v/>
      </c>
    </row>
    <row r="198" spans="2:15" s="83" customFormat="1">
      <c r="B198" s="71" t="str">
        <f>"Proceeds to "&amp;B179</f>
        <v>Proceeds to Preferred, Seed</v>
      </c>
      <c r="C198" s="71"/>
      <c r="D198" s="71"/>
      <c r="E198" s="71"/>
      <c r="F198" s="86" t="str">
        <f>F5</f>
        <v>$</v>
      </c>
      <c r="G198" s="89">
        <f t="shared" ref="G198:M198" si="94">MIN(G180,MAX(G197+INDEX(G185:G187,MATCH($J$62,$B$328:$B$330,0)),G196))</f>
        <v>0</v>
      </c>
      <c r="H198" s="89">
        <f t="shared" si="94"/>
        <v>0</v>
      </c>
      <c r="I198" s="89">
        <f t="shared" si="94"/>
        <v>0</v>
      </c>
      <c r="J198" s="89">
        <f t="shared" si="94"/>
        <v>0</v>
      </c>
      <c r="K198" s="89">
        <f t="shared" si="94"/>
        <v>0</v>
      </c>
      <c r="L198" s="89">
        <f t="shared" si="94"/>
        <v>0</v>
      </c>
      <c r="M198" s="89">
        <f t="shared" si="94"/>
        <v>0</v>
      </c>
      <c r="N198" s="89"/>
      <c r="O198" s="55" t="str">
        <f>IF(ISBLANK(P198),"",MAX(O$5:O197)+1)</f>
        <v/>
      </c>
    </row>
    <row r="199" spans="2:15" s="83" customFormat="1">
      <c r="B199" s="71" t="s">
        <v>466</v>
      </c>
      <c r="C199" s="71"/>
      <c r="D199" s="71"/>
      <c r="E199" s="71"/>
      <c r="F199" s="86" t="str">
        <f>F5</f>
        <v>$</v>
      </c>
      <c r="G199" s="110">
        <f>IFERROR(G198/G182,0)</f>
        <v>0</v>
      </c>
      <c r="H199" s="110">
        <f t="shared" ref="H199:M199" si="95">IFERROR(H198/H182,0)</f>
        <v>0</v>
      </c>
      <c r="I199" s="110">
        <f t="shared" si="95"/>
        <v>0</v>
      </c>
      <c r="J199" s="110">
        <f t="shared" si="95"/>
        <v>0</v>
      </c>
      <c r="K199" s="110">
        <f t="shared" si="95"/>
        <v>0</v>
      </c>
      <c r="L199" s="110">
        <f t="shared" si="95"/>
        <v>0</v>
      </c>
      <c r="M199" s="110">
        <f t="shared" si="95"/>
        <v>0</v>
      </c>
      <c r="N199" s="110"/>
      <c r="O199" s="55" t="str">
        <f>IF(ISBLANK(P199),"",MAX(O$5:O198)+1)</f>
        <v/>
      </c>
    </row>
    <row r="200" spans="2:15" s="83" customFormat="1">
      <c r="B200" s="58"/>
      <c r="C200" s="240"/>
      <c r="D200" s="240"/>
      <c r="E200" s="240"/>
      <c r="F200" s="64"/>
      <c r="G200" s="58"/>
      <c r="H200" s="58"/>
      <c r="I200" s="58"/>
      <c r="J200" s="58"/>
      <c r="K200" s="109"/>
      <c r="L200" s="58"/>
      <c r="M200" s="58"/>
      <c r="N200" s="58"/>
      <c r="O200" s="55" t="str">
        <f>IF(ISBLANK(P200),"",MAX(O$5:O199)+1)</f>
        <v/>
      </c>
    </row>
    <row r="201" spans="2:15" s="83" customFormat="1">
      <c r="B201" s="74" t="str">
        <f>K68</f>
        <v>Common</v>
      </c>
      <c r="C201" s="74"/>
      <c r="D201" s="74"/>
      <c r="E201" s="74"/>
      <c r="F201" s="112"/>
      <c r="G201" s="58"/>
      <c r="H201" s="58"/>
      <c r="I201" s="58"/>
      <c r="J201" s="58"/>
      <c r="K201" s="109"/>
      <c r="L201" s="58"/>
      <c r="M201" s="58"/>
      <c r="N201" s="58"/>
      <c r="O201" s="55" t="str">
        <f>IF(ISBLANK(P201),"",MAX(O$5:O200)+1)</f>
        <v/>
      </c>
    </row>
    <row r="202" spans="2:15" s="83" customFormat="1">
      <c r="B202" s="71" t="s">
        <v>439</v>
      </c>
      <c r="C202" s="71"/>
      <c r="D202" s="71"/>
      <c r="E202" s="71"/>
      <c r="F202" s="86" t="str">
        <f>F5</f>
        <v>$</v>
      </c>
      <c r="G202" s="89">
        <f t="shared" ref="G202:M202" si="96">IF(G194="no",MAX(0,G180-G183-G197),IF($J46=$B$330,MAX(0,G180-G183-G197),IF(AND($J46=$B$329,G196=0),MAX(0,G180-G183-G197),G180)))</f>
        <v>0</v>
      </c>
      <c r="H202" s="89">
        <f t="shared" si="96"/>
        <v>0</v>
      </c>
      <c r="I202" s="89">
        <f t="shared" si="96"/>
        <v>0</v>
      </c>
      <c r="J202" s="89">
        <f t="shared" si="96"/>
        <v>0</v>
      </c>
      <c r="K202" s="89">
        <f t="shared" si="96"/>
        <v>0</v>
      </c>
      <c r="L202" s="89">
        <f t="shared" si="96"/>
        <v>0</v>
      </c>
      <c r="M202" s="89">
        <f t="shared" si="96"/>
        <v>0</v>
      </c>
      <c r="N202" s="89"/>
      <c r="O202" s="55" t="str">
        <f>IF(ISBLANK(P202),"",MAX(O$5:O201)+1)</f>
        <v/>
      </c>
    </row>
    <row r="203" spans="2:15" s="83" customFormat="1">
      <c r="B203" s="71" t="s">
        <v>441</v>
      </c>
      <c r="C203" s="71"/>
      <c r="D203" s="71"/>
      <c r="E203" s="71"/>
      <c r="F203" s="64" t="s">
        <v>130</v>
      </c>
      <c r="G203" s="89">
        <f t="shared" ref="G203:M203" si="97">G181-G195</f>
        <v>0</v>
      </c>
      <c r="H203" s="89">
        <f t="shared" si="97"/>
        <v>0</v>
      </c>
      <c r="I203" s="89">
        <f t="shared" si="97"/>
        <v>0</v>
      </c>
      <c r="J203" s="89">
        <f t="shared" si="97"/>
        <v>0</v>
      </c>
      <c r="K203" s="89">
        <f t="shared" si="97"/>
        <v>0</v>
      </c>
      <c r="L203" s="89">
        <f t="shared" si="97"/>
        <v>0</v>
      </c>
      <c r="M203" s="89">
        <f t="shared" si="97"/>
        <v>0</v>
      </c>
      <c r="N203" s="89"/>
      <c r="O203" s="55" t="str">
        <f>IF(ISBLANK(P203),"",MAX(O$5:O202)+1)</f>
        <v/>
      </c>
    </row>
    <row r="204" spans="2:15" s="83" customFormat="1">
      <c r="B204" s="71" t="s">
        <v>468</v>
      </c>
      <c r="C204" s="71"/>
      <c r="D204" s="71"/>
      <c r="E204" s="71"/>
      <c r="F204" s="86" t="s">
        <v>130</v>
      </c>
      <c r="G204" s="109">
        <f t="shared" ref="G204:M204" si="98">$K59+$L59-G109</f>
        <v>0</v>
      </c>
      <c r="H204" s="109">
        <f t="shared" si="98"/>
        <v>0</v>
      </c>
      <c r="I204" s="109">
        <f t="shared" si="98"/>
        <v>0</v>
      </c>
      <c r="J204" s="109">
        <f t="shared" si="98"/>
        <v>0</v>
      </c>
      <c r="K204" s="109">
        <f t="shared" si="98"/>
        <v>0</v>
      </c>
      <c r="L204" s="109">
        <f t="shared" si="98"/>
        <v>0</v>
      </c>
      <c r="M204" s="109">
        <f t="shared" si="98"/>
        <v>0</v>
      </c>
      <c r="N204" s="109"/>
      <c r="O204" s="55" t="str">
        <f>IF(ISBLANK(P204),"",MAX(O$5:O203)+1)</f>
        <v/>
      </c>
    </row>
    <row r="205" spans="2:15" s="83" customFormat="1">
      <c r="B205" s="71" t="s">
        <v>469</v>
      </c>
      <c r="C205" s="71"/>
      <c r="D205" s="71"/>
      <c r="E205" s="71"/>
      <c r="F205" s="86" t="s">
        <v>130</v>
      </c>
      <c r="G205" s="109">
        <f>G190+G124+G168+G146</f>
        <v>0</v>
      </c>
      <c r="H205" s="109">
        <f t="shared" ref="H205:M205" si="99">H190+H124+H168+H146</f>
        <v>0</v>
      </c>
      <c r="I205" s="109">
        <f t="shared" si="99"/>
        <v>0</v>
      </c>
      <c r="J205" s="109">
        <f t="shared" si="99"/>
        <v>0</v>
      </c>
      <c r="K205" s="109">
        <f t="shared" si="99"/>
        <v>0</v>
      </c>
      <c r="L205" s="109">
        <f t="shared" si="99"/>
        <v>0</v>
      </c>
      <c r="M205" s="109">
        <f t="shared" si="99"/>
        <v>0</v>
      </c>
      <c r="N205" s="109"/>
      <c r="O205" s="55" t="str">
        <f>IF(ISBLANK(P205),"",MAX(O$5:O204)+1)</f>
        <v/>
      </c>
    </row>
    <row r="206" spans="2:15" s="83" customFormat="1">
      <c r="B206" s="71" t="s">
        <v>470</v>
      </c>
      <c r="C206" s="71"/>
      <c r="D206" s="71"/>
      <c r="E206" s="71"/>
      <c r="F206" s="86" t="s">
        <v>130</v>
      </c>
      <c r="G206" s="109">
        <f>G129+G195+G173+G151</f>
        <v>0</v>
      </c>
      <c r="H206" s="109">
        <f t="shared" ref="H206:M206" si="100">H129+H195+H173+H151</f>
        <v>0</v>
      </c>
      <c r="I206" s="109">
        <f t="shared" si="100"/>
        <v>0</v>
      </c>
      <c r="J206" s="109">
        <f t="shared" si="100"/>
        <v>0</v>
      </c>
      <c r="K206" s="109">
        <f t="shared" si="100"/>
        <v>0</v>
      </c>
      <c r="L206" s="109">
        <f t="shared" si="100"/>
        <v>0</v>
      </c>
      <c r="M206" s="109">
        <f t="shared" si="100"/>
        <v>0</v>
      </c>
      <c r="N206" s="109"/>
      <c r="O206" s="55" t="str">
        <f>IF(ISBLANK(P206),"",MAX(O$5:O205)+1)</f>
        <v/>
      </c>
    </row>
    <row r="207" spans="2:15" s="83" customFormat="1">
      <c r="B207" s="71" t="s">
        <v>471</v>
      </c>
      <c r="C207" s="71"/>
      <c r="D207" s="71"/>
      <c r="E207" s="71"/>
      <c r="F207" s="86" t="s">
        <v>130</v>
      </c>
      <c r="G207" s="89">
        <f t="shared" ref="G207:M207" si="101">G206+G204+G205</f>
        <v>0</v>
      </c>
      <c r="H207" s="89">
        <f t="shared" si="101"/>
        <v>0</v>
      </c>
      <c r="I207" s="89">
        <f t="shared" si="101"/>
        <v>0</v>
      </c>
      <c r="J207" s="89">
        <f t="shared" si="101"/>
        <v>0</v>
      </c>
      <c r="K207" s="89">
        <f t="shared" si="101"/>
        <v>0</v>
      </c>
      <c r="L207" s="89">
        <f t="shared" si="101"/>
        <v>0</v>
      </c>
      <c r="M207" s="89">
        <f t="shared" si="101"/>
        <v>0</v>
      </c>
      <c r="N207" s="89"/>
      <c r="O207" s="55" t="str">
        <f>IF(ISBLANK(P207),"",MAX(O$5:O206)+1)</f>
        <v/>
      </c>
    </row>
    <row r="208" spans="2:15" s="83" customFormat="1">
      <c r="B208" s="71" t="s">
        <v>472</v>
      </c>
      <c r="C208" s="71"/>
      <c r="D208" s="71"/>
      <c r="E208" s="71"/>
      <c r="F208" s="86" t="str">
        <f>F$5</f>
        <v>$</v>
      </c>
      <c r="G208" s="89">
        <f t="shared" ref="G208:M208" si="102">G202</f>
        <v>0</v>
      </c>
      <c r="H208" s="89">
        <f t="shared" si="102"/>
        <v>0</v>
      </c>
      <c r="I208" s="89">
        <f t="shared" si="102"/>
        <v>0</v>
      </c>
      <c r="J208" s="89">
        <f t="shared" si="102"/>
        <v>0</v>
      </c>
      <c r="K208" s="89">
        <f t="shared" si="102"/>
        <v>0</v>
      </c>
      <c r="L208" s="89">
        <f t="shared" si="102"/>
        <v>0</v>
      </c>
      <c r="M208" s="89">
        <f t="shared" si="102"/>
        <v>0</v>
      </c>
      <c r="N208" s="89"/>
      <c r="O208" s="55" t="str">
        <f>IF(ISBLANK(P208),"",MAX(O$5:O207)+1)</f>
        <v/>
      </c>
    </row>
    <row r="209" spans="2:16" s="83" customFormat="1">
      <c r="B209" s="71" t="str">
        <f>"Proceeds to "&amp;B201</f>
        <v>Proceeds to Common</v>
      </c>
      <c r="C209" s="71"/>
      <c r="D209" s="71"/>
      <c r="E209" s="71"/>
      <c r="F209" s="86" t="str">
        <f>F$5</f>
        <v>$</v>
      </c>
      <c r="G209" s="89">
        <f t="shared" ref="G209:M209" si="103">G210*G204</f>
        <v>0</v>
      </c>
      <c r="H209" s="89">
        <f t="shared" si="103"/>
        <v>0</v>
      </c>
      <c r="I209" s="89">
        <f t="shared" si="103"/>
        <v>0</v>
      </c>
      <c r="J209" s="89">
        <f t="shared" si="103"/>
        <v>0</v>
      </c>
      <c r="K209" s="89">
        <f t="shared" si="103"/>
        <v>0</v>
      </c>
      <c r="L209" s="89">
        <f t="shared" si="103"/>
        <v>0</v>
      </c>
      <c r="M209" s="89">
        <f t="shared" si="103"/>
        <v>0</v>
      </c>
      <c r="N209" s="89"/>
      <c r="O209" s="55" t="str">
        <f>IF(ISBLANK(P209),"",MAX(O$5:O208)+1)</f>
        <v/>
      </c>
    </row>
    <row r="210" spans="2:16">
      <c r="B210" s="71" t="s">
        <v>466</v>
      </c>
      <c r="C210" s="71"/>
      <c r="D210" s="71"/>
      <c r="E210" s="71"/>
      <c r="F210" s="86" t="str">
        <f>F$5</f>
        <v>$</v>
      </c>
      <c r="G210" s="110">
        <f>IFERROR(G208/G207,0)</f>
        <v>0</v>
      </c>
      <c r="H210" s="110">
        <f t="shared" ref="H210:M210" si="104">IFERROR(H208/H207,0)</f>
        <v>0</v>
      </c>
      <c r="I210" s="110">
        <f t="shared" si="104"/>
        <v>0</v>
      </c>
      <c r="J210" s="110">
        <f t="shared" si="104"/>
        <v>0</v>
      </c>
      <c r="K210" s="110">
        <f t="shared" si="104"/>
        <v>0</v>
      </c>
      <c r="L210" s="110">
        <f t="shared" si="104"/>
        <v>0</v>
      </c>
      <c r="M210" s="110">
        <f t="shared" si="104"/>
        <v>0</v>
      </c>
      <c r="N210" s="110"/>
      <c r="O210" s="55" t="str">
        <f>IF(ISBLANK(P210),"",MAX(O$5:O209)+1)</f>
        <v/>
      </c>
      <c r="P210" s="107"/>
    </row>
    <row r="211" spans="2:16">
      <c r="O211" s="55" t="str">
        <f>IF(ISBLANK(P211),"",MAX(O$5:O210)+1)</f>
        <v/>
      </c>
      <c r="P211" s="107"/>
    </row>
    <row r="212" spans="2:16">
      <c r="B212" s="71" t="s">
        <v>473</v>
      </c>
      <c r="C212" s="71"/>
      <c r="D212" s="71"/>
      <c r="E212" s="71"/>
      <c r="F212" s="86" t="str">
        <f>F5</f>
        <v>$</v>
      </c>
      <c r="G212" s="113">
        <f>G209+G198+G132+G176+G154</f>
        <v>0</v>
      </c>
      <c r="H212" s="113">
        <f t="shared" ref="H212:M212" si="105">H209+H198+H132+H176+H154</f>
        <v>0</v>
      </c>
      <c r="I212" s="113">
        <f t="shared" si="105"/>
        <v>0</v>
      </c>
      <c r="J212" s="113">
        <f t="shared" si="105"/>
        <v>0</v>
      </c>
      <c r="K212" s="113">
        <f t="shared" si="105"/>
        <v>0</v>
      </c>
      <c r="L212" s="113">
        <f t="shared" si="105"/>
        <v>0</v>
      </c>
      <c r="M212" s="113">
        <f t="shared" si="105"/>
        <v>0</v>
      </c>
      <c r="N212" s="89"/>
      <c r="O212" s="55">
        <f>IF(ISBLANK(P212),"",MAX(O$5:O211)+1)</f>
        <v>69</v>
      </c>
      <c r="P212" s="107" t="s">
        <v>474</v>
      </c>
    </row>
    <row r="213" spans="2:16" s="96" customFormat="1">
      <c r="B213" s="74" t="s">
        <v>475</v>
      </c>
      <c r="C213" s="74"/>
      <c r="D213" s="74"/>
      <c r="E213" s="74"/>
      <c r="F213" s="114" t="str">
        <f>F$5</f>
        <v>$</v>
      </c>
      <c r="G213" s="115">
        <f t="shared" ref="G213:M213" si="106">ROUND(G106-G212,1)</f>
        <v>0</v>
      </c>
      <c r="H213" s="115">
        <f t="shared" si="106"/>
        <v>0</v>
      </c>
      <c r="I213" s="115">
        <f t="shared" si="106"/>
        <v>0</v>
      </c>
      <c r="J213" s="115">
        <f t="shared" si="106"/>
        <v>0</v>
      </c>
      <c r="K213" s="115">
        <f t="shared" si="106"/>
        <v>0</v>
      </c>
      <c r="L213" s="115">
        <f t="shared" si="106"/>
        <v>0</v>
      </c>
      <c r="M213" s="115">
        <f t="shared" si="106"/>
        <v>0</v>
      </c>
      <c r="N213" s="115"/>
      <c r="O213" s="55">
        <f>IF(ISBLANK(P213),"",MAX(O$5:O212)+1)</f>
        <v>70</v>
      </c>
      <c r="P213" s="116" t="s">
        <v>476</v>
      </c>
    </row>
    <row r="214" spans="2:16">
      <c r="G214" s="89"/>
      <c r="H214" s="89"/>
      <c r="I214" s="111"/>
      <c r="J214" s="111"/>
      <c r="O214" s="55" t="str">
        <f>IF(ISBLANK(P214),"",MAX(O$5:O213)+1)</f>
        <v/>
      </c>
      <c r="P214" s="107"/>
    </row>
    <row r="215" spans="2:16">
      <c r="B215" s="74" t="s">
        <v>477</v>
      </c>
      <c r="C215" s="74"/>
      <c r="D215" s="74"/>
      <c r="E215" s="74"/>
      <c r="I215" s="89"/>
      <c r="O215" s="55" t="str">
        <f>IF(ISBLANK(P215),"",MAX(O$5:O214)+1)</f>
        <v/>
      </c>
      <c r="P215" s="107"/>
    </row>
    <row r="216" spans="2:16">
      <c r="B216" s="71" t="str">
        <f>B113</f>
        <v>Preferred, C</v>
      </c>
      <c r="C216" s="71"/>
      <c r="D216" s="71"/>
      <c r="E216" s="71"/>
      <c r="F216" s="86" t="str">
        <f t="shared" ref="F216:F221" si="107">F$5</f>
        <v>$</v>
      </c>
      <c r="G216" s="89">
        <f t="shared" ref="G216:M219" si="108">G$132*$G71+G$154*$H71+G$176*$I71+G$198*$J71+G$209*$K71</f>
        <v>0</v>
      </c>
      <c r="H216" s="89">
        <f t="shared" si="108"/>
        <v>0</v>
      </c>
      <c r="I216" s="89">
        <f t="shared" si="108"/>
        <v>0</v>
      </c>
      <c r="J216" s="89">
        <f t="shared" si="108"/>
        <v>0</v>
      </c>
      <c r="K216" s="89">
        <f t="shared" si="108"/>
        <v>0</v>
      </c>
      <c r="L216" s="89">
        <f t="shared" si="108"/>
        <v>0</v>
      </c>
      <c r="M216" s="89">
        <f t="shared" si="108"/>
        <v>0</v>
      </c>
      <c r="N216" s="89"/>
      <c r="O216" s="55" t="str">
        <f>IF(ISBLANK(P216),"",MAX(O$5:O215)+1)</f>
        <v/>
      </c>
      <c r="P216" s="107"/>
    </row>
    <row r="217" spans="2:16">
      <c r="B217" s="71" t="str">
        <f>B135</f>
        <v>Preferred, B</v>
      </c>
      <c r="C217" s="71"/>
      <c r="D217" s="71"/>
      <c r="E217" s="71"/>
      <c r="F217" s="86" t="str">
        <f t="shared" si="107"/>
        <v>$</v>
      </c>
      <c r="G217" s="89">
        <f t="shared" si="108"/>
        <v>0</v>
      </c>
      <c r="H217" s="89">
        <f t="shared" si="108"/>
        <v>0</v>
      </c>
      <c r="I217" s="89">
        <f t="shared" si="108"/>
        <v>0</v>
      </c>
      <c r="J217" s="89">
        <f t="shared" si="108"/>
        <v>0</v>
      </c>
      <c r="K217" s="89">
        <f t="shared" si="108"/>
        <v>0</v>
      </c>
      <c r="L217" s="89">
        <f t="shared" si="108"/>
        <v>0</v>
      </c>
      <c r="M217" s="89">
        <f t="shared" si="108"/>
        <v>0</v>
      </c>
      <c r="N217" s="89"/>
      <c r="O217" s="55" t="str">
        <f>IF(ISBLANK(P217),"",MAX(O$5:O216)+1)</f>
        <v/>
      </c>
      <c r="P217" s="107"/>
    </row>
    <row r="218" spans="2:16">
      <c r="B218" s="71" t="str">
        <f>B157</f>
        <v>Preferred, A</v>
      </c>
      <c r="C218" s="71"/>
      <c r="D218" s="71"/>
      <c r="E218" s="71"/>
      <c r="F218" s="86" t="str">
        <f t="shared" si="107"/>
        <v>$</v>
      </c>
      <c r="G218" s="89">
        <f t="shared" si="108"/>
        <v>0</v>
      </c>
      <c r="H218" s="89">
        <f t="shared" si="108"/>
        <v>0</v>
      </c>
      <c r="I218" s="89">
        <f t="shared" si="108"/>
        <v>0</v>
      </c>
      <c r="J218" s="89">
        <f t="shared" si="108"/>
        <v>0</v>
      </c>
      <c r="K218" s="89">
        <f t="shared" si="108"/>
        <v>0</v>
      </c>
      <c r="L218" s="89">
        <f t="shared" si="108"/>
        <v>0</v>
      </c>
      <c r="M218" s="89">
        <f t="shared" si="108"/>
        <v>0</v>
      </c>
      <c r="N218" s="89"/>
      <c r="O218" s="55" t="str">
        <f>IF(ISBLANK(P218),"",MAX(O$5:O217)+1)</f>
        <v/>
      </c>
      <c r="P218" s="107"/>
    </row>
    <row r="219" spans="2:16">
      <c r="B219" s="71" t="str">
        <f>B179</f>
        <v>Preferred, Seed</v>
      </c>
      <c r="C219" s="71"/>
      <c r="D219" s="71"/>
      <c r="E219" s="71"/>
      <c r="F219" s="86" t="str">
        <f t="shared" si="107"/>
        <v>$</v>
      </c>
      <c r="G219" s="89">
        <f t="shared" si="108"/>
        <v>0</v>
      </c>
      <c r="H219" s="89">
        <f t="shared" si="108"/>
        <v>0</v>
      </c>
      <c r="I219" s="89">
        <f t="shared" si="108"/>
        <v>0</v>
      </c>
      <c r="J219" s="89">
        <f t="shared" si="108"/>
        <v>0</v>
      </c>
      <c r="K219" s="89">
        <f t="shared" si="108"/>
        <v>0</v>
      </c>
      <c r="L219" s="89">
        <f t="shared" si="108"/>
        <v>0</v>
      </c>
      <c r="M219" s="89">
        <f t="shared" si="108"/>
        <v>0</v>
      </c>
      <c r="N219" s="89"/>
      <c r="O219" s="55" t="str">
        <f>IF(ISBLANK(P219),"",MAX(O$5:O218)+1)</f>
        <v/>
      </c>
      <c r="P219" s="107"/>
    </row>
    <row r="220" spans="2:16">
      <c r="B220" s="71" t="str">
        <f>B201&amp;" (including Options)"</f>
        <v>Common (including Options)</v>
      </c>
      <c r="C220" s="71"/>
      <c r="D220" s="71"/>
      <c r="E220" s="71"/>
      <c r="F220" s="86" t="str">
        <f t="shared" si="107"/>
        <v>$</v>
      </c>
      <c r="G220" s="89">
        <f t="shared" ref="G220:M220" si="109">G$132*$G75+G$154*$H75+G$176*$I75+G$198*$J75+G$209*($K75+$K76)</f>
        <v>0</v>
      </c>
      <c r="H220" s="89">
        <f t="shared" si="109"/>
        <v>0</v>
      </c>
      <c r="I220" s="89">
        <f t="shared" si="109"/>
        <v>0</v>
      </c>
      <c r="J220" s="89">
        <f t="shared" si="109"/>
        <v>0</v>
      </c>
      <c r="K220" s="89">
        <f t="shared" si="109"/>
        <v>0</v>
      </c>
      <c r="L220" s="89">
        <f t="shared" si="109"/>
        <v>0</v>
      </c>
      <c r="M220" s="89">
        <f t="shared" si="109"/>
        <v>0</v>
      </c>
      <c r="N220" s="89"/>
      <c r="O220" s="55" t="str">
        <f>IF(ISBLANK(P220),"",MAX(O$5:O219)+1)</f>
        <v/>
      </c>
      <c r="P220" s="107"/>
    </row>
    <row r="221" spans="2:16">
      <c r="B221" s="71" t="s">
        <v>3</v>
      </c>
      <c r="C221" s="71"/>
      <c r="D221" s="71"/>
      <c r="E221" s="71"/>
      <c r="F221" s="86" t="str">
        <f t="shared" si="107"/>
        <v>$</v>
      </c>
      <c r="G221" s="113">
        <f t="shared" ref="G221:M221" si="110">SUM(G216:G220)</f>
        <v>0</v>
      </c>
      <c r="H221" s="113">
        <f t="shared" si="110"/>
        <v>0</v>
      </c>
      <c r="I221" s="113">
        <f t="shared" si="110"/>
        <v>0</v>
      </c>
      <c r="J221" s="113">
        <f t="shared" si="110"/>
        <v>0</v>
      </c>
      <c r="K221" s="113">
        <f t="shared" si="110"/>
        <v>0</v>
      </c>
      <c r="L221" s="113">
        <f t="shared" si="110"/>
        <v>0</v>
      </c>
      <c r="M221" s="113">
        <f t="shared" si="110"/>
        <v>0</v>
      </c>
      <c r="N221" s="89"/>
      <c r="O221" s="55">
        <f>IF(ISBLANK(P221),"",MAX(O$5:O220)+1)</f>
        <v>71</v>
      </c>
      <c r="P221" s="107" t="s">
        <v>474</v>
      </c>
    </row>
    <row r="222" spans="2:16">
      <c r="B222" s="74" t="s">
        <v>478</v>
      </c>
      <c r="C222" s="74"/>
      <c r="D222" s="74"/>
      <c r="E222" s="74"/>
      <c r="F222" s="114" t="str">
        <f>F$5</f>
        <v>$</v>
      </c>
      <c r="G222" s="115">
        <f>G221-G212</f>
        <v>0</v>
      </c>
      <c r="H222" s="115">
        <f t="shared" ref="H222:M222" si="111">H221-H212</f>
        <v>0</v>
      </c>
      <c r="I222" s="115">
        <f t="shared" si="111"/>
        <v>0</v>
      </c>
      <c r="J222" s="115">
        <f t="shared" si="111"/>
        <v>0</v>
      </c>
      <c r="K222" s="115">
        <f t="shared" si="111"/>
        <v>0</v>
      </c>
      <c r="L222" s="115">
        <f t="shared" si="111"/>
        <v>0</v>
      </c>
      <c r="M222" s="115">
        <f t="shared" si="111"/>
        <v>0</v>
      </c>
      <c r="N222" s="115"/>
      <c r="O222" s="55">
        <f>IF(ISBLANK(P222),"",MAX(O$5:O221)+1)</f>
        <v>72</v>
      </c>
      <c r="P222" s="107" t="s">
        <v>479</v>
      </c>
    </row>
    <row r="223" spans="2:16">
      <c r="O223" s="55" t="str">
        <f>IF(ISBLANK(P223),"",MAX(O$5:O222)+1)</f>
        <v/>
      </c>
      <c r="P223" s="107"/>
    </row>
    <row r="224" spans="2:16">
      <c r="B224" s="59" t="s">
        <v>480</v>
      </c>
      <c r="C224" s="74"/>
      <c r="D224" s="74"/>
      <c r="E224" s="74"/>
      <c r="O224" s="55" t="str">
        <f>IF(ISBLANK(P224),"",MAX(O$5:O223)+1)</f>
        <v/>
      </c>
      <c r="P224" s="107"/>
    </row>
    <row r="225" spans="2:16">
      <c r="B225" s="111" t="str">
        <f>B216</f>
        <v>Preferred, C</v>
      </c>
      <c r="C225" s="241"/>
      <c r="D225" s="241"/>
      <c r="E225" s="241"/>
      <c r="F225" s="86" t="str">
        <f t="shared" ref="F225:F229" si="112">F$5</f>
        <v>$</v>
      </c>
      <c r="G225" s="117">
        <f t="shared" ref="G225:M225" si="113">IFERROR(G216/$G24,0)</f>
        <v>0</v>
      </c>
      <c r="H225" s="117">
        <f t="shared" si="113"/>
        <v>0</v>
      </c>
      <c r="I225" s="117">
        <f t="shared" si="113"/>
        <v>0</v>
      </c>
      <c r="J225" s="117">
        <f t="shared" si="113"/>
        <v>0</v>
      </c>
      <c r="K225" s="117">
        <f t="shared" si="113"/>
        <v>0</v>
      </c>
      <c r="L225" s="117">
        <f t="shared" si="113"/>
        <v>0</v>
      </c>
      <c r="M225" s="117">
        <f t="shared" si="113"/>
        <v>0</v>
      </c>
      <c r="N225" s="117"/>
      <c r="O225" s="55" t="str">
        <f>IF(ISBLANK(P225),"",MAX(O$5:O224)+1)</f>
        <v/>
      </c>
      <c r="P225" s="107"/>
    </row>
    <row r="226" spans="2:16">
      <c r="B226" s="111" t="str">
        <f>B217</f>
        <v>Preferred, B</v>
      </c>
      <c r="C226" s="241"/>
      <c r="D226" s="241"/>
      <c r="E226" s="241"/>
      <c r="F226" s="86" t="str">
        <f t="shared" si="112"/>
        <v>$</v>
      </c>
      <c r="G226" s="117">
        <f t="shared" ref="G226:M226" si="114">IFERROR(G217/$H24,0)</f>
        <v>0</v>
      </c>
      <c r="H226" s="117">
        <f t="shared" si="114"/>
        <v>0</v>
      </c>
      <c r="I226" s="117">
        <f t="shared" si="114"/>
        <v>0</v>
      </c>
      <c r="J226" s="117">
        <f t="shared" si="114"/>
        <v>0</v>
      </c>
      <c r="K226" s="117">
        <f t="shared" si="114"/>
        <v>0</v>
      </c>
      <c r="L226" s="117">
        <f t="shared" si="114"/>
        <v>0</v>
      </c>
      <c r="M226" s="117">
        <f t="shared" si="114"/>
        <v>0</v>
      </c>
      <c r="N226" s="117"/>
      <c r="O226" s="55" t="str">
        <f>IF(ISBLANK(P226),"",MAX(O$5:O225)+1)</f>
        <v/>
      </c>
      <c r="P226" s="107"/>
    </row>
    <row r="227" spans="2:16">
      <c r="B227" s="111" t="str">
        <f>B218</f>
        <v>Preferred, A</v>
      </c>
      <c r="C227" s="241"/>
      <c r="D227" s="241"/>
      <c r="E227" s="241"/>
      <c r="F227" s="86" t="str">
        <f t="shared" si="112"/>
        <v>$</v>
      </c>
      <c r="G227" s="117">
        <f t="shared" ref="G227:M227" si="115">IFERROR(G218/$I24,0)</f>
        <v>0</v>
      </c>
      <c r="H227" s="117">
        <f t="shared" si="115"/>
        <v>0</v>
      </c>
      <c r="I227" s="117">
        <f t="shared" si="115"/>
        <v>0</v>
      </c>
      <c r="J227" s="117">
        <f t="shared" si="115"/>
        <v>0</v>
      </c>
      <c r="K227" s="117">
        <f t="shared" si="115"/>
        <v>0</v>
      </c>
      <c r="L227" s="117">
        <f t="shared" si="115"/>
        <v>0</v>
      </c>
      <c r="M227" s="117">
        <f t="shared" si="115"/>
        <v>0</v>
      </c>
      <c r="N227" s="117"/>
      <c r="O227" s="55" t="str">
        <f>IF(ISBLANK(P227),"",MAX(O$5:O226)+1)</f>
        <v/>
      </c>
      <c r="P227" s="107"/>
    </row>
    <row r="228" spans="2:16">
      <c r="B228" s="111" t="str">
        <f>B219</f>
        <v>Preferred, Seed</v>
      </c>
      <c r="C228" s="241"/>
      <c r="D228" s="241"/>
      <c r="E228" s="241"/>
      <c r="F228" s="86" t="str">
        <f t="shared" si="112"/>
        <v>$</v>
      </c>
      <c r="G228" s="117">
        <f t="shared" ref="G228:M228" si="116">IFERROR(G219/$J24,0)</f>
        <v>0</v>
      </c>
      <c r="H228" s="117">
        <f t="shared" si="116"/>
        <v>0</v>
      </c>
      <c r="I228" s="117">
        <f t="shared" si="116"/>
        <v>0</v>
      </c>
      <c r="J228" s="117">
        <f t="shared" si="116"/>
        <v>0</v>
      </c>
      <c r="K228" s="117">
        <f t="shared" si="116"/>
        <v>0</v>
      </c>
      <c r="L228" s="117">
        <f t="shared" si="116"/>
        <v>0</v>
      </c>
      <c r="M228" s="117">
        <f t="shared" si="116"/>
        <v>0</v>
      </c>
      <c r="N228" s="117"/>
      <c r="O228" s="55" t="str">
        <f>IF(ISBLANK(P228),"",MAX(O$5:O227)+1)</f>
        <v/>
      </c>
      <c r="P228" s="107"/>
    </row>
    <row r="229" spans="2:16">
      <c r="B229" s="111" t="str">
        <f>B220</f>
        <v>Common (including Options)</v>
      </c>
      <c r="C229" s="241"/>
      <c r="D229" s="241"/>
      <c r="E229" s="241"/>
      <c r="F229" s="86" t="str">
        <f t="shared" si="112"/>
        <v>$</v>
      </c>
      <c r="G229" s="117">
        <f t="shared" ref="G229:M229" si="117">IFERROR(G220/($K24+$L24),0)</f>
        <v>0</v>
      </c>
      <c r="H229" s="117">
        <f t="shared" si="117"/>
        <v>0</v>
      </c>
      <c r="I229" s="117">
        <f t="shared" si="117"/>
        <v>0</v>
      </c>
      <c r="J229" s="117">
        <f t="shared" si="117"/>
        <v>0</v>
      </c>
      <c r="K229" s="117">
        <f t="shared" si="117"/>
        <v>0</v>
      </c>
      <c r="L229" s="117">
        <f t="shared" si="117"/>
        <v>0</v>
      </c>
      <c r="M229" s="117">
        <f t="shared" si="117"/>
        <v>0</v>
      </c>
      <c r="N229" s="117"/>
      <c r="O229" s="55" t="str">
        <f>IF(ISBLANK(P229),"",MAX(O$5:O228)+1)</f>
        <v/>
      </c>
      <c r="P229" s="107"/>
    </row>
    <row r="230" spans="2:16">
      <c r="O230" s="55" t="str">
        <f>IF(ISBLANK(P230),"",MAX(O$5:O229)+1)</f>
        <v/>
      </c>
      <c r="P230" s="107"/>
    </row>
    <row r="231" spans="2:16">
      <c r="B231" s="74" t="s">
        <v>481</v>
      </c>
      <c r="C231" s="74"/>
      <c r="D231" s="74"/>
      <c r="E231" s="74"/>
      <c r="G231" s="118"/>
      <c r="H231" s="118"/>
      <c r="I231" s="118"/>
      <c r="J231" s="118"/>
      <c r="K231" s="118"/>
      <c r="L231" s="118"/>
      <c r="M231" s="118"/>
      <c r="N231" s="118"/>
      <c r="O231" s="55" t="str">
        <f>IF(ISBLANK(P231),"",MAX(O$5:O230)+1)</f>
        <v/>
      </c>
      <c r="P231" s="107"/>
    </row>
    <row r="232" spans="2:16">
      <c r="B232" s="71" t="str">
        <f>B113</f>
        <v>Preferred, C</v>
      </c>
      <c r="C232" s="71"/>
      <c r="D232" s="71"/>
      <c r="E232" s="71"/>
      <c r="F232" s="86" t="str">
        <f t="shared" ref="F232:F237" si="118">F$5</f>
        <v>$</v>
      </c>
      <c r="G232" s="89">
        <f t="shared" ref="G232:M232" si="119">IF($G$46=$B$330,MIN(G114,$G61),IF($G$46=$B$329,IF(G124=0,0,MIN(G114,$G61)),IF(G122&gt;G117,0,MIN(G114,$G61))))</f>
        <v>0</v>
      </c>
      <c r="H232" s="89">
        <f t="shared" si="119"/>
        <v>0</v>
      </c>
      <c r="I232" s="89">
        <f t="shared" si="119"/>
        <v>0</v>
      </c>
      <c r="J232" s="89">
        <f t="shared" si="119"/>
        <v>0</v>
      </c>
      <c r="K232" s="89">
        <f t="shared" si="119"/>
        <v>0</v>
      </c>
      <c r="L232" s="89">
        <f t="shared" si="119"/>
        <v>0</v>
      </c>
      <c r="M232" s="89">
        <f t="shared" si="119"/>
        <v>0</v>
      </c>
      <c r="N232" s="89"/>
      <c r="O232" s="55">
        <f>IF(ISBLANK(P232),"",MAX(O$5:O231)+1)</f>
        <v>73</v>
      </c>
      <c r="P232" s="107" t="s">
        <v>482</v>
      </c>
    </row>
    <row r="233" spans="2:16">
      <c r="B233" s="71" t="str">
        <f>B135</f>
        <v>Preferred, B</v>
      </c>
      <c r="C233" s="71"/>
      <c r="D233" s="71"/>
      <c r="E233" s="71"/>
      <c r="F233" s="86" t="str">
        <f t="shared" si="118"/>
        <v>$</v>
      </c>
      <c r="G233" s="89">
        <f t="shared" ref="G233:M233" si="120">IF($G$46=$B$330,MIN(G136,$H61),IF($G$46=$B$329,IF(G146=0,0,MIN(G136,$H61)),IF(G144&gt;G139,0,MIN(G136,$H61))))</f>
        <v>0</v>
      </c>
      <c r="H233" s="89">
        <f t="shared" si="120"/>
        <v>0</v>
      </c>
      <c r="I233" s="89">
        <f t="shared" si="120"/>
        <v>0</v>
      </c>
      <c r="J233" s="89">
        <f t="shared" si="120"/>
        <v>0</v>
      </c>
      <c r="K233" s="89">
        <f t="shared" si="120"/>
        <v>0</v>
      </c>
      <c r="L233" s="89">
        <f t="shared" si="120"/>
        <v>0</v>
      </c>
      <c r="M233" s="89">
        <f t="shared" si="120"/>
        <v>0</v>
      </c>
      <c r="N233" s="89"/>
      <c r="O233" s="55" t="str">
        <f>IF(ISBLANK(P233),"",MAX(O$5:O232)+1)</f>
        <v/>
      </c>
      <c r="P233" s="107"/>
    </row>
    <row r="234" spans="2:16">
      <c r="B234" s="71" t="str">
        <f>B157</f>
        <v>Preferred, A</v>
      </c>
      <c r="C234" s="71"/>
      <c r="D234" s="71"/>
      <c r="E234" s="71"/>
      <c r="F234" s="86" t="str">
        <f t="shared" si="118"/>
        <v>$</v>
      </c>
      <c r="G234" s="89">
        <f t="shared" ref="G234:M234" si="121">IF($I$46=$B$330,MIN(G158,$I61),IF($I$46=$B$329,IF(G168=0,0,MIN(G158,$I61)),IF(G166&gt;G161,0,MIN(G158,$I61))))</f>
        <v>0</v>
      </c>
      <c r="H234" s="89">
        <f t="shared" si="121"/>
        <v>0</v>
      </c>
      <c r="I234" s="89">
        <f t="shared" si="121"/>
        <v>0</v>
      </c>
      <c r="J234" s="89">
        <f t="shared" si="121"/>
        <v>0</v>
      </c>
      <c r="K234" s="89">
        <f t="shared" si="121"/>
        <v>0</v>
      </c>
      <c r="L234" s="89">
        <f t="shared" si="121"/>
        <v>0</v>
      </c>
      <c r="M234" s="89">
        <f t="shared" si="121"/>
        <v>0</v>
      </c>
      <c r="N234" s="89"/>
      <c r="O234" s="55" t="str">
        <f>IF(ISBLANK(P234),"",MAX(O$5:O233)+1)</f>
        <v/>
      </c>
      <c r="P234" s="107"/>
    </row>
    <row r="235" spans="2:16">
      <c r="B235" s="71" t="str">
        <f>B179</f>
        <v>Preferred, Seed</v>
      </c>
      <c r="C235" s="71"/>
      <c r="D235" s="71"/>
      <c r="E235" s="71"/>
      <c r="F235" s="86" t="str">
        <f t="shared" si="118"/>
        <v>$</v>
      </c>
      <c r="G235" s="89">
        <f t="shared" ref="G235:M235" si="122">IF($J$46=$B$330,MIN(G180,$J61),IF($J$46=$B$329,IF(AND(G196=0,G188&gt;G183),0,MIN(G180,$J61)),IF(G188&gt;G183,0,MIN(G180,$J61))))</f>
        <v>0</v>
      </c>
      <c r="H235" s="89">
        <f t="shared" si="122"/>
        <v>0</v>
      </c>
      <c r="I235" s="89">
        <f t="shared" si="122"/>
        <v>0</v>
      </c>
      <c r="J235" s="89">
        <f t="shared" si="122"/>
        <v>0</v>
      </c>
      <c r="K235" s="89">
        <f t="shared" si="122"/>
        <v>0</v>
      </c>
      <c r="L235" s="89">
        <f t="shared" si="122"/>
        <v>0</v>
      </c>
      <c r="M235" s="89">
        <f t="shared" si="122"/>
        <v>0</v>
      </c>
      <c r="N235" s="89"/>
      <c r="O235" s="55" t="str">
        <f>IF(ISBLANK(P235),"",MAX(O$5:O234)+1)</f>
        <v/>
      </c>
      <c r="P235" s="58"/>
    </row>
    <row r="236" spans="2:16">
      <c r="B236" s="71" t="str">
        <f>B201&amp;" (including Options)"</f>
        <v>Common (including Options)</v>
      </c>
      <c r="C236" s="71"/>
      <c r="D236" s="71"/>
      <c r="E236" s="71"/>
      <c r="F236" s="86" t="str">
        <f t="shared" si="118"/>
        <v>$</v>
      </c>
      <c r="G236" s="89">
        <v>0</v>
      </c>
      <c r="H236" s="89">
        <v>0</v>
      </c>
      <c r="I236" s="89">
        <v>0</v>
      </c>
      <c r="J236" s="89">
        <v>0</v>
      </c>
      <c r="K236" s="89">
        <v>0</v>
      </c>
      <c r="L236" s="89">
        <v>0</v>
      </c>
      <c r="M236" s="89">
        <v>0</v>
      </c>
      <c r="N236" s="89"/>
      <c r="O236" s="55" t="str">
        <f>IF(ISBLANK(P236),"",MAX(O$5:O235)+1)</f>
        <v/>
      </c>
      <c r="P236" s="58"/>
    </row>
    <row r="237" spans="2:16">
      <c r="B237" s="71" t="s">
        <v>3</v>
      </c>
      <c r="C237" s="71"/>
      <c r="D237" s="71"/>
      <c r="E237" s="71"/>
      <c r="F237" s="86" t="str">
        <f t="shared" si="118"/>
        <v>$</v>
      </c>
      <c r="G237" s="113">
        <f t="shared" ref="G237:M237" si="123">SUM(G232:G236)</f>
        <v>0</v>
      </c>
      <c r="H237" s="113">
        <f t="shared" si="123"/>
        <v>0</v>
      </c>
      <c r="I237" s="113">
        <f t="shared" si="123"/>
        <v>0</v>
      </c>
      <c r="J237" s="113">
        <f t="shared" si="123"/>
        <v>0</v>
      </c>
      <c r="K237" s="113">
        <f t="shared" si="123"/>
        <v>0</v>
      </c>
      <c r="L237" s="113">
        <f t="shared" si="123"/>
        <v>0</v>
      </c>
      <c r="M237" s="113">
        <f t="shared" si="123"/>
        <v>0</v>
      </c>
      <c r="N237" s="89"/>
      <c r="O237" s="55" t="str">
        <f>IF(ISBLANK(P237),"",MAX(O$5:O236)+1)</f>
        <v/>
      </c>
      <c r="P237" s="56"/>
    </row>
    <row r="238" spans="2:16">
      <c r="N238" s="89"/>
      <c r="O238" s="55" t="str">
        <f>IF(ISBLANK(P238),"",MAX(O$5:O237)+1)</f>
        <v/>
      </c>
      <c r="P238" s="56"/>
    </row>
    <row r="239" spans="2:16">
      <c r="B239" s="122" t="s">
        <v>483</v>
      </c>
      <c r="C239" s="243"/>
      <c r="D239" s="243"/>
      <c r="E239" s="243"/>
      <c r="O239" s="55">
        <f>IF(ISBLANK(P239),"",MAX(O$5:O238)+1)</f>
        <v>74</v>
      </c>
      <c r="P239" s="56" t="s">
        <v>484</v>
      </c>
    </row>
    <row r="240" spans="2:16">
      <c r="B240" s="96"/>
      <c r="C240" s="238"/>
      <c r="D240" s="238"/>
      <c r="E240" s="238"/>
      <c r="O240" s="55">
        <f>IF(ISBLANK(P240),"",MAX(O$5:O239)+1)</f>
        <v>75</v>
      </c>
      <c r="P240" s="56" t="s">
        <v>485</v>
      </c>
    </row>
    <row r="241" spans="2:16">
      <c r="B241" s="89" t="str">
        <f t="shared" ref="B241:B248" si="124">B14</f>
        <v>Investor</v>
      </c>
      <c r="C241" s="244"/>
      <c r="D241" s="244"/>
      <c r="E241" s="244"/>
      <c r="F241" s="86" t="str">
        <f t="shared" ref="F241:F250" si="125">F$5</f>
        <v>$</v>
      </c>
      <c r="G241" s="109">
        <f t="shared" ref="G241:M248" si="126">G$225*$G14+$H14*G$226+$I14*G$227+$J14*G$228+($K14+$L14)*G$229+G94</f>
        <v>0</v>
      </c>
      <c r="H241" s="109">
        <f t="shared" si="126"/>
        <v>0</v>
      </c>
      <c r="I241" s="109">
        <f t="shared" si="126"/>
        <v>0</v>
      </c>
      <c r="J241" s="109">
        <f t="shared" si="126"/>
        <v>0</v>
      </c>
      <c r="K241" s="109">
        <f t="shared" si="126"/>
        <v>0</v>
      </c>
      <c r="L241" s="109">
        <f t="shared" si="126"/>
        <v>0</v>
      </c>
      <c r="M241" s="109">
        <f t="shared" si="126"/>
        <v>0</v>
      </c>
      <c r="N241" s="109"/>
      <c r="O241" s="55" t="str">
        <f>IF(ISBLANK(P241),"",MAX(O$5:O240)+1)</f>
        <v/>
      </c>
    </row>
    <row r="242" spans="2:16">
      <c r="B242" s="89" t="str">
        <f t="shared" si="124"/>
        <v>Investor</v>
      </c>
      <c r="C242" s="244"/>
      <c r="D242" s="244"/>
      <c r="E242" s="244"/>
      <c r="F242" s="86" t="str">
        <f t="shared" si="125"/>
        <v>$</v>
      </c>
      <c r="G242" s="109">
        <f t="shared" si="126"/>
        <v>0</v>
      </c>
      <c r="H242" s="109">
        <f t="shared" si="126"/>
        <v>0</v>
      </c>
      <c r="I242" s="109">
        <f t="shared" si="126"/>
        <v>0</v>
      </c>
      <c r="J242" s="109">
        <f t="shared" si="126"/>
        <v>0</v>
      </c>
      <c r="K242" s="109">
        <f t="shared" si="126"/>
        <v>0</v>
      </c>
      <c r="L242" s="109">
        <f t="shared" si="126"/>
        <v>0</v>
      </c>
      <c r="M242" s="109">
        <f t="shared" si="126"/>
        <v>0</v>
      </c>
      <c r="N242" s="109"/>
      <c r="O242" s="55" t="str">
        <f>IF(ISBLANK(P242),"",MAX(O$5:O241)+1)</f>
        <v/>
      </c>
    </row>
    <row r="243" spans="2:16">
      <c r="B243" s="89" t="str">
        <f t="shared" si="124"/>
        <v>Investor</v>
      </c>
      <c r="C243" s="244"/>
      <c r="D243" s="244"/>
      <c r="E243" s="244"/>
      <c r="F243" s="86" t="str">
        <f t="shared" si="125"/>
        <v>$</v>
      </c>
      <c r="G243" s="109">
        <f t="shared" si="126"/>
        <v>0</v>
      </c>
      <c r="H243" s="109">
        <f t="shared" si="126"/>
        <v>0</v>
      </c>
      <c r="I243" s="109">
        <f t="shared" si="126"/>
        <v>0</v>
      </c>
      <c r="J243" s="109">
        <f t="shared" si="126"/>
        <v>0</v>
      </c>
      <c r="K243" s="109">
        <f t="shared" si="126"/>
        <v>0</v>
      </c>
      <c r="L243" s="109">
        <f t="shared" si="126"/>
        <v>0</v>
      </c>
      <c r="M243" s="109">
        <f t="shared" si="126"/>
        <v>0</v>
      </c>
      <c r="N243" s="109"/>
      <c r="O243" s="55" t="str">
        <f>IF(ISBLANK(P243),"",MAX(O$5:O242)+1)</f>
        <v/>
      </c>
    </row>
    <row r="244" spans="2:16">
      <c r="B244" s="89" t="str">
        <f t="shared" si="124"/>
        <v>Investor</v>
      </c>
      <c r="C244" s="244"/>
      <c r="D244" s="244"/>
      <c r="E244" s="244"/>
      <c r="F244" s="86" t="str">
        <f t="shared" si="125"/>
        <v>$</v>
      </c>
      <c r="G244" s="109">
        <f t="shared" si="126"/>
        <v>0</v>
      </c>
      <c r="H244" s="109">
        <f t="shared" si="126"/>
        <v>0</v>
      </c>
      <c r="I244" s="109">
        <f t="shared" si="126"/>
        <v>0</v>
      </c>
      <c r="J244" s="109">
        <f t="shared" si="126"/>
        <v>0</v>
      </c>
      <c r="K244" s="109">
        <f t="shared" si="126"/>
        <v>0</v>
      </c>
      <c r="L244" s="109">
        <f t="shared" si="126"/>
        <v>0</v>
      </c>
      <c r="M244" s="109">
        <f t="shared" si="126"/>
        <v>0</v>
      </c>
      <c r="N244" s="109"/>
      <c r="O244" s="55" t="str">
        <f>IF(ISBLANK(P244),"",MAX(O$5:O243)+1)</f>
        <v/>
      </c>
    </row>
    <row r="245" spans="2:16">
      <c r="B245" s="89" t="str">
        <f t="shared" si="124"/>
        <v>Investor</v>
      </c>
      <c r="C245" s="244"/>
      <c r="D245" s="244"/>
      <c r="E245" s="244"/>
      <c r="F245" s="86" t="str">
        <f t="shared" si="125"/>
        <v>$</v>
      </c>
      <c r="G245" s="109">
        <f t="shared" si="126"/>
        <v>0</v>
      </c>
      <c r="H245" s="109">
        <f t="shared" si="126"/>
        <v>0</v>
      </c>
      <c r="I245" s="109">
        <f t="shared" si="126"/>
        <v>0</v>
      </c>
      <c r="J245" s="109">
        <f t="shared" si="126"/>
        <v>0</v>
      </c>
      <c r="K245" s="109">
        <f t="shared" si="126"/>
        <v>0</v>
      </c>
      <c r="L245" s="109">
        <f t="shared" si="126"/>
        <v>0</v>
      </c>
      <c r="M245" s="109">
        <f t="shared" si="126"/>
        <v>0</v>
      </c>
      <c r="N245" s="109"/>
      <c r="O245" s="55" t="str">
        <f>IF(ISBLANK(P245),"",MAX(O$5:O244)+1)</f>
        <v/>
      </c>
    </row>
    <row r="246" spans="2:16">
      <c r="B246" s="89" t="str">
        <f t="shared" si="124"/>
        <v>Investor</v>
      </c>
      <c r="C246" s="244"/>
      <c r="D246" s="244"/>
      <c r="E246" s="244"/>
      <c r="F246" s="86" t="str">
        <f t="shared" si="125"/>
        <v>$</v>
      </c>
      <c r="G246" s="109">
        <f t="shared" si="126"/>
        <v>0</v>
      </c>
      <c r="H246" s="109">
        <f t="shared" si="126"/>
        <v>0</v>
      </c>
      <c r="I246" s="109">
        <f t="shared" si="126"/>
        <v>0</v>
      </c>
      <c r="J246" s="109">
        <f t="shared" si="126"/>
        <v>0</v>
      </c>
      <c r="K246" s="109">
        <f t="shared" si="126"/>
        <v>0</v>
      </c>
      <c r="L246" s="109">
        <f t="shared" si="126"/>
        <v>0</v>
      </c>
      <c r="M246" s="109">
        <f t="shared" si="126"/>
        <v>0</v>
      </c>
      <c r="N246" s="109"/>
      <c r="O246" s="55" t="str">
        <f>IF(ISBLANK(P246),"",MAX(O$5:O245)+1)</f>
        <v/>
      </c>
    </row>
    <row r="247" spans="2:16">
      <c r="B247" s="89" t="str">
        <f t="shared" si="124"/>
        <v>Investor</v>
      </c>
      <c r="C247" s="244"/>
      <c r="D247" s="244"/>
      <c r="E247" s="244"/>
      <c r="F247" s="86" t="str">
        <f t="shared" si="125"/>
        <v>$</v>
      </c>
      <c r="G247" s="109">
        <f t="shared" si="126"/>
        <v>0</v>
      </c>
      <c r="H247" s="109">
        <f t="shared" si="126"/>
        <v>0</v>
      </c>
      <c r="I247" s="109">
        <f t="shared" si="126"/>
        <v>0</v>
      </c>
      <c r="J247" s="109">
        <f t="shared" si="126"/>
        <v>0</v>
      </c>
      <c r="K247" s="109">
        <f t="shared" si="126"/>
        <v>0</v>
      </c>
      <c r="L247" s="109">
        <f t="shared" si="126"/>
        <v>0</v>
      </c>
      <c r="M247" s="109">
        <f t="shared" si="126"/>
        <v>0</v>
      </c>
      <c r="N247" s="109"/>
      <c r="O247" s="55" t="str">
        <f>IF(ISBLANK(P247),"",MAX(O$5:O246)+1)</f>
        <v/>
      </c>
      <c r="P247" s="56"/>
    </row>
    <row r="248" spans="2:16">
      <c r="B248" s="89" t="str">
        <f t="shared" si="124"/>
        <v>Options Exercised</v>
      </c>
      <c r="C248" s="244"/>
      <c r="D248" s="244"/>
      <c r="E248" s="244"/>
      <c r="F248" s="86" t="str">
        <f t="shared" si="125"/>
        <v>$</v>
      </c>
      <c r="G248" s="109">
        <f t="shared" si="126"/>
        <v>0</v>
      </c>
      <c r="H248" s="109">
        <f t="shared" si="126"/>
        <v>0</v>
      </c>
      <c r="I248" s="109">
        <f t="shared" si="126"/>
        <v>0</v>
      </c>
      <c r="J248" s="109">
        <f t="shared" si="126"/>
        <v>0</v>
      </c>
      <c r="K248" s="109">
        <f t="shared" si="126"/>
        <v>0</v>
      </c>
      <c r="L248" s="109">
        <f t="shared" si="126"/>
        <v>0</v>
      </c>
      <c r="M248" s="109">
        <f t="shared" si="126"/>
        <v>0</v>
      </c>
      <c r="N248" s="109"/>
      <c r="O248" s="55" t="str">
        <f>IF(ISBLANK(P248),"",MAX(O$5:O247)+1)</f>
        <v/>
      </c>
      <c r="P248" s="56"/>
    </row>
    <row r="249" spans="2:16">
      <c r="B249" s="89" t="s">
        <v>3</v>
      </c>
      <c r="C249" s="244"/>
      <c r="D249" s="244"/>
      <c r="E249" s="244"/>
      <c r="F249" s="86" t="str">
        <f t="shared" si="125"/>
        <v>$</v>
      </c>
      <c r="G249" s="113">
        <f t="shared" ref="G249:M249" si="127">SUM(G241:G248)</f>
        <v>0</v>
      </c>
      <c r="H249" s="113">
        <f t="shared" si="127"/>
        <v>0</v>
      </c>
      <c r="I249" s="113">
        <f t="shared" si="127"/>
        <v>0</v>
      </c>
      <c r="J249" s="113">
        <f t="shared" si="127"/>
        <v>0</v>
      </c>
      <c r="K249" s="113">
        <f t="shared" si="127"/>
        <v>0</v>
      </c>
      <c r="L249" s="113">
        <f t="shared" si="127"/>
        <v>0</v>
      </c>
      <c r="M249" s="113">
        <f t="shared" si="127"/>
        <v>0</v>
      </c>
      <c r="N249" s="89"/>
      <c r="O249" s="55" t="str">
        <f>IF(ISBLANK(P249),"",MAX(O$5:O248)+1)</f>
        <v/>
      </c>
      <c r="P249" s="56"/>
    </row>
    <row r="250" spans="2:16">
      <c r="B250" s="115" t="s">
        <v>486</v>
      </c>
      <c r="C250" s="245"/>
      <c r="D250" s="245"/>
      <c r="E250" s="245"/>
      <c r="F250" s="114" t="str">
        <f t="shared" si="125"/>
        <v>$</v>
      </c>
      <c r="G250" s="89">
        <f t="shared" ref="G250:M250" si="128">G249-G212</f>
        <v>0</v>
      </c>
      <c r="H250" s="89">
        <f t="shared" si="128"/>
        <v>0</v>
      </c>
      <c r="I250" s="89">
        <f t="shared" si="128"/>
        <v>0</v>
      </c>
      <c r="J250" s="89">
        <f t="shared" si="128"/>
        <v>0</v>
      </c>
      <c r="K250" s="89">
        <f t="shared" si="128"/>
        <v>0</v>
      </c>
      <c r="L250" s="89">
        <f t="shared" si="128"/>
        <v>0</v>
      </c>
      <c r="M250" s="89">
        <f t="shared" si="128"/>
        <v>0</v>
      </c>
      <c r="N250" s="89"/>
      <c r="O250" s="55" t="str">
        <f>IF(ISBLANK(P250),"",MAX(O$5:O249)+1)</f>
        <v/>
      </c>
      <c r="P250" s="56"/>
    </row>
    <row r="251" spans="2:16">
      <c r="O251" s="55" t="str">
        <f>IF(ISBLANK(P251),"",MAX(O$5:O250)+1)</f>
        <v/>
      </c>
      <c r="P251" s="56"/>
    </row>
    <row r="252" spans="2:16">
      <c r="B252" s="122" t="s">
        <v>487</v>
      </c>
      <c r="C252" s="243"/>
      <c r="D252" s="243"/>
      <c r="E252" s="243"/>
      <c r="O252" s="55" t="str">
        <f>IF(ISBLANK(P252),"",MAX(O$5:O251)+1)</f>
        <v/>
      </c>
      <c r="P252" s="56"/>
    </row>
    <row r="253" spans="2:16">
      <c r="O253" s="55" t="str">
        <f>IF(ISBLANK(P253),"",MAX(O$5:O252)+1)</f>
        <v/>
      </c>
      <c r="P253" s="56"/>
    </row>
    <row r="254" spans="2:16">
      <c r="B254" s="89" t="str">
        <f t="shared" ref="B254:B259" si="129">B14</f>
        <v>Investor</v>
      </c>
      <c r="C254" s="244"/>
      <c r="D254" s="244"/>
      <c r="E254" s="244"/>
      <c r="F254" s="64" t="s">
        <v>22</v>
      </c>
      <c r="G254" s="123" t="str">
        <f t="shared" ref="G254:M261" si="130">IFERROR((G241-SUM($G28:$L28))/(SUM($G28:$L28)),"na")</f>
        <v>na</v>
      </c>
      <c r="H254" s="123" t="str">
        <f t="shared" si="130"/>
        <v>na</v>
      </c>
      <c r="I254" s="123" t="str">
        <f t="shared" si="130"/>
        <v>na</v>
      </c>
      <c r="J254" s="123" t="str">
        <f t="shared" si="130"/>
        <v>na</v>
      </c>
      <c r="K254" s="123" t="str">
        <f t="shared" si="130"/>
        <v>na</v>
      </c>
      <c r="L254" s="123" t="str">
        <f t="shared" si="130"/>
        <v>na</v>
      </c>
      <c r="M254" s="123" t="str">
        <f t="shared" si="130"/>
        <v>na</v>
      </c>
      <c r="N254" s="123"/>
      <c r="O254" s="55">
        <f>IF(ISBLANK(P254),"",MAX(O$5:O253)+1)</f>
        <v>76</v>
      </c>
      <c r="P254" s="56" t="s">
        <v>488</v>
      </c>
    </row>
    <row r="255" spans="2:16">
      <c r="B255" s="89" t="str">
        <f t="shared" si="129"/>
        <v>Investor</v>
      </c>
      <c r="C255" s="244"/>
      <c r="D255" s="244"/>
      <c r="E255" s="244"/>
      <c r="F255" s="64" t="s">
        <v>22</v>
      </c>
      <c r="G255" s="123" t="str">
        <f t="shared" si="130"/>
        <v>na</v>
      </c>
      <c r="H255" s="123" t="str">
        <f t="shared" si="130"/>
        <v>na</v>
      </c>
      <c r="I255" s="123" t="str">
        <f t="shared" si="130"/>
        <v>na</v>
      </c>
      <c r="J255" s="123" t="str">
        <f t="shared" si="130"/>
        <v>na</v>
      </c>
      <c r="K255" s="123" t="str">
        <f t="shared" si="130"/>
        <v>na</v>
      </c>
      <c r="L255" s="123" t="str">
        <f t="shared" si="130"/>
        <v>na</v>
      </c>
      <c r="M255" s="123" t="str">
        <f t="shared" si="130"/>
        <v>na</v>
      </c>
      <c r="N255" s="123"/>
      <c r="O255" s="55" t="str">
        <f>IF(ISBLANK(P255),"",MAX(O$5:O254)+1)</f>
        <v/>
      </c>
      <c r="P255" s="56"/>
    </row>
    <row r="256" spans="2:16">
      <c r="B256" s="89" t="str">
        <f t="shared" si="129"/>
        <v>Investor</v>
      </c>
      <c r="C256" s="244"/>
      <c r="D256" s="244"/>
      <c r="E256" s="244"/>
      <c r="F256" s="64" t="s">
        <v>22</v>
      </c>
      <c r="G256" s="123" t="str">
        <f t="shared" si="130"/>
        <v>na</v>
      </c>
      <c r="H256" s="123" t="str">
        <f t="shared" si="130"/>
        <v>na</v>
      </c>
      <c r="I256" s="123" t="str">
        <f t="shared" si="130"/>
        <v>na</v>
      </c>
      <c r="J256" s="123" t="str">
        <f t="shared" si="130"/>
        <v>na</v>
      </c>
      <c r="K256" s="123" t="str">
        <f t="shared" si="130"/>
        <v>na</v>
      </c>
      <c r="L256" s="123" t="str">
        <f t="shared" si="130"/>
        <v>na</v>
      </c>
      <c r="M256" s="123" t="str">
        <f t="shared" si="130"/>
        <v>na</v>
      </c>
      <c r="N256" s="123"/>
      <c r="O256" s="55" t="str">
        <f>IF(ISBLANK(P256),"",MAX(O$5:O255)+1)</f>
        <v/>
      </c>
      <c r="P256" s="56"/>
    </row>
    <row r="257" spans="2:16">
      <c r="B257" s="89" t="str">
        <f t="shared" si="129"/>
        <v>Investor</v>
      </c>
      <c r="C257" s="244"/>
      <c r="D257" s="244"/>
      <c r="E257" s="244"/>
      <c r="F257" s="64" t="s">
        <v>22</v>
      </c>
      <c r="G257" s="123" t="str">
        <f t="shared" si="130"/>
        <v>na</v>
      </c>
      <c r="H257" s="123" t="str">
        <f t="shared" si="130"/>
        <v>na</v>
      </c>
      <c r="I257" s="123" t="str">
        <f t="shared" si="130"/>
        <v>na</v>
      </c>
      <c r="J257" s="123" t="str">
        <f t="shared" si="130"/>
        <v>na</v>
      </c>
      <c r="K257" s="123" t="str">
        <f t="shared" si="130"/>
        <v>na</v>
      </c>
      <c r="L257" s="123" t="str">
        <f t="shared" si="130"/>
        <v>na</v>
      </c>
      <c r="M257" s="123" t="str">
        <f t="shared" si="130"/>
        <v>na</v>
      </c>
      <c r="N257" s="123"/>
      <c r="O257" s="55" t="str">
        <f>IF(ISBLANK(P257),"",MAX(O$5:O256)+1)</f>
        <v/>
      </c>
      <c r="P257" s="56"/>
    </row>
    <row r="258" spans="2:16">
      <c r="B258" s="89" t="str">
        <f t="shared" si="129"/>
        <v>Investor</v>
      </c>
      <c r="C258" s="244"/>
      <c r="D258" s="244"/>
      <c r="E258" s="244"/>
      <c r="F258" s="64" t="s">
        <v>22</v>
      </c>
      <c r="G258" s="123" t="str">
        <f t="shared" si="130"/>
        <v>na</v>
      </c>
      <c r="H258" s="123" t="str">
        <f t="shared" si="130"/>
        <v>na</v>
      </c>
      <c r="I258" s="123" t="str">
        <f t="shared" si="130"/>
        <v>na</v>
      </c>
      <c r="J258" s="123" t="str">
        <f t="shared" si="130"/>
        <v>na</v>
      </c>
      <c r="K258" s="123" t="str">
        <f t="shared" si="130"/>
        <v>na</v>
      </c>
      <c r="L258" s="123" t="str">
        <f t="shared" si="130"/>
        <v>na</v>
      </c>
      <c r="M258" s="123" t="str">
        <f t="shared" si="130"/>
        <v>na</v>
      </c>
      <c r="N258" s="123"/>
      <c r="O258" s="55" t="str">
        <f>IF(ISBLANK(P258),"",MAX(O$5:O257)+1)</f>
        <v/>
      </c>
      <c r="P258" s="56"/>
    </row>
    <row r="259" spans="2:16">
      <c r="B259" s="89" t="str">
        <f t="shared" si="129"/>
        <v>Investor</v>
      </c>
      <c r="C259" s="244"/>
      <c r="D259" s="244"/>
      <c r="E259" s="244"/>
      <c r="F259" s="64" t="s">
        <v>22</v>
      </c>
      <c r="G259" s="123" t="str">
        <f t="shared" si="130"/>
        <v>na</v>
      </c>
      <c r="H259" s="123" t="str">
        <f t="shared" si="130"/>
        <v>na</v>
      </c>
      <c r="I259" s="123" t="str">
        <f t="shared" si="130"/>
        <v>na</v>
      </c>
      <c r="J259" s="123" t="str">
        <f t="shared" si="130"/>
        <v>na</v>
      </c>
      <c r="K259" s="123" t="str">
        <f t="shared" si="130"/>
        <v>na</v>
      </c>
      <c r="L259" s="123" t="str">
        <f t="shared" si="130"/>
        <v>na</v>
      </c>
      <c r="M259" s="123" t="str">
        <f t="shared" si="130"/>
        <v>na</v>
      </c>
      <c r="N259" s="123"/>
      <c r="O259" s="55" t="str">
        <f>IF(ISBLANK(P259),"",MAX(O$5:O258)+1)</f>
        <v/>
      </c>
      <c r="P259" s="56"/>
    </row>
    <row r="260" spans="2:16">
      <c r="B260" s="89" t="str">
        <f>B$20</f>
        <v>Investor</v>
      </c>
      <c r="C260" s="244"/>
      <c r="D260" s="244"/>
      <c r="E260" s="244"/>
      <c r="F260" s="64" t="s">
        <v>22</v>
      </c>
      <c r="G260" s="123" t="str">
        <f t="shared" si="130"/>
        <v>na</v>
      </c>
      <c r="H260" s="123" t="str">
        <f t="shared" si="130"/>
        <v>na</v>
      </c>
      <c r="I260" s="123" t="str">
        <f t="shared" si="130"/>
        <v>na</v>
      </c>
      <c r="J260" s="123" t="str">
        <f t="shared" si="130"/>
        <v>na</v>
      </c>
      <c r="K260" s="123" t="str">
        <f t="shared" si="130"/>
        <v>na</v>
      </c>
      <c r="L260" s="123" t="str">
        <f t="shared" si="130"/>
        <v>na</v>
      </c>
      <c r="M260" s="123" t="str">
        <f t="shared" si="130"/>
        <v>na</v>
      </c>
      <c r="N260" s="123"/>
      <c r="O260" s="55" t="str">
        <f>IF(ISBLANK(P260),"",MAX(O$5:O259)+1)</f>
        <v/>
      </c>
      <c r="P260" s="56"/>
    </row>
    <row r="261" spans="2:16">
      <c r="B261" s="89" t="str">
        <f>B$21</f>
        <v>Options Exercised</v>
      </c>
      <c r="C261" s="244"/>
      <c r="D261" s="244"/>
      <c r="E261" s="244"/>
      <c r="F261" s="64" t="s">
        <v>22</v>
      </c>
      <c r="G261" s="123" t="str">
        <f t="shared" si="130"/>
        <v>na</v>
      </c>
      <c r="H261" s="123" t="str">
        <f t="shared" si="130"/>
        <v>na</v>
      </c>
      <c r="I261" s="123" t="str">
        <f t="shared" si="130"/>
        <v>na</v>
      </c>
      <c r="J261" s="123" t="str">
        <f t="shared" si="130"/>
        <v>na</v>
      </c>
      <c r="K261" s="123" t="str">
        <f t="shared" si="130"/>
        <v>na</v>
      </c>
      <c r="L261" s="123" t="str">
        <f t="shared" si="130"/>
        <v>na</v>
      </c>
      <c r="M261" s="123" t="str">
        <f t="shared" si="130"/>
        <v>na</v>
      </c>
      <c r="N261" s="123"/>
      <c r="O261" s="55" t="str">
        <f>IF(ISBLANK(P261),"",MAX(O$5:O260)+1)</f>
        <v/>
      </c>
      <c r="P261" s="56"/>
    </row>
    <row r="262" spans="2:16">
      <c r="B262" s="89" t="s">
        <v>3</v>
      </c>
      <c r="C262" s="244"/>
      <c r="D262" s="244"/>
      <c r="E262" s="244"/>
      <c r="F262" s="64" t="s">
        <v>22</v>
      </c>
      <c r="G262" s="98">
        <f t="shared" ref="G262:M262" si="131">IFERROR((G249-$M39)/$M39,0)</f>
        <v>0</v>
      </c>
      <c r="H262" s="98">
        <f t="shared" si="131"/>
        <v>0</v>
      </c>
      <c r="I262" s="98">
        <f t="shared" si="131"/>
        <v>0</v>
      </c>
      <c r="J262" s="98">
        <f t="shared" si="131"/>
        <v>0</v>
      </c>
      <c r="K262" s="98">
        <f t="shared" si="131"/>
        <v>0</v>
      </c>
      <c r="L262" s="98">
        <f t="shared" si="131"/>
        <v>0</v>
      </c>
      <c r="M262" s="98">
        <f t="shared" si="131"/>
        <v>0</v>
      </c>
      <c r="N262" s="93"/>
      <c r="O262" s="55" t="str">
        <f>IF(ISBLANK(P262),"",MAX(O$5:O261)+1)</f>
        <v/>
      </c>
    </row>
    <row r="263" spans="2:16">
      <c r="O263" s="55" t="str">
        <f>IF(ISBLANK(P263),"",MAX(O$5:O262)+1)</f>
        <v/>
      </c>
    </row>
    <row r="264" spans="2:16">
      <c r="O264" s="55" t="str">
        <f>IF(ISBLANK(P264),"",MAX(O$5:O263)+1)</f>
        <v/>
      </c>
    </row>
    <row r="265" spans="2:16">
      <c r="O265" s="55" t="str">
        <f>IF(ISBLANK(P265),"",MAX(O$5:O264)+1)</f>
        <v/>
      </c>
    </row>
    <row r="266" spans="2:16">
      <c r="O266" s="55">
        <f>IF(ISBLANK(P266),"",MAX(O$5:O265)+1)</f>
        <v>77</v>
      </c>
      <c r="P266" s="56" t="s">
        <v>489</v>
      </c>
    </row>
    <row r="267" spans="2:16">
      <c r="O267" s="55" t="str">
        <f>IF(ISBLANK(P267),"",MAX(O$5:O266)+1)</f>
        <v/>
      </c>
    </row>
    <row r="268" spans="2:16">
      <c r="O268" s="55" t="str">
        <f>IF(ISBLANK(P268),"",MAX(O$5:O267)+1)</f>
        <v/>
      </c>
    </row>
    <row r="269" spans="2:16" s="83" customFormat="1">
      <c r="C269" s="246"/>
      <c r="D269" s="246"/>
      <c r="E269" s="246"/>
      <c r="F269" s="64"/>
      <c r="G269" s="58"/>
      <c r="H269" s="58"/>
      <c r="I269" s="58"/>
      <c r="J269" s="58"/>
      <c r="K269" s="58"/>
      <c r="L269" s="58"/>
      <c r="M269" s="58"/>
      <c r="N269" s="58"/>
      <c r="O269" s="55" t="str">
        <f>IF(ISBLANK(P269),"",MAX(O$5:O268)+1)</f>
        <v/>
      </c>
    </row>
    <row r="270" spans="2:16" s="83" customFormat="1">
      <c r="C270" s="246"/>
      <c r="D270" s="246"/>
      <c r="E270" s="246"/>
      <c r="F270" s="64"/>
      <c r="G270" s="58"/>
      <c r="H270" s="58"/>
      <c r="I270" s="58"/>
      <c r="J270" s="58"/>
      <c r="K270" s="58"/>
      <c r="L270" s="58"/>
      <c r="M270" s="58"/>
      <c r="N270" s="58"/>
      <c r="O270" s="55" t="str">
        <f>IF(ISBLANK(P270),"",MAX(O$5:O269)+1)</f>
        <v/>
      </c>
    </row>
    <row r="271" spans="2:16" s="83" customFormat="1">
      <c r="C271" s="246"/>
      <c r="D271" s="246"/>
      <c r="E271" s="246"/>
      <c r="F271" s="64"/>
      <c r="G271" s="58"/>
      <c r="H271" s="58"/>
      <c r="I271" s="58"/>
      <c r="J271" s="58"/>
      <c r="K271" s="58"/>
      <c r="L271" s="58"/>
      <c r="M271" s="58"/>
      <c r="N271" s="58"/>
      <c r="O271" s="55" t="str">
        <f>IF(ISBLANK(P271),"",MAX(O$5:O270)+1)</f>
        <v/>
      </c>
    </row>
    <row r="272" spans="2:16" s="83" customFormat="1">
      <c r="C272" s="246"/>
      <c r="D272" s="246"/>
      <c r="E272" s="246"/>
      <c r="F272" s="64"/>
      <c r="G272" s="58"/>
      <c r="H272" s="58"/>
      <c r="I272" s="58"/>
      <c r="J272" s="58"/>
      <c r="K272" s="58"/>
      <c r="L272" s="58"/>
      <c r="M272" s="58"/>
      <c r="N272" s="58"/>
      <c r="O272" s="55" t="str">
        <f>IF(ISBLANK(P272),"",MAX(O$5:O271)+1)</f>
        <v/>
      </c>
    </row>
    <row r="273" spans="1:29" s="83" customFormat="1">
      <c r="C273" s="246"/>
      <c r="D273" s="246"/>
      <c r="E273" s="246"/>
      <c r="F273" s="64"/>
      <c r="G273" s="58"/>
      <c r="H273" s="58"/>
      <c r="I273" s="58"/>
      <c r="J273" s="58"/>
      <c r="K273" s="58"/>
      <c r="L273" s="58"/>
      <c r="M273" s="58"/>
      <c r="N273" s="58"/>
      <c r="O273" s="55" t="str">
        <f>IF(ISBLANK(P273),"",MAX(O$5:O272)+1)</f>
        <v/>
      </c>
    </row>
    <row r="274" spans="1:29" s="83" customFormat="1">
      <c r="C274" s="246"/>
      <c r="D274" s="246"/>
      <c r="E274" s="246"/>
      <c r="F274" s="64"/>
      <c r="G274" s="58"/>
      <c r="H274" s="58"/>
      <c r="I274" s="58"/>
      <c r="J274" s="58"/>
      <c r="K274" s="58"/>
      <c r="L274" s="58"/>
      <c r="M274" s="58"/>
      <c r="N274" s="58"/>
      <c r="O274" s="55" t="str">
        <f>IF(ISBLANK(P274),"",MAX(O$5:O273)+1)</f>
        <v/>
      </c>
    </row>
    <row r="275" spans="1:29" s="83" customFormat="1">
      <c r="C275" s="246"/>
      <c r="D275" s="246"/>
      <c r="E275" s="246"/>
      <c r="F275" s="64"/>
      <c r="G275" s="58"/>
      <c r="H275" s="58"/>
      <c r="I275" s="58"/>
      <c r="J275" s="58"/>
      <c r="K275" s="58"/>
      <c r="L275" s="58"/>
      <c r="M275" s="58"/>
      <c r="N275" s="58"/>
      <c r="O275" s="55" t="str">
        <f>IF(ISBLANK(P275),"",MAX(O$5:O274)+1)</f>
        <v/>
      </c>
    </row>
    <row r="276" spans="1:29" s="83" customFormat="1">
      <c r="C276" s="246"/>
      <c r="D276" s="246"/>
      <c r="E276" s="246"/>
      <c r="F276" s="64"/>
      <c r="G276" s="58"/>
      <c r="H276" s="58"/>
      <c r="I276" s="58"/>
      <c r="J276" s="58"/>
      <c r="K276" s="58"/>
      <c r="L276" s="58"/>
      <c r="M276" s="58"/>
      <c r="N276" s="58"/>
      <c r="O276" s="55" t="str">
        <f>IF(ISBLANK(P276),"",MAX(O$5:O275)+1)</f>
        <v/>
      </c>
    </row>
    <row r="277" spans="1:29" s="83" customFormat="1">
      <c r="C277" s="246"/>
      <c r="D277" s="246"/>
      <c r="E277" s="246"/>
      <c r="F277" s="64"/>
      <c r="G277" s="58"/>
      <c r="H277" s="58"/>
      <c r="I277" s="58"/>
      <c r="J277" s="58"/>
      <c r="K277" s="58"/>
      <c r="L277" s="58"/>
      <c r="M277" s="58"/>
      <c r="N277" s="58"/>
      <c r="O277" s="55" t="str">
        <f>IF(ISBLANK(P277),"",MAX(O$5:O276)+1)</f>
        <v/>
      </c>
    </row>
    <row r="278" spans="1:29" s="83" customFormat="1">
      <c r="C278" s="246"/>
      <c r="D278" s="246"/>
      <c r="E278" s="246"/>
      <c r="F278" s="64"/>
      <c r="G278" s="58"/>
      <c r="H278" s="58"/>
      <c r="I278" s="58"/>
      <c r="J278" s="58"/>
      <c r="K278" s="58"/>
      <c r="L278" s="58"/>
      <c r="M278" s="58"/>
      <c r="N278" s="58"/>
      <c r="O278" s="55" t="str">
        <f>IF(ISBLANK(P278),"",MAX(O$5:O277)+1)</f>
        <v/>
      </c>
    </row>
    <row r="279" spans="1:29" s="83" customFormat="1">
      <c r="C279" s="246"/>
      <c r="D279" s="246"/>
      <c r="E279" s="246"/>
      <c r="F279" s="64"/>
      <c r="G279" s="58"/>
      <c r="H279" s="58"/>
      <c r="I279" s="58"/>
      <c r="J279" s="58"/>
      <c r="K279" s="58"/>
      <c r="L279" s="58"/>
      <c r="M279" s="58"/>
      <c r="N279" s="58"/>
      <c r="O279" s="55" t="str">
        <f>IF(ISBLANK(P279),"",MAX(O$5:O278)+1)</f>
        <v/>
      </c>
    </row>
    <row r="280" spans="1:29" s="83" customFormat="1">
      <c r="C280" s="246"/>
      <c r="D280" s="246"/>
      <c r="E280" s="246"/>
      <c r="F280" s="64"/>
      <c r="G280" s="58"/>
      <c r="H280" s="58"/>
      <c r="I280" s="58"/>
      <c r="J280" s="58"/>
      <c r="K280" s="58"/>
      <c r="L280" s="58"/>
      <c r="M280" s="58"/>
      <c r="N280" s="58"/>
      <c r="O280" s="55" t="str">
        <f>IF(ISBLANK(P280),"",MAX(O$5:O279)+1)</f>
        <v/>
      </c>
    </row>
    <row r="281" spans="1:29" s="83" customFormat="1">
      <c r="C281" s="246"/>
      <c r="D281" s="246"/>
      <c r="E281" s="246"/>
      <c r="F281" s="64"/>
      <c r="G281" s="58"/>
      <c r="H281" s="58"/>
      <c r="I281" s="58"/>
      <c r="J281" s="58"/>
      <c r="K281" s="58"/>
      <c r="L281" s="58"/>
      <c r="M281" s="58"/>
      <c r="N281" s="58"/>
      <c r="O281" s="55" t="str">
        <f>IF(ISBLANK(P281),"",MAX(O$5:O280)+1)</f>
        <v/>
      </c>
    </row>
    <row r="282" spans="1:29" s="83" customFormat="1">
      <c r="C282" s="246"/>
      <c r="D282" s="246"/>
      <c r="E282" s="246"/>
      <c r="F282" s="64"/>
      <c r="G282" s="58"/>
      <c r="H282" s="58"/>
      <c r="I282" s="58"/>
      <c r="J282" s="58"/>
      <c r="K282" s="58"/>
      <c r="L282" s="58"/>
      <c r="M282" s="58"/>
      <c r="N282" s="58"/>
      <c r="O282" s="55" t="str">
        <f>IF(ISBLANK(P282),"",MAX(O$5:O281)+1)</f>
        <v/>
      </c>
    </row>
    <row r="283" spans="1:29" s="83" customFormat="1">
      <c r="C283" s="246"/>
      <c r="D283" s="246"/>
      <c r="E283" s="246"/>
      <c r="F283" s="64"/>
      <c r="G283" s="58"/>
      <c r="H283" s="58"/>
      <c r="I283" s="58"/>
      <c r="J283" s="58"/>
      <c r="K283" s="58"/>
      <c r="L283" s="58"/>
      <c r="M283" s="58"/>
      <c r="N283" s="58"/>
      <c r="O283" s="55" t="str">
        <f>IF(ISBLANK(P283),"",MAX(O$5:O282)+1)</f>
        <v/>
      </c>
    </row>
    <row r="284" spans="1:29" s="83" customFormat="1">
      <c r="C284" s="246"/>
      <c r="D284" s="246"/>
      <c r="E284" s="246"/>
      <c r="F284" s="64"/>
      <c r="G284" s="58"/>
      <c r="H284" s="58"/>
      <c r="I284" s="58"/>
      <c r="J284" s="58"/>
      <c r="K284" s="58"/>
      <c r="L284" s="58"/>
      <c r="M284" s="58"/>
      <c r="N284" s="58"/>
      <c r="O284" s="55" t="str">
        <f>IF(ISBLANK(P284),"",MAX(O$5:O283)+1)</f>
        <v/>
      </c>
    </row>
    <row r="285" spans="1:29" s="83" customFormat="1">
      <c r="A285" s="58"/>
      <c r="B285" s="58"/>
      <c r="C285" s="240"/>
      <c r="D285" s="240"/>
      <c r="E285" s="240"/>
      <c r="F285" s="64"/>
      <c r="G285" s="58"/>
      <c r="H285" s="58"/>
      <c r="I285" s="58"/>
      <c r="J285" s="58"/>
      <c r="K285" s="58"/>
      <c r="L285" s="58"/>
      <c r="M285" s="58"/>
      <c r="N285" s="58"/>
      <c r="O285" s="55" t="str">
        <f>IF(ISBLANK(P285),"",MAX(O$5:O284)+1)</f>
        <v/>
      </c>
      <c r="Q285" s="58"/>
      <c r="R285" s="58"/>
      <c r="S285" s="58"/>
      <c r="T285" s="58"/>
      <c r="U285" s="58"/>
      <c r="V285" s="58"/>
      <c r="W285" s="58"/>
      <c r="X285" s="58"/>
      <c r="Y285" s="58"/>
      <c r="Z285" s="58"/>
      <c r="AA285" s="58"/>
      <c r="AB285" s="58"/>
      <c r="AC285" s="58"/>
    </row>
    <row r="286" spans="1:29" s="83" customFormat="1">
      <c r="A286" s="58"/>
      <c r="B286" s="58"/>
      <c r="C286" s="240"/>
      <c r="D286" s="240"/>
      <c r="E286" s="240"/>
      <c r="F286" s="64"/>
      <c r="G286" s="58"/>
      <c r="H286" s="58"/>
      <c r="I286" s="58"/>
      <c r="J286" s="58"/>
      <c r="K286" s="58"/>
      <c r="L286" s="58"/>
      <c r="M286" s="58"/>
      <c r="N286" s="58"/>
      <c r="O286" s="55" t="str">
        <f>IF(ISBLANK(P286),"",MAX(O$5:O285)+1)</f>
        <v/>
      </c>
      <c r="Q286" s="58"/>
      <c r="R286" s="58"/>
      <c r="S286" s="58"/>
      <c r="T286" s="58"/>
      <c r="U286" s="58"/>
      <c r="V286" s="58"/>
      <c r="W286" s="58"/>
      <c r="X286" s="58"/>
      <c r="Y286" s="58"/>
      <c r="Z286" s="58"/>
      <c r="AA286" s="58"/>
      <c r="AB286" s="58"/>
      <c r="AC286" s="58"/>
    </row>
    <row r="287" spans="1:29" s="83" customFormat="1">
      <c r="A287" s="58"/>
      <c r="B287" s="58"/>
      <c r="C287" s="240"/>
      <c r="D287" s="240"/>
      <c r="E287" s="240"/>
      <c r="F287" s="64"/>
      <c r="G287" s="58"/>
      <c r="H287" s="58"/>
      <c r="I287" s="58"/>
      <c r="J287" s="58"/>
      <c r="K287" s="58"/>
      <c r="L287" s="58"/>
      <c r="M287" s="58"/>
      <c r="N287" s="58"/>
      <c r="O287" s="55" t="str">
        <f>IF(ISBLANK(P287),"",MAX(O$5:O286)+1)</f>
        <v/>
      </c>
      <c r="Q287" s="58"/>
      <c r="R287" s="58"/>
      <c r="S287" s="58"/>
      <c r="T287" s="58"/>
      <c r="U287" s="58"/>
      <c r="V287" s="58"/>
      <c r="W287" s="58"/>
      <c r="X287" s="58"/>
      <c r="Y287" s="58"/>
      <c r="Z287" s="58"/>
      <c r="AA287" s="58"/>
      <c r="AB287" s="58"/>
      <c r="AC287" s="58"/>
    </row>
    <row r="288" spans="1:29" s="83" customFormat="1">
      <c r="A288" s="58"/>
      <c r="B288" s="58"/>
      <c r="C288" s="240"/>
      <c r="D288" s="240"/>
      <c r="E288" s="240"/>
      <c r="F288" s="64"/>
      <c r="G288" s="58"/>
      <c r="H288" s="58"/>
      <c r="I288" s="58"/>
      <c r="J288" s="58"/>
      <c r="K288" s="58"/>
      <c r="L288" s="58"/>
      <c r="M288" s="58"/>
      <c r="N288" s="58"/>
      <c r="O288" s="55" t="str">
        <f>IF(ISBLANK(P288),"",MAX(O$5:O287)+1)</f>
        <v/>
      </c>
      <c r="Q288" s="58"/>
      <c r="R288" s="58"/>
      <c r="S288" s="58"/>
      <c r="T288" s="58"/>
      <c r="U288" s="58"/>
      <c r="V288" s="58"/>
      <c r="W288" s="58"/>
      <c r="X288" s="58"/>
      <c r="Y288" s="58"/>
      <c r="Z288" s="58"/>
      <c r="AA288" s="58"/>
      <c r="AB288" s="58"/>
      <c r="AC288" s="58"/>
    </row>
    <row r="289" spans="1:29" s="83" customFormat="1">
      <c r="A289" s="58"/>
      <c r="B289" s="58"/>
      <c r="C289" s="240"/>
      <c r="D289" s="240"/>
      <c r="E289" s="240"/>
      <c r="F289" s="64"/>
      <c r="G289" s="58"/>
      <c r="H289" s="58"/>
      <c r="I289" s="58"/>
      <c r="J289" s="58"/>
      <c r="K289" s="58"/>
      <c r="L289" s="58"/>
      <c r="M289" s="58"/>
      <c r="N289" s="58"/>
      <c r="O289" s="55" t="str">
        <f>IF(ISBLANK(P289),"",MAX(O$5:O288)+1)</f>
        <v/>
      </c>
      <c r="Q289" s="58"/>
      <c r="R289" s="58"/>
      <c r="S289" s="58"/>
      <c r="T289" s="58"/>
      <c r="U289" s="58"/>
      <c r="V289" s="58"/>
      <c r="W289" s="58"/>
      <c r="X289" s="58"/>
      <c r="Y289" s="58"/>
      <c r="Z289" s="58"/>
      <c r="AA289" s="58"/>
      <c r="AB289" s="58"/>
      <c r="AC289" s="58"/>
    </row>
    <row r="290" spans="1:29" s="83" customFormat="1">
      <c r="A290" s="58"/>
      <c r="B290" s="58"/>
      <c r="C290" s="240"/>
      <c r="D290" s="240"/>
      <c r="E290" s="240"/>
      <c r="F290" s="64"/>
      <c r="G290" s="58"/>
      <c r="H290" s="58"/>
      <c r="I290" s="58"/>
      <c r="J290" s="58"/>
      <c r="K290" s="58"/>
      <c r="L290" s="58"/>
      <c r="M290" s="58"/>
      <c r="N290" s="58"/>
      <c r="O290" s="55" t="str">
        <f>IF(ISBLANK(P290),"",MAX(O$5:O289)+1)</f>
        <v/>
      </c>
      <c r="Q290" s="58"/>
      <c r="R290" s="58"/>
      <c r="S290" s="58"/>
      <c r="T290" s="58"/>
      <c r="U290" s="58"/>
      <c r="V290" s="58"/>
      <c r="W290" s="58"/>
      <c r="X290" s="58"/>
      <c r="Y290" s="58"/>
      <c r="Z290" s="58"/>
      <c r="AA290" s="58"/>
      <c r="AB290" s="58"/>
      <c r="AC290" s="58"/>
    </row>
    <row r="291" spans="1:29" s="83" customFormat="1">
      <c r="A291" s="58"/>
      <c r="B291" s="58"/>
      <c r="C291" s="240"/>
      <c r="D291" s="240"/>
      <c r="E291" s="240"/>
      <c r="F291" s="64"/>
      <c r="G291" s="58"/>
      <c r="H291" s="58"/>
      <c r="I291" s="58"/>
      <c r="J291" s="58"/>
      <c r="K291" s="58"/>
      <c r="L291" s="58"/>
      <c r="M291" s="58"/>
      <c r="N291" s="58"/>
      <c r="O291" s="55" t="str">
        <f>IF(ISBLANK(P291),"",MAX(O$5:O290)+1)</f>
        <v/>
      </c>
      <c r="Q291" s="58"/>
      <c r="R291" s="58"/>
      <c r="S291" s="58"/>
      <c r="T291" s="58"/>
      <c r="U291" s="58"/>
      <c r="V291" s="58"/>
      <c r="W291" s="58"/>
      <c r="X291" s="58"/>
      <c r="Y291" s="58"/>
      <c r="Z291" s="58"/>
      <c r="AA291" s="58"/>
      <c r="AB291" s="58"/>
      <c r="AC291" s="58"/>
    </row>
    <row r="292" spans="1:29" s="83" customFormat="1">
      <c r="A292" s="58"/>
      <c r="B292" s="58"/>
      <c r="C292" s="240"/>
      <c r="D292" s="240"/>
      <c r="E292" s="240"/>
      <c r="F292" s="64"/>
      <c r="G292" s="58"/>
      <c r="H292" s="58"/>
      <c r="I292" s="58"/>
      <c r="J292" s="58"/>
      <c r="K292" s="58"/>
      <c r="L292" s="58"/>
      <c r="M292" s="58"/>
      <c r="N292" s="58"/>
      <c r="O292" s="55" t="str">
        <f>IF(ISBLANK(P292),"",MAX(O$5:O291)+1)</f>
        <v/>
      </c>
      <c r="Q292" s="58"/>
      <c r="R292" s="58"/>
      <c r="S292" s="58"/>
      <c r="T292" s="58"/>
      <c r="U292" s="58"/>
      <c r="V292" s="58"/>
      <c r="W292" s="58"/>
      <c r="X292" s="58"/>
      <c r="Y292" s="58"/>
      <c r="Z292" s="58"/>
      <c r="AA292" s="58"/>
      <c r="AB292" s="58"/>
      <c r="AC292" s="58"/>
    </row>
    <row r="293" spans="1:29" s="83" customFormat="1">
      <c r="A293" s="58"/>
      <c r="B293" s="58"/>
      <c r="C293" s="240"/>
      <c r="D293" s="240"/>
      <c r="E293" s="240"/>
      <c r="F293" s="64"/>
      <c r="G293" s="58"/>
      <c r="H293" s="58"/>
      <c r="I293" s="58"/>
      <c r="J293" s="58"/>
      <c r="K293" s="58"/>
      <c r="L293" s="58"/>
      <c r="M293" s="58"/>
      <c r="N293" s="58"/>
      <c r="O293" s="55" t="str">
        <f>IF(ISBLANK(P293),"",MAX(O$5:O292)+1)</f>
        <v/>
      </c>
      <c r="Q293" s="58"/>
      <c r="R293" s="58"/>
      <c r="S293" s="58"/>
      <c r="T293" s="58"/>
      <c r="U293" s="58"/>
      <c r="V293" s="58"/>
      <c r="W293" s="58"/>
      <c r="X293" s="58"/>
      <c r="Y293" s="58"/>
      <c r="Z293" s="58"/>
      <c r="AA293" s="58"/>
      <c r="AB293" s="58"/>
      <c r="AC293" s="58"/>
    </row>
    <row r="294" spans="1:29" s="83" customFormat="1">
      <c r="A294" s="58"/>
      <c r="B294" s="58"/>
      <c r="C294" s="240"/>
      <c r="D294" s="240"/>
      <c r="E294" s="240"/>
      <c r="F294" s="64"/>
      <c r="G294" s="58"/>
      <c r="H294" s="58"/>
      <c r="I294" s="58"/>
      <c r="J294" s="58"/>
      <c r="K294" s="58"/>
      <c r="L294" s="58"/>
      <c r="M294" s="58"/>
      <c r="N294" s="58"/>
      <c r="O294" s="55" t="str">
        <f>IF(ISBLANK(P294),"",MAX(O$5:O293)+1)</f>
        <v/>
      </c>
      <c r="Q294" s="58"/>
      <c r="R294" s="58"/>
      <c r="S294" s="58"/>
      <c r="T294" s="58"/>
      <c r="U294" s="58"/>
      <c r="V294" s="58"/>
      <c r="W294" s="58"/>
      <c r="X294" s="58"/>
      <c r="Y294" s="58"/>
      <c r="Z294" s="58"/>
      <c r="AA294" s="58"/>
      <c r="AB294" s="58"/>
      <c r="AC294" s="58"/>
    </row>
    <row r="295" spans="1:29">
      <c r="O295" s="55">
        <f>IF(ISBLANK(P295),"",MAX(O$5:O294)+1)</f>
        <v>78</v>
      </c>
      <c r="P295" s="56" t="s">
        <v>490</v>
      </c>
    </row>
    <row r="296" spans="1:29">
      <c r="O296" s="55" t="str">
        <f>IF(ISBLANK(P296),"",MAX(O$5:O295)+1)</f>
        <v/>
      </c>
    </row>
    <row r="297" spans="1:29">
      <c r="O297" s="55" t="str">
        <f>IF(ISBLANK(P297),"",MAX(O$5:O296)+1)</f>
        <v/>
      </c>
    </row>
    <row r="298" spans="1:29" s="83" customFormat="1">
      <c r="A298" s="58"/>
      <c r="B298" s="58"/>
      <c r="C298" s="240"/>
      <c r="D298" s="240"/>
      <c r="E298" s="240"/>
      <c r="F298" s="64"/>
      <c r="G298" s="58"/>
      <c r="H298" s="58"/>
      <c r="I298" s="58"/>
      <c r="J298" s="58"/>
      <c r="K298" s="58"/>
      <c r="L298" s="58"/>
      <c r="M298" s="58"/>
      <c r="N298" s="58"/>
      <c r="O298" s="55" t="str">
        <f>IF(ISBLANK(P298),"",MAX(O$5:O297)+1)</f>
        <v/>
      </c>
      <c r="Q298" s="58"/>
      <c r="R298" s="58"/>
      <c r="S298" s="58"/>
      <c r="T298" s="58"/>
      <c r="U298" s="58"/>
      <c r="V298" s="58"/>
      <c r="W298" s="58"/>
      <c r="X298" s="58"/>
      <c r="Y298" s="58"/>
      <c r="Z298" s="58"/>
      <c r="AA298" s="58"/>
      <c r="AB298" s="58"/>
      <c r="AC298" s="58"/>
    </row>
    <row r="299" spans="1:29" s="83" customFormat="1">
      <c r="A299" s="58"/>
      <c r="B299" s="58"/>
      <c r="C299" s="240"/>
      <c r="D299" s="240"/>
      <c r="E299" s="240"/>
      <c r="F299" s="64"/>
      <c r="G299" s="58"/>
      <c r="H299" s="58"/>
      <c r="I299" s="58"/>
      <c r="J299" s="58"/>
      <c r="K299" s="58"/>
      <c r="L299" s="58"/>
      <c r="M299" s="58"/>
      <c r="N299" s="58"/>
      <c r="O299" s="55" t="str">
        <f>IF(ISBLANK(P299),"",MAX(O$5:O298)+1)</f>
        <v/>
      </c>
      <c r="Q299" s="58"/>
      <c r="R299" s="58"/>
      <c r="S299" s="58"/>
      <c r="T299" s="58"/>
      <c r="U299" s="58"/>
      <c r="V299" s="58"/>
      <c r="W299" s="58"/>
      <c r="X299" s="58"/>
      <c r="Y299" s="58"/>
      <c r="Z299" s="58"/>
      <c r="AA299" s="58"/>
      <c r="AB299" s="58"/>
      <c r="AC299" s="58"/>
    </row>
    <row r="300" spans="1:29" s="83" customFormat="1">
      <c r="A300" s="58"/>
      <c r="B300" s="58"/>
      <c r="C300" s="240"/>
      <c r="D300" s="240"/>
      <c r="E300" s="240"/>
      <c r="F300" s="64"/>
      <c r="G300" s="58"/>
      <c r="H300" s="58"/>
      <c r="I300" s="58"/>
      <c r="J300" s="58"/>
      <c r="K300" s="58"/>
      <c r="L300" s="58"/>
      <c r="M300" s="58"/>
      <c r="N300" s="58"/>
      <c r="O300" s="55" t="str">
        <f>IF(ISBLANK(P300),"",MAX(O$5:O299)+1)</f>
        <v/>
      </c>
      <c r="Q300" s="58"/>
      <c r="R300" s="58"/>
      <c r="S300" s="58"/>
      <c r="T300" s="58"/>
      <c r="U300" s="58"/>
      <c r="V300" s="58"/>
      <c r="W300" s="58"/>
      <c r="X300" s="58"/>
      <c r="Y300" s="58"/>
      <c r="Z300" s="58"/>
      <c r="AA300" s="58"/>
      <c r="AB300" s="58"/>
      <c r="AC300" s="58"/>
    </row>
    <row r="301" spans="1:29" s="83" customFormat="1">
      <c r="C301" s="246"/>
      <c r="D301" s="246"/>
      <c r="E301" s="246"/>
      <c r="F301" s="64"/>
      <c r="G301" s="58"/>
      <c r="H301" s="58"/>
      <c r="I301" s="58"/>
      <c r="J301" s="58"/>
      <c r="K301" s="58"/>
      <c r="L301" s="58"/>
      <c r="M301" s="58"/>
      <c r="N301" s="58"/>
      <c r="O301" s="55" t="str">
        <f>IF(ISBLANK(P301),"",MAX(O$5:O300)+1)</f>
        <v/>
      </c>
    </row>
    <row r="302" spans="1:29" s="83" customFormat="1">
      <c r="C302" s="246"/>
      <c r="D302" s="246"/>
      <c r="E302" s="246"/>
      <c r="F302" s="64"/>
      <c r="G302" s="58"/>
      <c r="H302" s="58"/>
      <c r="I302" s="58"/>
      <c r="J302" s="58"/>
      <c r="K302" s="58"/>
      <c r="L302" s="58"/>
      <c r="M302" s="58"/>
      <c r="N302" s="58"/>
      <c r="O302" s="55" t="str">
        <f>IF(ISBLANK(P302),"",MAX(O$5:O301)+1)</f>
        <v/>
      </c>
    </row>
    <row r="303" spans="1:29" s="83" customFormat="1">
      <c r="C303" s="246"/>
      <c r="D303" s="246"/>
      <c r="E303" s="246"/>
      <c r="F303" s="64"/>
      <c r="G303" s="58"/>
      <c r="H303" s="58"/>
      <c r="I303" s="58"/>
      <c r="J303" s="58"/>
      <c r="K303" s="58"/>
      <c r="L303" s="58"/>
      <c r="M303" s="58"/>
      <c r="N303" s="58"/>
      <c r="O303" s="55" t="str">
        <f>IF(ISBLANK(P303),"",MAX(O$5:O302)+1)</f>
        <v/>
      </c>
    </row>
    <row r="304" spans="1:29" s="83" customFormat="1">
      <c r="C304" s="246"/>
      <c r="D304" s="246"/>
      <c r="E304" s="246"/>
      <c r="F304" s="64"/>
      <c r="G304" s="58"/>
      <c r="H304" s="58"/>
      <c r="I304" s="58"/>
      <c r="J304" s="58"/>
      <c r="K304" s="58"/>
      <c r="L304" s="58"/>
      <c r="M304" s="58"/>
      <c r="N304" s="58"/>
      <c r="O304" s="55" t="str">
        <f>IF(ISBLANK(P304),"",MAX(O$5:O303)+1)</f>
        <v/>
      </c>
    </row>
    <row r="305" spans="1:29" s="83" customFormat="1">
      <c r="C305" s="246"/>
      <c r="D305" s="246"/>
      <c r="E305" s="246"/>
      <c r="F305" s="64"/>
      <c r="G305" s="58"/>
      <c r="H305" s="58"/>
      <c r="I305" s="58"/>
      <c r="J305" s="58"/>
      <c r="K305" s="58"/>
      <c r="L305" s="58"/>
      <c r="M305" s="58"/>
      <c r="N305" s="58"/>
      <c r="O305" s="55" t="str">
        <f>IF(ISBLANK(P305),"",MAX(O$5:O304)+1)</f>
        <v/>
      </c>
    </row>
    <row r="306" spans="1:29" s="83" customFormat="1">
      <c r="C306" s="246"/>
      <c r="D306" s="246"/>
      <c r="E306" s="246"/>
      <c r="F306" s="64"/>
      <c r="G306" s="58"/>
      <c r="H306" s="58"/>
      <c r="I306" s="58"/>
      <c r="J306" s="58"/>
      <c r="K306" s="58"/>
      <c r="L306" s="58"/>
      <c r="M306" s="58"/>
      <c r="N306" s="58"/>
      <c r="O306" s="55" t="str">
        <f>IF(ISBLANK(P306),"",MAX(O$5:O305)+1)</f>
        <v/>
      </c>
    </row>
    <row r="307" spans="1:29" s="83" customFormat="1">
      <c r="C307" s="246"/>
      <c r="D307" s="246"/>
      <c r="E307" s="246"/>
      <c r="F307" s="64"/>
      <c r="G307" s="58"/>
      <c r="H307" s="58"/>
      <c r="I307" s="58"/>
      <c r="J307" s="58"/>
      <c r="K307" s="58"/>
      <c r="L307" s="58"/>
      <c r="M307" s="58"/>
      <c r="N307" s="58"/>
      <c r="O307" s="55" t="str">
        <f>IF(ISBLANK(P307),"",MAX(O$5:O306)+1)</f>
        <v/>
      </c>
    </row>
    <row r="308" spans="1:29" s="83" customFormat="1">
      <c r="C308" s="246"/>
      <c r="D308" s="246"/>
      <c r="E308" s="246"/>
      <c r="F308" s="64"/>
      <c r="G308" s="58"/>
      <c r="H308" s="58"/>
      <c r="I308" s="58"/>
      <c r="J308" s="58"/>
      <c r="K308" s="58"/>
      <c r="L308" s="58"/>
      <c r="M308" s="58"/>
      <c r="N308" s="58"/>
      <c r="O308" s="55" t="str">
        <f>IF(ISBLANK(P308),"",MAX(O$5:O307)+1)</f>
        <v/>
      </c>
    </row>
    <row r="309" spans="1:29" s="83" customFormat="1">
      <c r="C309" s="246"/>
      <c r="D309" s="246"/>
      <c r="E309" s="246"/>
      <c r="F309" s="64"/>
      <c r="G309" s="58"/>
      <c r="H309" s="58"/>
      <c r="I309" s="58"/>
      <c r="J309" s="58"/>
      <c r="K309" s="58"/>
      <c r="L309" s="58"/>
      <c r="M309" s="58"/>
      <c r="N309" s="58"/>
      <c r="O309" s="55" t="str">
        <f>IF(ISBLANK(P309),"",MAX(O$5:O308)+1)</f>
        <v/>
      </c>
    </row>
    <row r="310" spans="1:29" s="83" customFormat="1">
      <c r="C310" s="246"/>
      <c r="D310" s="246"/>
      <c r="E310" s="246"/>
      <c r="F310" s="64"/>
      <c r="G310" s="58"/>
      <c r="H310" s="58"/>
      <c r="I310" s="58"/>
      <c r="J310" s="58"/>
      <c r="K310" s="58"/>
      <c r="L310" s="58"/>
      <c r="M310" s="58"/>
      <c r="N310" s="58"/>
      <c r="O310" s="55" t="str">
        <f>IF(ISBLANK(P310),"",MAX(O$5:O309)+1)</f>
        <v/>
      </c>
    </row>
    <row r="311" spans="1:29" s="83" customFormat="1">
      <c r="C311" s="246"/>
      <c r="D311" s="246"/>
      <c r="E311" s="246"/>
      <c r="F311" s="64"/>
      <c r="G311" s="58"/>
      <c r="H311" s="58"/>
      <c r="I311" s="58"/>
      <c r="J311" s="58"/>
      <c r="K311" s="58"/>
      <c r="L311" s="58"/>
      <c r="M311" s="58"/>
      <c r="N311" s="58"/>
      <c r="O311" s="55" t="str">
        <f>IF(ISBLANK(P311),"",MAX(O$5:O310)+1)</f>
        <v/>
      </c>
    </row>
    <row r="312" spans="1:29" s="83" customFormat="1">
      <c r="C312" s="246"/>
      <c r="D312" s="246"/>
      <c r="E312" s="246"/>
      <c r="F312" s="64"/>
      <c r="G312" s="58"/>
      <c r="H312" s="58"/>
      <c r="I312" s="58"/>
      <c r="J312" s="58"/>
      <c r="K312" s="58"/>
      <c r="L312" s="58"/>
      <c r="M312" s="58"/>
      <c r="N312" s="58"/>
      <c r="O312" s="55" t="str">
        <f>IF(ISBLANK(P312),"",MAX(O$5:O311)+1)</f>
        <v/>
      </c>
    </row>
    <row r="313" spans="1:29" s="83" customFormat="1">
      <c r="C313" s="246"/>
      <c r="D313" s="246"/>
      <c r="E313" s="246"/>
      <c r="F313" s="64"/>
      <c r="G313" s="58"/>
      <c r="H313" s="58"/>
      <c r="I313" s="58"/>
      <c r="J313" s="58"/>
      <c r="K313" s="58"/>
      <c r="L313" s="58"/>
      <c r="M313" s="58"/>
      <c r="N313" s="58"/>
      <c r="O313" s="55" t="str">
        <f>IF(ISBLANK(P313),"",MAX(O$5:O312)+1)</f>
        <v/>
      </c>
    </row>
    <row r="314" spans="1:29" s="83" customFormat="1">
      <c r="C314" s="246"/>
      <c r="D314" s="246"/>
      <c r="E314" s="246"/>
      <c r="F314" s="64"/>
      <c r="G314" s="58"/>
      <c r="H314" s="58"/>
      <c r="I314" s="58"/>
      <c r="J314" s="58"/>
      <c r="K314" s="58"/>
      <c r="L314" s="58"/>
      <c r="M314" s="58"/>
      <c r="N314" s="58"/>
      <c r="O314" s="55" t="str">
        <f>IF(ISBLANK(P314),"",MAX(O$5:O313)+1)</f>
        <v/>
      </c>
    </row>
    <row r="315" spans="1:29" s="83" customFormat="1">
      <c r="C315" s="246"/>
      <c r="D315" s="246"/>
      <c r="E315" s="246"/>
      <c r="F315" s="64"/>
      <c r="G315" s="58"/>
      <c r="H315" s="58"/>
      <c r="I315" s="58"/>
      <c r="J315" s="58"/>
      <c r="K315" s="58"/>
      <c r="L315" s="58"/>
      <c r="M315" s="58"/>
      <c r="N315" s="58"/>
      <c r="O315" s="55" t="str">
        <f>IF(ISBLANK(P315),"",MAX(O$5:O314)+1)</f>
        <v/>
      </c>
    </row>
    <row r="316" spans="1:29" s="83" customFormat="1">
      <c r="C316" s="246"/>
      <c r="D316" s="246"/>
      <c r="E316" s="246"/>
      <c r="F316" s="64"/>
      <c r="G316" s="58"/>
      <c r="H316" s="58"/>
      <c r="I316" s="58"/>
      <c r="J316" s="58"/>
      <c r="K316" s="58"/>
      <c r="L316" s="58"/>
      <c r="M316" s="58"/>
      <c r="N316" s="58"/>
      <c r="O316" s="55" t="str">
        <f>IF(ISBLANK(P316),"",MAX(O$5:O315)+1)</f>
        <v/>
      </c>
    </row>
    <row r="317" spans="1:29" s="83" customFormat="1">
      <c r="A317" s="58"/>
      <c r="B317" s="58"/>
      <c r="C317" s="240"/>
      <c r="D317" s="240"/>
      <c r="E317" s="240"/>
      <c r="F317" s="64"/>
      <c r="G317" s="58"/>
      <c r="H317" s="58"/>
      <c r="I317" s="58"/>
      <c r="J317" s="58"/>
      <c r="K317" s="58"/>
      <c r="L317" s="58"/>
      <c r="M317" s="58"/>
      <c r="N317" s="58"/>
      <c r="O317" s="55" t="str">
        <f>IF(ISBLANK(P317),"",MAX(O$5:O316)+1)</f>
        <v/>
      </c>
      <c r="Q317" s="58"/>
      <c r="R317" s="58"/>
      <c r="S317" s="58"/>
      <c r="T317" s="58"/>
      <c r="U317" s="58"/>
      <c r="V317" s="58"/>
      <c r="W317" s="58"/>
      <c r="X317" s="58"/>
      <c r="Y317" s="58"/>
      <c r="Z317" s="58"/>
      <c r="AA317" s="58"/>
      <c r="AB317" s="58"/>
      <c r="AC317" s="58"/>
    </row>
    <row r="318" spans="1:29">
      <c r="O318" s="55" t="str">
        <f>IF(ISBLANK(P318),"",MAX(O$5:O317)+1)</f>
        <v/>
      </c>
    </row>
    <row r="319" spans="1:29">
      <c r="O319" s="55" t="str">
        <f>IF(ISBLANK(P319),"",MAX(O$5:O318)+1)</f>
        <v/>
      </c>
    </row>
    <row r="320" spans="1:29">
      <c r="O320" s="55" t="str">
        <f>IF(ISBLANK(P320),"",MAX(O$5:O319)+1)</f>
        <v/>
      </c>
    </row>
    <row r="321" spans="2:29">
      <c r="O321" s="55" t="str">
        <f>IF(ISBLANK(P321),"",MAX(O$5:O320)+1)</f>
        <v/>
      </c>
    </row>
    <row r="322" spans="2:29">
      <c r="O322" s="55" t="str">
        <f>IF(ISBLANK(P322),"",MAX(O$5:O321)+1)</f>
        <v/>
      </c>
    </row>
    <row r="323" spans="2:29">
      <c r="O323" s="55" t="str">
        <f>IF(ISBLANK(P323),"",MAX(O$5:O322)+1)</f>
        <v/>
      </c>
    </row>
    <row r="324" spans="2:29">
      <c r="O324" s="55" t="str">
        <f>IF(ISBLANK(P324),"",MAX(O$5:O323)+1)</f>
        <v/>
      </c>
    </row>
    <row r="325" spans="2:29">
      <c r="O325" s="55" t="str">
        <f>IF(ISBLANK(P325),"",MAX(O$5:O324)+1)</f>
        <v/>
      </c>
    </row>
    <row r="326" spans="2:29">
      <c r="B326" s="53" t="s">
        <v>491</v>
      </c>
      <c r="C326" s="236"/>
      <c r="D326" s="236"/>
      <c r="E326" s="236"/>
      <c r="O326" s="55">
        <f>IF(ISBLANK(P326),"",MAX(O$5:O325)+1)</f>
        <v>79</v>
      </c>
      <c r="P326" s="83" t="s">
        <v>492</v>
      </c>
    </row>
    <row r="327" spans="2:29" outlineLevel="1">
      <c r="B327" s="59" t="s">
        <v>493</v>
      </c>
      <c r="C327" s="74"/>
      <c r="D327" s="74"/>
      <c r="E327" s="74"/>
      <c r="O327" s="55">
        <f>IF(ISBLANK(P327),"",MAX(O$5:O326)+1)</f>
        <v>80</v>
      </c>
      <c r="P327" s="83" t="s">
        <v>494</v>
      </c>
    </row>
    <row r="328" spans="2:29" outlineLevel="1">
      <c r="B328" s="124" t="s">
        <v>395</v>
      </c>
      <c r="C328" s="124"/>
      <c r="D328" s="124"/>
      <c r="E328" s="124"/>
      <c r="O328" s="55" t="str">
        <f>IF(ISBLANK(P328),"",MAX(O$5:O327)+1)</f>
        <v/>
      </c>
    </row>
    <row r="329" spans="2:29" outlineLevel="1">
      <c r="B329" s="124" t="s">
        <v>495</v>
      </c>
      <c r="C329" s="124"/>
      <c r="D329" s="124"/>
      <c r="E329" s="124"/>
      <c r="O329" s="55" t="str">
        <f>IF(ISBLANK(P329),"",MAX(O$5:O328)+1)</f>
        <v/>
      </c>
    </row>
    <row r="330" spans="2:29" outlineLevel="1">
      <c r="B330" s="124" t="s">
        <v>496</v>
      </c>
      <c r="C330" s="124"/>
      <c r="D330" s="124"/>
      <c r="E330" s="124"/>
      <c r="O330" s="55" t="str">
        <f>IF(ISBLANK(P330),"",MAX(O$5:O329)+1)</f>
        <v/>
      </c>
    </row>
    <row r="331" spans="2:29" outlineLevel="1">
      <c r="B331" s="57"/>
      <c r="C331" s="71"/>
      <c r="D331" s="71"/>
      <c r="E331" s="71"/>
      <c r="O331" s="55" t="str">
        <f>IF(ISBLANK(P331),"",MAX(O$5:O330)+1)</f>
        <v/>
      </c>
    </row>
    <row r="332" spans="2:29" outlineLevel="1">
      <c r="B332" s="59" t="s">
        <v>497</v>
      </c>
      <c r="C332" s="74"/>
      <c r="D332" s="74"/>
      <c r="E332" s="74"/>
      <c r="O332" s="55">
        <f>IF(ISBLANK(P332),"",MAX(O$5:O331)+1)</f>
        <v>81</v>
      </c>
      <c r="P332" s="83" t="s">
        <v>498</v>
      </c>
    </row>
    <row r="333" spans="2:29" outlineLevel="1">
      <c r="B333" s="57" t="s">
        <v>499</v>
      </c>
      <c r="C333" s="71"/>
      <c r="D333" s="71"/>
      <c r="E333" s="71"/>
      <c r="O333" s="55" t="str">
        <f>IF(ISBLANK(P333),"",MAX(O$5:O332)+1)</f>
        <v/>
      </c>
    </row>
    <row r="334" spans="2:29" outlineLevel="1">
      <c r="B334" s="57" t="s">
        <v>500</v>
      </c>
      <c r="C334" s="71"/>
      <c r="D334" s="71"/>
      <c r="E334" s="71"/>
      <c r="O334" s="55" t="str">
        <f>IF(ISBLANK(P334),"",MAX(O$5:O333)+1)</f>
        <v/>
      </c>
    </row>
    <row r="335" spans="2:29" s="83" customFormat="1" outlineLevel="1">
      <c r="B335" s="57" t="s">
        <v>501</v>
      </c>
      <c r="C335" s="71"/>
      <c r="D335" s="71"/>
      <c r="E335" s="71"/>
      <c r="F335" s="64"/>
      <c r="G335" s="58"/>
      <c r="H335" s="58"/>
      <c r="I335" s="58"/>
      <c r="J335" s="58"/>
      <c r="K335" s="58"/>
      <c r="L335" s="58"/>
      <c r="M335" s="58"/>
      <c r="N335" s="58"/>
      <c r="O335" s="55" t="str">
        <f>IF(ISBLANK(P335),"",MAX(O$5:O334)+1)</f>
        <v/>
      </c>
      <c r="Q335" s="58"/>
      <c r="R335" s="58"/>
      <c r="S335" s="58"/>
      <c r="T335" s="58"/>
      <c r="U335" s="58"/>
      <c r="V335" s="58"/>
      <c r="W335" s="58"/>
      <c r="X335" s="58"/>
      <c r="Y335" s="58"/>
      <c r="Z335" s="58"/>
      <c r="AA335" s="58"/>
      <c r="AB335" s="58"/>
      <c r="AC335" s="58"/>
    </row>
    <row r="336" spans="2:29" s="83" customFormat="1" outlineLevel="1">
      <c r="B336" s="58"/>
      <c r="C336" s="240"/>
      <c r="D336" s="240"/>
      <c r="E336" s="240"/>
      <c r="F336" s="64"/>
      <c r="G336" s="58"/>
      <c r="H336" s="58"/>
      <c r="I336" s="58"/>
      <c r="J336" s="58"/>
      <c r="K336" s="58"/>
      <c r="L336" s="58"/>
      <c r="M336" s="58"/>
      <c r="N336" s="58"/>
      <c r="O336" s="55" t="str">
        <f>IF(ISBLANK(P336),"",MAX(O$5:O335)+1)</f>
        <v/>
      </c>
      <c r="Q336" s="58"/>
      <c r="R336" s="58"/>
      <c r="S336" s="58"/>
      <c r="T336" s="58"/>
      <c r="U336" s="58"/>
      <c r="V336" s="58"/>
      <c r="W336" s="58"/>
      <c r="X336" s="58"/>
      <c r="Y336" s="58"/>
      <c r="Z336" s="58"/>
      <c r="AA336" s="58"/>
      <c r="AB336" s="58"/>
      <c r="AC336" s="58"/>
    </row>
  </sheetData>
  <conditionalFormatting sqref="G9">
    <cfRule type="expression" dxfId="0" priority="4">
      <formula>SUM(G213:M213)&lt;&gt;0</formula>
    </cfRule>
  </conditionalFormatting>
  <conditionalFormatting sqref="G216:N220">
    <cfRule type="colorScale" priority="3">
      <colorScale>
        <cfvo type="min"/>
        <cfvo type="percentile" val="50"/>
        <cfvo type="max"/>
        <color theme="0"/>
        <color rgb="FFFFEB84"/>
        <color rgb="FF63BE7B"/>
      </colorScale>
    </cfRule>
  </conditionalFormatting>
  <conditionalFormatting sqref="G225:N229">
    <cfRule type="colorScale" priority="2">
      <colorScale>
        <cfvo type="min"/>
        <cfvo type="percentile" val="50"/>
        <cfvo type="max"/>
        <color theme="0"/>
        <color rgb="FFFFEB84"/>
        <color rgb="FF63BE7B"/>
      </colorScale>
    </cfRule>
  </conditionalFormatting>
  <conditionalFormatting sqref="G241:N248">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G52:J52" xr:uid="{084FB402-D4FC-8E41-BED4-8FC5BE94F45C}">
      <formula1>$B$333:$B$335</formula1>
    </dataValidation>
    <dataValidation type="list" allowBlank="1" showInputMessage="1" showErrorMessage="1" sqref="G57:L58" xr:uid="{D620E4AC-9A3E-5545-A745-D3C47675ECC2}">
      <formula1>$G$56:$M$56</formula1>
    </dataValidation>
    <dataValidation type="list" allowBlank="1" showInputMessage="1" showErrorMessage="1" sqref="G46:J46" xr:uid="{B190FC27-0F7F-EE49-9603-8B9F6DB7459D}">
      <formula1>$B$328:$B$330</formula1>
    </dataValidation>
    <dataValidation type="list" allowBlank="1" showInputMessage="1" showErrorMessage="1" sqref="G8" xr:uid="{5AFA77EA-47B8-3243-8C2D-276B892542BD}">
      <formula1>"no,yes"</formula1>
    </dataValidation>
  </dataValidations>
  <pageMargins left="0.75" right="0.75" top="1" bottom="1" header="0.5" footer="0.5"/>
  <pageSetup orientation="portrait" horizontalDpi="4294967292" verticalDpi="4294967292"/>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70"/>
  <sheetViews>
    <sheetView showGridLines="0" workbookViewId="0">
      <pane ySplit="2" topLeftCell="A3" activePane="bottomLeft" state="frozen"/>
      <selection activeCell="M74" sqref="M74"/>
      <selection pane="bottomLeft" activeCell="B9" sqref="B9"/>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576</v>
      </c>
    </row>
    <row r="5" spans="2:2" ht="36">
      <c r="B5" s="15" t="s">
        <v>580</v>
      </c>
    </row>
    <row r="6" spans="2:2" ht="18">
      <c r="B6" s="15" t="s">
        <v>577</v>
      </c>
    </row>
    <row r="8" spans="2:2" ht="18">
      <c r="B8" s="14" t="s">
        <v>532</v>
      </c>
    </row>
    <row r="9" spans="2:2" ht="72">
      <c r="B9" s="15" t="s">
        <v>533</v>
      </c>
    </row>
    <row r="10" spans="2:2" ht="159" customHeight="1">
      <c r="B10" s="15" t="s">
        <v>534</v>
      </c>
    </row>
    <row r="11" spans="2:2" ht="36">
      <c r="B11" s="15" t="s">
        <v>535</v>
      </c>
    </row>
    <row r="13" spans="2:2" ht="18">
      <c r="B13" s="14" t="s">
        <v>316</v>
      </c>
    </row>
    <row r="14" spans="2:2" ht="90">
      <c r="B14" s="15" t="s">
        <v>321</v>
      </c>
    </row>
    <row r="15" spans="2:2" ht="36">
      <c r="B15" s="15" t="s">
        <v>320</v>
      </c>
    </row>
    <row r="17" spans="2:2" ht="18">
      <c r="B17" s="14" t="s">
        <v>317</v>
      </c>
    </row>
    <row r="18" spans="2:2" ht="54">
      <c r="B18" s="15" t="s">
        <v>315</v>
      </c>
    </row>
    <row r="20" spans="2:2" ht="18">
      <c r="B20" s="14" t="s">
        <v>318</v>
      </c>
    </row>
    <row r="21" spans="2:2" ht="36">
      <c r="B21" s="15" t="s">
        <v>314</v>
      </c>
    </row>
    <row r="23" spans="2:2" ht="18">
      <c r="B23" s="14" t="s">
        <v>319</v>
      </c>
    </row>
    <row r="24" spans="2:2" ht="18">
      <c r="B24" s="15" t="s">
        <v>301</v>
      </c>
    </row>
    <row r="25" spans="2:2" ht="71" customHeight="1">
      <c r="B25" s="15" t="s">
        <v>304</v>
      </c>
    </row>
    <row r="26" spans="2:2" ht="36" customHeight="1">
      <c r="B26" s="15" t="s">
        <v>313</v>
      </c>
    </row>
    <row r="27" spans="2:2" ht="54">
      <c r="B27" s="15" t="s">
        <v>302</v>
      </c>
    </row>
    <row r="28" spans="2:2" ht="54">
      <c r="B28" s="15" t="s">
        <v>312</v>
      </c>
    </row>
    <row r="30" spans="2:2" ht="18">
      <c r="B30" s="14" t="s">
        <v>299</v>
      </c>
    </row>
    <row r="31" spans="2:2" ht="18">
      <c r="B31" s="15" t="s">
        <v>300</v>
      </c>
    </row>
    <row r="33" spans="2:2" ht="18">
      <c r="B33" s="14" t="s">
        <v>297</v>
      </c>
    </row>
    <row r="34" spans="2:2" ht="54">
      <c r="B34" s="15" t="s">
        <v>298</v>
      </c>
    </row>
    <row r="36" spans="2:2" ht="18">
      <c r="B36" s="14" t="s">
        <v>296</v>
      </c>
    </row>
    <row r="37" spans="2:2" ht="90">
      <c r="B37" s="15" t="s">
        <v>277</v>
      </c>
    </row>
    <row r="38" spans="2:2" ht="36">
      <c r="B38" s="15" t="s">
        <v>259</v>
      </c>
    </row>
    <row r="39" spans="2:2" ht="36">
      <c r="B39" s="15" t="s">
        <v>276</v>
      </c>
    </row>
    <row r="40" spans="2:2" ht="72">
      <c r="B40" s="15" t="s">
        <v>278</v>
      </c>
    </row>
    <row r="42" spans="2:2" ht="18">
      <c r="B42" s="14" t="s">
        <v>257</v>
      </c>
    </row>
    <row r="43" spans="2:2" ht="90">
      <c r="B43" s="15" t="s">
        <v>258</v>
      </c>
    </row>
    <row r="45" spans="2:2" ht="18">
      <c r="B45" s="14" t="s">
        <v>255</v>
      </c>
    </row>
    <row r="46" spans="2:2" ht="36">
      <c r="B46" s="15" t="s">
        <v>256</v>
      </c>
    </row>
    <row r="48" spans="2:2" ht="18">
      <c r="B48" s="14" t="s">
        <v>203</v>
      </c>
    </row>
    <row r="49" spans="2:2" ht="18">
      <c r="B49" s="15" t="s">
        <v>10</v>
      </c>
    </row>
    <row r="51" spans="2:2" ht="18">
      <c r="B51" s="14" t="s">
        <v>73</v>
      </c>
    </row>
    <row r="52" spans="2:2" ht="54">
      <c r="B52" s="15" t="s">
        <v>74</v>
      </c>
    </row>
    <row r="54" spans="2:2" ht="18">
      <c r="B54" s="14" t="s">
        <v>75</v>
      </c>
    </row>
    <row r="55" spans="2:2" ht="72">
      <c r="B55" s="15" t="s">
        <v>76</v>
      </c>
    </row>
    <row r="57" spans="2:2" ht="18">
      <c r="B57" s="14" t="s">
        <v>77</v>
      </c>
    </row>
    <row r="58" spans="2:2" ht="54">
      <c r="B58" s="15" t="s">
        <v>78</v>
      </c>
    </row>
    <row r="60" spans="2:2" ht="18">
      <c r="B60" s="14" t="s">
        <v>79</v>
      </c>
    </row>
    <row r="61" spans="2:2" ht="54">
      <c r="B61" s="15" t="s">
        <v>80</v>
      </c>
    </row>
    <row r="63" spans="2:2" ht="18">
      <c r="B63" s="14" t="s">
        <v>129</v>
      </c>
    </row>
    <row r="64" spans="2:2" ht="36">
      <c r="B64" s="15" t="s">
        <v>157</v>
      </c>
    </row>
    <row r="65" spans="2:2" s="1" customFormat="1"/>
    <row r="66" spans="2:2" ht="18">
      <c r="B66" s="14" t="s">
        <v>149</v>
      </c>
    </row>
    <row r="67" spans="2:2" ht="36">
      <c r="B67" s="15" t="s">
        <v>158</v>
      </c>
    </row>
    <row r="68" spans="2:2" ht="36">
      <c r="B68" s="15" t="s">
        <v>159</v>
      </c>
    </row>
    <row r="69" spans="2:2" ht="18">
      <c r="B69" s="15" t="s">
        <v>150</v>
      </c>
    </row>
    <row r="70" spans="2:2" ht="36">
      <c r="B70"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README</vt:lpstr>
      <vt:lpstr>Disclaimer</vt:lpstr>
      <vt:lpstr>License</vt:lpstr>
      <vt:lpstr>Scenarios</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2020-07-29T15:09:39Z</dcterms:modified>
  <cp:category/>
</cp:coreProperties>
</file>