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taylordavidson/Documents/dev/cap-table-tool/"/>
    </mc:Choice>
  </mc:AlternateContent>
  <xr:revisionPtr revIDLastSave="0" documentId="13_ncr:1_{16242575-EC1C-144D-A662-2C697D0DE006}" xr6:coauthVersionLast="45" xr6:coauthVersionMax="45" xr10:uidLastSave="{00000000-0000-0000-0000-000000000000}"/>
  <bookViews>
    <workbookView xWindow="0" yWindow="460" windowWidth="28800" windowHeight="17540" xr2:uid="{509D9F61-49D3-DB4D-9E03-EA4CE0D5BC09}"/>
  </bookViews>
  <sheets>
    <sheet name="README" sheetId="3" r:id="rId1"/>
    <sheet name="License" sheetId="4" r:id="rId2"/>
    <sheet name="Venture Valuation Tool" sheetId="1" r:id="rId3"/>
    <sheet name="Changelog" sheetId="2" r:id="rId4"/>
  </sheets>
  <definedNames>
    <definedName name="_xlnm.Print_Area" localSheetId="0">README!$B$2:$B$33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3" l="1"/>
  <c r="D20" i="3"/>
  <c r="D13" i="3"/>
  <c r="B12" i="3"/>
  <c r="B7" i="3"/>
  <c r="B6" i="3"/>
  <c r="B5" i="3"/>
  <c r="C189" i="1" l="1"/>
  <c r="B189" i="1"/>
  <c r="C188" i="1"/>
  <c r="B188" i="1"/>
  <c r="C187" i="1"/>
  <c r="B187" i="1"/>
  <c r="C186" i="1"/>
  <c r="B186" i="1"/>
  <c r="C185" i="1"/>
  <c r="B185" i="1"/>
  <c r="C184" i="1"/>
  <c r="B184" i="1"/>
  <c r="C182" i="1"/>
  <c r="B182" i="1"/>
  <c r="C181" i="1"/>
  <c r="B181" i="1"/>
  <c r="C180" i="1"/>
  <c r="B180" i="1"/>
  <c r="C179" i="1"/>
  <c r="B179" i="1"/>
  <c r="C178" i="1"/>
  <c r="B178" i="1"/>
  <c r="C177" i="1"/>
  <c r="B177" i="1"/>
  <c r="C175" i="1"/>
  <c r="B175" i="1"/>
  <c r="C174" i="1"/>
  <c r="B174" i="1"/>
  <c r="C173" i="1"/>
  <c r="B173" i="1"/>
  <c r="C172" i="1"/>
  <c r="B172" i="1"/>
  <c r="C171" i="1"/>
  <c r="B171" i="1"/>
  <c r="C170" i="1"/>
  <c r="B170" i="1"/>
  <c r="C168" i="1"/>
  <c r="B168" i="1"/>
  <c r="C167" i="1"/>
  <c r="B167" i="1"/>
  <c r="C166" i="1"/>
  <c r="B166" i="1"/>
  <c r="C165" i="1"/>
  <c r="B165" i="1"/>
  <c r="C164" i="1"/>
  <c r="B164" i="1"/>
  <c r="C163" i="1"/>
  <c r="B163" i="1"/>
  <c r="C161" i="1"/>
  <c r="B161" i="1"/>
  <c r="C160" i="1"/>
  <c r="B160" i="1"/>
  <c r="C159" i="1"/>
  <c r="B159" i="1"/>
  <c r="C158" i="1"/>
  <c r="B158" i="1"/>
  <c r="C157" i="1"/>
  <c r="B157" i="1"/>
  <c r="C156" i="1"/>
  <c r="B156" i="1"/>
  <c r="C154" i="1"/>
  <c r="B154" i="1"/>
  <c r="C153" i="1"/>
  <c r="B153" i="1"/>
  <c r="C152" i="1"/>
  <c r="B152" i="1"/>
  <c r="C151" i="1"/>
  <c r="B151" i="1"/>
  <c r="C150" i="1"/>
  <c r="B150" i="1"/>
  <c r="C149" i="1"/>
  <c r="B149" i="1"/>
  <c r="D148" i="1"/>
  <c r="D150" i="1" s="1"/>
  <c r="B130" i="1"/>
  <c r="B129" i="1"/>
  <c r="B128" i="1"/>
  <c r="B127" i="1"/>
  <c r="B126" i="1"/>
  <c r="B125" i="1"/>
  <c r="I124" i="1"/>
  <c r="H124" i="1"/>
  <c r="G124" i="1"/>
  <c r="F124" i="1"/>
  <c r="E124" i="1"/>
  <c r="D124" i="1"/>
  <c r="B122" i="1"/>
  <c r="B121" i="1"/>
  <c r="B120" i="1"/>
  <c r="B119" i="1"/>
  <c r="B118" i="1"/>
  <c r="B117" i="1"/>
  <c r="I116" i="1"/>
  <c r="H116" i="1"/>
  <c r="G116" i="1"/>
  <c r="F116" i="1"/>
  <c r="E116" i="1"/>
  <c r="D116" i="1"/>
  <c r="C114" i="1"/>
  <c r="B114" i="1"/>
  <c r="C113" i="1"/>
  <c r="B113" i="1"/>
  <c r="C112" i="1"/>
  <c r="B112" i="1"/>
  <c r="C111" i="1"/>
  <c r="B111" i="1"/>
  <c r="C110" i="1"/>
  <c r="B110" i="1"/>
  <c r="C109" i="1"/>
  <c r="B109" i="1"/>
  <c r="I108" i="1"/>
  <c r="O147" i="1" s="1"/>
  <c r="H108" i="1"/>
  <c r="N147" i="1" s="1"/>
  <c r="G108" i="1"/>
  <c r="M147" i="1" s="1"/>
  <c r="F108" i="1"/>
  <c r="E108" i="1"/>
  <c r="K147" i="1" s="1"/>
  <c r="D108" i="1"/>
  <c r="J147" i="1" s="1"/>
  <c r="B100" i="1"/>
  <c r="B99" i="1"/>
  <c r="B98" i="1"/>
  <c r="B97" i="1"/>
  <c r="B96" i="1"/>
  <c r="B95" i="1"/>
  <c r="I94" i="1"/>
  <c r="H94" i="1"/>
  <c r="G94" i="1"/>
  <c r="F94" i="1"/>
  <c r="E94" i="1"/>
  <c r="D94" i="1"/>
  <c r="B91" i="1"/>
  <c r="B90" i="1"/>
  <c r="B89" i="1"/>
  <c r="B88" i="1"/>
  <c r="B87" i="1"/>
  <c r="B86" i="1"/>
  <c r="I85" i="1"/>
  <c r="H85" i="1"/>
  <c r="G85" i="1"/>
  <c r="F85" i="1"/>
  <c r="E85" i="1"/>
  <c r="D85" i="1"/>
  <c r="B82" i="1"/>
  <c r="B81" i="1"/>
  <c r="B80" i="1"/>
  <c r="B79" i="1"/>
  <c r="B78" i="1"/>
  <c r="B77" i="1"/>
  <c r="I76" i="1"/>
  <c r="H76" i="1"/>
  <c r="G76" i="1"/>
  <c r="F76" i="1"/>
  <c r="E76" i="1"/>
  <c r="D76" i="1"/>
  <c r="B73" i="1"/>
  <c r="B72" i="1"/>
  <c r="B71" i="1"/>
  <c r="B70" i="1"/>
  <c r="B69" i="1"/>
  <c r="B68" i="1"/>
  <c r="I67" i="1"/>
  <c r="H67" i="1"/>
  <c r="G67" i="1"/>
  <c r="F67" i="1"/>
  <c r="E67" i="1"/>
  <c r="D67" i="1"/>
  <c r="C59" i="1"/>
  <c r="D55" i="1"/>
  <c r="D153" i="1" s="1"/>
  <c r="C55" i="1"/>
  <c r="I50" i="1"/>
  <c r="E50" i="1"/>
  <c r="I49" i="1"/>
  <c r="I48" i="1"/>
  <c r="D46" i="1"/>
  <c r="D45" i="1"/>
  <c r="I43" i="1"/>
  <c r="H48" i="1" s="1"/>
  <c r="H43" i="1"/>
  <c r="G48" i="1" s="1"/>
  <c r="G43" i="1"/>
  <c r="F48" i="1" s="1"/>
  <c r="F43" i="1"/>
  <c r="E48" i="1" s="1"/>
  <c r="E43" i="1"/>
  <c r="D48" i="1" s="1"/>
  <c r="D43" i="1"/>
  <c r="C39" i="1"/>
  <c r="C38" i="1"/>
  <c r="C37" i="1"/>
  <c r="E36" i="1"/>
  <c r="D36" i="1"/>
  <c r="E35" i="1"/>
  <c r="F35" i="1" s="1"/>
  <c r="G35" i="1" s="1"/>
  <c r="H35" i="1" s="1"/>
  <c r="I35" i="1" s="1"/>
  <c r="B33" i="1"/>
  <c r="B32" i="1"/>
  <c r="H31" i="1"/>
  <c r="H50" i="1" s="1"/>
  <c r="G31" i="1"/>
  <c r="F31" i="1"/>
  <c r="F50" i="1" s="1"/>
  <c r="E31" i="1"/>
  <c r="E49" i="1" s="1"/>
  <c r="D31" i="1"/>
  <c r="D32" i="1" s="1"/>
  <c r="E32" i="1" s="1"/>
  <c r="C24" i="1"/>
  <c r="D19" i="1"/>
  <c r="D18" i="1"/>
  <c r="D27" i="1" s="1"/>
  <c r="C18" i="1"/>
  <c r="E17" i="1"/>
  <c r="C17" i="1"/>
  <c r="G16" i="1"/>
  <c r="F16" i="1"/>
  <c r="F45" i="1" s="1"/>
  <c r="E16" i="1"/>
  <c r="E55" i="1" s="1"/>
  <c r="E15" i="1"/>
  <c r="E148" i="1" s="1"/>
  <c r="I11" i="1"/>
  <c r="H11" i="1"/>
  <c r="G11" i="1"/>
  <c r="G17" i="1" s="1"/>
  <c r="F11" i="1"/>
  <c r="F17" i="1" s="1"/>
  <c r="F46" i="1" s="1"/>
  <c r="F10" i="1"/>
  <c r="G10" i="1" s="1"/>
  <c r="H10" i="1" s="1"/>
  <c r="I10" i="1" s="1"/>
  <c r="E10" i="1"/>
  <c r="D10" i="1"/>
  <c r="B10" i="1"/>
  <c r="F55" i="1" l="1"/>
  <c r="D149" i="1"/>
  <c r="E45" i="1"/>
  <c r="D50" i="1"/>
  <c r="F49" i="1"/>
  <c r="D24" i="1"/>
  <c r="F32" i="1"/>
  <c r="H17" i="1"/>
  <c r="G46" i="1"/>
  <c r="G18" i="1"/>
  <c r="G45" i="1"/>
  <c r="G55" i="1"/>
  <c r="H16" i="1"/>
  <c r="G50" i="1"/>
  <c r="G32" i="1"/>
  <c r="H32" i="1" s="1"/>
  <c r="I32" i="1" s="1"/>
  <c r="G49" i="1"/>
  <c r="E46" i="1"/>
  <c r="E18" i="1"/>
  <c r="F18" i="1"/>
  <c r="K148" i="1"/>
  <c r="L147" i="1"/>
  <c r="E161" i="1"/>
  <c r="E159" i="1"/>
  <c r="E157" i="1"/>
  <c r="E156" i="1"/>
  <c r="E153" i="1"/>
  <c r="E151" i="1"/>
  <c r="E149" i="1"/>
  <c r="E154" i="1"/>
  <c r="E152" i="1"/>
  <c r="E168" i="1"/>
  <c r="E150" i="1"/>
  <c r="D158" i="1"/>
  <c r="D160" i="1"/>
  <c r="F15" i="1"/>
  <c r="E164" i="1" s="1"/>
  <c r="D49" i="1"/>
  <c r="H49" i="1"/>
  <c r="D87" i="1"/>
  <c r="D96" i="1" s="1"/>
  <c r="D69" i="1"/>
  <c r="D78" i="1" s="1"/>
  <c r="D151" i="1"/>
  <c r="D156" i="1"/>
  <c r="E158" i="1"/>
  <c r="E160" i="1"/>
  <c r="E163" i="1"/>
  <c r="J148" i="1"/>
  <c r="D154" i="1"/>
  <c r="D152" i="1"/>
  <c r="D167" i="1"/>
  <c r="D165" i="1"/>
  <c r="D161" i="1"/>
  <c r="D159" i="1"/>
  <c r="D157" i="1"/>
  <c r="D164" i="1"/>
  <c r="G12" i="1" l="1"/>
  <c r="E166" i="1"/>
  <c r="G15" i="1"/>
  <c r="D168" i="1"/>
  <c r="F148" i="1"/>
  <c r="D163" i="1"/>
  <c r="F36" i="1"/>
  <c r="D166" i="1"/>
  <c r="E165" i="1"/>
  <c r="H46" i="1"/>
  <c r="H18" i="1"/>
  <c r="H12" i="1" s="1"/>
  <c r="I17" i="1"/>
  <c r="D56" i="1"/>
  <c r="D38" i="1"/>
  <c r="D20" i="1"/>
  <c r="E12" i="1"/>
  <c r="E27" i="1"/>
  <c r="G27" i="1"/>
  <c r="E167" i="1"/>
  <c r="F12" i="1"/>
  <c r="F27" i="1"/>
  <c r="H55" i="1"/>
  <c r="H27" i="1"/>
  <c r="I16" i="1"/>
  <c r="H45" i="1"/>
  <c r="F175" i="1" l="1"/>
  <c r="F173" i="1"/>
  <c r="F164" i="1"/>
  <c r="F156" i="1"/>
  <c r="F153" i="1"/>
  <c r="F151" i="1"/>
  <c r="F172" i="1"/>
  <c r="F168" i="1"/>
  <c r="F166" i="1"/>
  <c r="F163" i="1"/>
  <c r="F160" i="1"/>
  <c r="F158" i="1"/>
  <c r="F174" i="1"/>
  <c r="F170" i="1"/>
  <c r="F167" i="1"/>
  <c r="F165" i="1"/>
  <c r="F150" i="1"/>
  <c r="F161" i="1"/>
  <c r="F159" i="1"/>
  <c r="F157" i="1"/>
  <c r="F149" i="1"/>
  <c r="F154" i="1"/>
  <c r="F152" i="1"/>
  <c r="F171" i="1"/>
  <c r="D57" i="1"/>
  <c r="D68" i="1"/>
  <c r="D109" i="1"/>
  <c r="I46" i="1"/>
  <c r="I18" i="1"/>
  <c r="I12" i="1" s="1"/>
  <c r="L148" i="1"/>
  <c r="D70" i="1"/>
  <c r="D79" i="1" s="1"/>
  <c r="E70" i="1"/>
  <c r="E79" i="1" s="1"/>
  <c r="D88" i="1"/>
  <c r="D97" i="1" s="1"/>
  <c r="E88" i="1"/>
  <c r="G148" i="1"/>
  <c r="D175" i="1"/>
  <c r="G36" i="1"/>
  <c r="F71" i="1" s="1"/>
  <c r="F80" i="1" s="1"/>
  <c r="D173" i="1"/>
  <c r="E171" i="1"/>
  <c r="H15" i="1"/>
  <c r="F179" i="1" s="1"/>
  <c r="E175" i="1"/>
  <c r="E172" i="1"/>
  <c r="D172" i="1"/>
  <c r="E173" i="1"/>
  <c r="E174" i="1"/>
  <c r="D174" i="1"/>
  <c r="D171" i="1"/>
  <c r="E170" i="1"/>
  <c r="D170" i="1"/>
  <c r="I45" i="1"/>
  <c r="I55" i="1"/>
  <c r="I27" i="1"/>
  <c r="D25" i="1"/>
  <c r="D23" i="1"/>
  <c r="D86" i="1" s="1"/>
  <c r="D95" i="1" l="1"/>
  <c r="D26" i="1"/>
  <c r="D39" i="1"/>
  <c r="H148" i="1"/>
  <c r="H36" i="1"/>
  <c r="I15" i="1"/>
  <c r="D178" i="1"/>
  <c r="E177" i="1"/>
  <c r="E178" i="1"/>
  <c r="E181" i="1"/>
  <c r="D177" i="1"/>
  <c r="D180" i="1"/>
  <c r="E180" i="1"/>
  <c r="E179" i="1"/>
  <c r="D181" i="1"/>
  <c r="D179" i="1"/>
  <c r="D77" i="1"/>
  <c r="F180" i="1"/>
  <c r="F178" i="1"/>
  <c r="E97" i="1"/>
  <c r="D58" i="1"/>
  <c r="D59" i="1"/>
  <c r="G189" i="1"/>
  <c r="G185" i="1"/>
  <c r="G178" i="1"/>
  <c r="G172" i="1"/>
  <c r="G168" i="1"/>
  <c r="G166" i="1"/>
  <c r="G163" i="1"/>
  <c r="G160" i="1"/>
  <c r="G158" i="1"/>
  <c r="G188" i="1"/>
  <c r="G181" i="1"/>
  <c r="G177" i="1"/>
  <c r="G174" i="1"/>
  <c r="G171" i="1"/>
  <c r="G154" i="1"/>
  <c r="G152" i="1"/>
  <c r="G150" i="1"/>
  <c r="G179" i="1"/>
  <c r="G164" i="1"/>
  <c r="G161" i="1"/>
  <c r="G159" i="1"/>
  <c r="G157" i="1"/>
  <c r="G149" i="1"/>
  <c r="G187" i="1"/>
  <c r="G156" i="1"/>
  <c r="G153" i="1"/>
  <c r="G151" i="1"/>
  <c r="G180" i="1"/>
  <c r="G170" i="1"/>
  <c r="G175" i="1"/>
  <c r="G173" i="1"/>
  <c r="G167" i="1"/>
  <c r="G165" i="1"/>
  <c r="D37" i="1"/>
  <c r="E19" i="1"/>
  <c r="D22" i="1"/>
  <c r="M148" i="1"/>
  <c r="D89" i="1"/>
  <c r="D98" i="1" s="1"/>
  <c r="E71" i="1"/>
  <c r="E80" i="1" s="1"/>
  <c r="D71" i="1"/>
  <c r="D80" i="1" s="1"/>
  <c r="G90" i="1"/>
  <c r="E89" i="1"/>
  <c r="E98" i="1" s="1"/>
  <c r="F89" i="1"/>
  <c r="D117" i="1"/>
  <c r="J149" i="1"/>
  <c r="F181" i="1"/>
  <c r="F177" i="1"/>
  <c r="E24" i="1" l="1"/>
  <c r="I148" i="1"/>
  <c r="D186" i="1"/>
  <c r="D189" i="1"/>
  <c r="I36" i="1"/>
  <c r="D182" i="1"/>
  <c r="D185" i="1"/>
  <c r="D184" i="1"/>
  <c r="E187" i="1"/>
  <c r="E186" i="1"/>
  <c r="E184" i="1"/>
  <c r="D188" i="1"/>
  <c r="D187" i="1"/>
  <c r="E182" i="1"/>
  <c r="E189" i="1"/>
  <c r="E185" i="1"/>
  <c r="E188" i="1"/>
  <c r="F186" i="1"/>
  <c r="F185" i="1"/>
  <c r="F187" i="1"/>
  <c r="F182" i="1"/>
  <c r="F189" i="1"/>
  <c r="F184" i="1"/>
  <c r="F188" i="1"/>
  <c r="F98" i="1"/>
  <c r="D61" i="1"/>
  <c r="D62" i="1"/>
  <c r="N148" i="1"/>
  <c r="E72" i="1"/>
  <c r="E81" i="1" s="1"/>
  <c r="H91" i="1"/>
  <c r="D90" i="1"/>
  <c r="D99" i="1" s="1"/>
  <c r="H73" i="1"/>
  <c r="H82" i="1" s="1"/>
  <c r="E90" i="1"/>
  <c r="D72" i="1"/>
  <c r="D81" i="1" s="1"/>
  <c r="F72" i="1"/>
  <c r="F81" i="1" s="1"/>
  <c r="F90" i="1"/>
  <c r="G72" i="1"/>
  <c r="G81" i="1" s="1"/>
  <c r="G186" i="1"/>
  <c r="G182" i="1"/>
  <c r="G184" i="1"/>
  <c r="H188" i="1"/>
  <c r="H184" i="1"/>
  <c r="H181" i="1"/>
  <c r="H177" i="1"/>
  <c r="H174" i="1"/>
  <c r="H171" i="1"/>
  <c r="H154" i="1"/>
  <c r="H152" i="1"/>
  <c r="H187" i="1"/>
  <c r="H180" i="1"/>
  <c r="H170" i="1"/>
  <c r="H167" i="1"/>
  <c r="H165" i="1"/>
  <c r="H161" i="1"/>
  <c r="H159" i="1"/>
  <c r="H157" i="1"/>
  <c r="H168" i="1"/>
  <c r="H166" i="1"/>
  <c r="H156" i="1"/>
  <c r="H153" i="1"/>
  <c r="H151" i="1"/>
  <c r="H189" i="1"/>
  <c r="H186" i="1"/>
  <c r="H178" i="1"/>
  <c r="H175" i="1"/>
  <c r="H173" i="1"/>
  <c r="H163" i="1"/>
  <c r="H160" i="1"/>
  <c r="H158" i="1"/>
  <c r="H185" i="1"/>
  <c r="H182" i="1"/>
  <c r="H149" i="1"/>
  <c r="H150" i="1"/>
  <c r="H164" i="1"/>
  <c r="H179" i="1"/>
  <c r="H172" i="1"/>
  <c r="D136" i="1" l="1"/>
  <c r="G99" i="1"/>
  <c r="F99" i="1"/>
  <c r="E99" i="1"/>
  <c r="I187" i="1"/>
  <c r="I180" i="1"/>
  <c r="I170" i="1"/>
  <c r="I167" i="1"/>
  <c r="I165" i="1"/>
  <c r="I161" i="1"/>
  <c r="I159" i="1"/>
  <c r="I157" i="1"/>
  <c r="I186" i="1"/>
  <c r="I182" i="1"/>
  <c r="I179" i="1"/>
  <c r="I175" i="1"/>
  <c r="I173" i="1"/>
  <c r="I164" i="1"/>
  <c r="I156" i="1"/>
  <c r="I153" i="1"/>
  <c r="I151" i="1"/>
  <c r="I149" i="1"/>
  <c r="I189" i="1"/>
  <c r="I178" i="1"/>
  <c r="I163" i="1"/>
  <c r="I160" i="1"/>
  <c r="I158" i="1"/>
  <c r="I184" i="1"/>
  <c r="I181" i="1"/>
  <c r="I171" i="1"/>
  <c r="I154" i="1"/>
  <c r="I152" i="1"/>
  <c r="I150" i="1"/>
  <c r="I177" i="1"/>
  <c r="I188" i="1"/>
  <c r="I172" i="1"/>
  <c r="I168" i="1"/>
  <c r="I166" i="1"/>
  <c r="I185" i="1"/>
  <c r="I174" i="1"/>
  <c r="E20" i="1"/>
  <c r="E38" i="1"/>
  <c r="E56" i="1"/>
  <c r="D137" i="1"/>
  <c r="O148" i="1"/>
  <c r="E73" i="1"/>
  <c r="E82" i="1" s="1"/>
  <c r="D91" i="1"/>
  <c r="E91" i="1"/>
  <c r="D73" i="1"/>
  <c r="D82" i="1" s="1"/>
  <c r="F91" i="1"/>
  <c r="F100" i="1" s="1"/>
  <c r="F73" i="1"/>
  <c r="F82" i="1" s="1"/>
  <c r="G91" i="1"/>
  <c r="G73" i="1"/>
  <c r="G82" i="1" s="1"/>
  <c r="D74" i="1"/>
  <c r="E25" i="1" l="1"/>
  <c r="E23" i="1"/>
  <c r="D100" i="1"/>
  <c r="D92" i="1"/>
  <c r="H100" i="1"/>
  <c r="D83" i="1"/>
  <c r="G100" i="1"/>
  <c r="E100" i="1"/>
  <c r="E69" i="1"/>
  <c r="E78" i="1" s="1"/>
  <c r="D110" i="1"/>
  <c r="D118" i="1" s="1"/>
  <c r="E110" i="1"/>
  <c r="E87" i="1"/>
  <c r="E96" i="1" s="1"/>
  <c r="E57" i="1"/>
  <c r="E109" i="1"/>
  <c r="E68" i="1"/>
  <c r="P179" i="1"/>
  <c r="P186" i="1"/>
  <c r="P170" i="1"/>
  <c r="P184" i="1"/>
  <c r="P177" i="1"/>
  <c r="P187" i="1"/>
  <c r="P163" i="1"/>
  <c r="P188" i="1"/>
  <c r="P149" i="1"/>
  <c r="P164" i="1"/>
  <c r="P180" i="1"/>
  <c r="P156" i="1"/>
  <c r="P178" i="1"/>
  <c r="P171" i="1"/>
  <c r="P172" i="1"/>
  <c r="P185" i="1"/>
  <c r="D126" i="1" l="1"/>
  <c r="D130" i="1"/>
  <c r="E129" i="1"/>
  <c r="D128" i="1"/>
  <c r="H130" i="1"/>
  <c r="E128" i="1"/>
  <c r="G130" i="1"/>
  <c r="D127" i="1"/>
  <c r="F129" i="1"/>
  <c r="D129" i="1"/>
  <c r="G129" i="1"/>
  <c r="D125" i="1"/>
  <c r="F128" i="1"/>
  <c r="E130" i="1"/>
  <c r="E127" i="1"/>
  <c r="F130" i="1"/>
  <c r="E58" i="1"/>
  <c r="E59" i="1"/>
  <c r="E118" i="1"/>
  <c r="K157" i="1"/>
  <c r="E37" i="1"/>
  <c r="E22" i="1"/>
  <c r="F19" i="1"/>
  <c r="E86" i="1"/>
  <c r="E117" i="1"/>
  <c r="K150" i="1"/>
  <c r="E77" i="1"/>
  <c r="E83" i="1"/>
  <c r="E74" i="1"/>
  <c r="E39" i="1"/>
  <c r="E26" i="1"/>
  <c r="P150" i="1"/>
  <c r="P157" i="1"/>
  <c r="E126" i="1" l="1"/>
  <c r="E125" i="1"/>
  <c r="E95" i="1"/>
  <c r="E92" i="1"/>
  <c r="D63" i="1"/>
  <c r="F24" i="1"/>
  <c r="E61" i="1"/>
  <c r="E62" i="1"/>
  <c r="E137" i="1" l="1"/>
  <c r="D138" i="1"/>
  <c r="E136" i="1"/>
  <c r="F38" i="1"/>
  <c r="F20" i="1"/>
  <c r="F56" i="1"/>
  <c r="E63" i="1"/>
  <c r="F109" i="1" l="1"/>
  <c r="F68" i="1"/>
  <c r="F69" i="1"/>
  <c r="F78" i="1" s="1"/>
  <c r="F110" i="1"/>
  <c r="E138" i="1"/>
  <c r="D111" i="1"/>
  <c r="D119" i="1" s="1"/>
  <c r="E111" i="1"/>
  <c r="E119" i="1" s="1"/>
  <c r="F111" i="1"/>
  <c r="F88" i="1"/>
  <c r="F97" i="1" s="1"/>
  <c r="F70" i="1"/>
  <c r="F79" i="1" s="1"/>
  <c r="F57" i="1"/>
  <c r="F25" i="1"/>
  <c r="F23" i="1"/>
  <c r="F118" i="1" l="1"/>
  <c r="L158" i="1"/>
  <c r="F26" i="1"/>
  <c r="F39" i="1"/>
  <c r="G19" i="1"/>
  <c r="F22" i="1"/>
  <c r="F37" i="1"/>
  <c r="F86" i="1"/>
  <c r="F87" i="1"/>
  <c r="F96" i="1" s="1"/>
  <c r="F58" i="1"/>
  <c r="F59" i="1"/>
  <c r="F119" i="1"/>
  <c r="L165" i="1"/>
  <c r="F74" i="1"/>
  <c r="F83" i="1"/>
  <c r="F77" i="1"/>
  <c r="F117" i="1"/>
  <c r="L151" i="1"/>
  <c r="P165" i="1"/>
  <c r="P158" i="1"/>
  <c r="P151" i="1"/>
  <c r="F127" i="1" l="1"/>
  <c r="F125" i="1"/>
  <c r="F126" i="1"/>
  <c r="G24" i="1"/>
  <c r="F95" i="1"/>
  <c r="F92" i="1"/>
  <c r="F62" i="1"/>
  <c r="F61" i="1"/>
  <c r="F136" i="1" l="1"/>
  <c r="G38" i="1"/>
  <c r="G20" i="1"/>
  <c r="G56" i="1"/>
  <c r="F137" i="1"/>
  <c r="F63" i="1"/>
  <c r="G109" i="1" l="1"/>
  <c r="G68" i="1"/>
  <c r="G110" i="1"/>
  <c r="G69" i="1"/>
  <c r="G78" i="1" s="1"/>
  <c r="G111" i="1"/>
  <c r="G70" i="1"/>
  <c r="G79" i="1" s="1"/>
  <c r="F138" i="1"/>
  <c r="G112" i="1"/>
  <c r="E112" i="1"/>
  <c r="E120" i="1" s="1"/>
  <c r="F112" i="1"/>
  <c r="F120" i="1" s="1"/>
  <c r="D112" i="1"/>
  <c r="D120" i="1" s="1"/>
  <c r="G71" i="1"/>
  <c r="G80" i="1" s="1"/>
  <c r="G57" i="1"/>
  <c r="G25" i="1"/>
  <c r="G23" i="1"/>
  <c r="G22" i="1" l="1"/>
  <c r="G37" i="1"/>
  <c r="H19" i="1"/>
  <c r="G86" i="1"/>
  <c r="G87" i="1"/>
  <c r="G96" i="1" s="1"/>
  <c r="G88" i="1"/>
  <c r="G97" i="1" s="1"/>
  <c r="G89" i="1"/>
  <c r="G98" i="1" s="1"/>
  <c r="G119" i="1"/>
  <c r="M166" i="1"/>
  <c r="G117" i="1"/>
  <c r="M152" i="1"/>
  <c r="G59" i="1"/>
  <c r="G58" i="1"/>
  <c r="G120" i="1"/>
  <c r="M173" i="1"/>
  <c r="G39" i="1"/>
  <c r="G26" i="1"/>
  <c r="G118" i="1"/>
  <c r="M159" i="1"/>
  <c r="G83" i="1"/>
  <c r="G77" i="1"/>
  <c r="G74" i="1"/>
  <c r="P152" i="1"/>
  <c r="P166" i="1"/>
  <c r="P173" i="1"/>
  <c r="P159" i="1"/>
  <c r="G127" i="1" l="1"/>
  <c r="G126" i="1"/>
  <c r="G128" i="1"/>
  <c r="G125" i="1"/>
  <c r="G62" i="1"/>
  <c r="G61" i="1"/>
  <c r="G92" i="1"/>
  <c r="G95" i="1"/>
  <c r="H24" i="1"/>
  <c r="G137" i="1" l="1"/>
  <c r="G63" i="1"/>
  <c r="H38" i="1"/>
  <c r="H20" i="1"/>
  <c r="H56" i="1"/>
  <c r="G136" i="1"/>
  <c r="H109" i="1" l="1"/>
  <c r="H68" i="1"/>
  <c r="H110" i="1"/>
  <c r="H69" i="1"/>
  <c r="H78" i="1" s="1"/>
  <c r="H70" i="1"/>
  <c r="H79" i="1" s="1"/>
  <c r="H111" i="1"/>
  <c r="H112" i="1"/>
  <c r="H71" i="1"/>
  <c r="H80" i="1" s="1"/>
  <c r="G138" i="1"/>
  <c r="E113" i="1"/>
  <c r="E121" i="1" s="1"/>
  <c r="F113" i="1"/>
  <c r="F121" i="1" s="1"/>
  <c r="D113" i="1"/>
  <c r="D121" i="1" s="1"/>
  <c r="H113" i="1"/>
  <c r="G113" i="1"/>
  <c r="G121" i="1" s="1"/>
  <c r="H72" i="1"/>
  <c r="H81" i="1" s="1"/>
  <c r="H57" i="1"/>
  <c r="H25" i="1"/>
  <c r="H23" i="1"/>
  <c r="H117" i="1" l="1"/>
  <c r="N153" i="1"/>
  <c r="H26" i="1"/>
  <c r="H39" i="1"/>
  <c r="H58" i="1"/>
  <c r="H59" i="1"/>
  <c r="H121" i="1"/>
  <c r="N181" i="1"/>
  <c r="H120" i="1"/>
  <c r="N174" i="1"/>
  <c r="H118" i="1"/>
  <c r="N160" i="1"/>
  <c r="I19" i="1"/>
  <c r="H37" i="1"/>
  <c r="H22" i="1"/>
  <c r="H86" i="1"/>
  <c r="H87" i="1"/>
  <c r="H96" i="1" s="1"/>
  <c r="H88" i="1"/>
  <c r="H97" i="1" s="1"/>
  <c r="H89" i="1"/>
  <c r="H98" i="1" s="1"/>
  <c r="H90" i="1"/>
  <c r="H99" i="1" s="1"/>
  <c r="H119" i="1"/>
  <c r="N167" i="1"/>
  <c r="H83" i="1"/>
  <c r="H77" i="1"/>
  <c r="H74" i="1"/>
  <c r="P174" i="1"/>
  <c r="P167" i="1"/>
  <c r="P181" i="1"/>
  <c r="P153" i="1"/>
  <c r="P160" i="1"/>
  <c r="H126" i="1" l="1"/>
  <c r="H129" i="1"/>
  <c r="H127" i="1"/>
  <c r="H128" i="1"/>
  <c r="H125" i="1"/>
  <c r="I24" i="1"/>
  <c r="H92" i="1"/>
  <c r="H95" i="1"/>
  <c r="H61" i="1"/>
  <c r="H62" i="1"/>
  <c r="H63" i="1" l="1"/>
  <c r="H138" i="1" s="1"/>
  <c r="H137" i="1"/>
  <c r="I38" i="1"/>
  <c r="I20" i="1"/>
  <c r="I56" i="1"/>
  <c r="H136" i="1"/>
  <c r="H114" i="1" l="1"/>
  <c r="H122" i="1" s="1"/>
  <c r="I114" i="1"/>
  <c r="D114" i="1"/>
  <c r="D122" i="1" s="1"/>
  <c r="G114" i="1"/>
  <c r="G122" i="1" s="1"/>
  <c r="E114" i="1"/>
  <c r="E122" i="1" s="1"/>
  <c r="F114" i="1"/>
  <c r="F122" i="1" s="1"/>
  <c r="I73" i="1"/>
  <c r="I82" i="1" s="1"/>
  <c r="I57" i="1"/>
  <c r="I25" i="1"/>
  <c r="I23" i="1"/>
  <c r="I91" i="1" s="1"/>
  <c r="I100" i="1" s="1"/>
  <c r="I109" i="1"/>
  <c r="I68" i="1"/>
  <c r="I69" i="1"/>
  <c r="I78" i="1" s="1"/>
  <c r="I110" i="1"/>
  <c r="I70" i="1"/>
  <c r="I79" i="1" s="1"/>
  <c r="I111" i="1"/>
  <c r="I112" i="1"/>
  <c r="I71" i="1"/>
  <c r="I80" i="1" s="1"/>
  <c r="I113" i="1"/>
  <c r="I72" i="1"/>
  <c r="I81" i="1" s="1"/>
  <c r="I119" i="1" l="1"/>
  <c r="O168" i="1"/>
  <c r="I77" i="1"/>
  <c r="I74" i="1"/>
  <c r="I83" i="1"/>
  <c r="I58" i="1"/>
  <c r="I59" i="1"/>
  <c r="I121" i="1"/>
  <c r="O182" i="1"/>
  <c r="I117" i="1"/>
  <c r="O154" i="1"/>
  <c r="I118" i="1"/>
  <c r="O161" i="1"/>
  <c r="I37" i="1"/>
  <c r="I22" i="1"/>
  <c r="I87" i="1"/>
  <c r="I96" i="1" s="1"/>
  <c r="I86" i="1"/>
  <c r="I88" i="1"/>
  <c r="I97" i="1" s="1"/>
  <c r="I89" i="1"/>
  <c r="I98" i="1" s="1"/>
  <c r="I90" i="1"/>
  <c r="I99" i="1" s="1"/>
  <c r="I120" i="1"/>
  <c r="O175" i="1"/>
  <c r="I39" i="1"/>
  <c r="I26" i="1"/>
  <c r="I122" i="1"/>
  <c r="O189" i="1"/>
  <c r="P189" i="1"/>
  <c r="P161" i="1"/>
  <c r="P182" i="1"/>
  <c r="P168" i="1"/>
  <c r="P154" i="1"/>
  <c r="P175" i="1"/>
  <c r="I126" i="1" l="1"/>
  <c r="I129" i="1"/>
  <c r="I125" i="1"/>
  <c r="I130" i="1"/>
  <c r="I128" i="1"/>
  <c r="I127" i="1"/>
  <c r="I95" i="1"/>
  <c r="I92" i="1"/>
  <c r="I61" i="1"/>
  <c r="I136" i="1" s="1"/>
  <c r="I62" i="1"/>
  <c r="I137" i="1" s="1"/>
  <c r="I63" i="1" l="1"/>
  <c r="I138" i="1" s="1"/>
</calcChain>
</file>

<file path=xl/sharedStrings.xml><?xml version="1.0" encoding="utf-8"?>
<sst xmlns="http://schemas.openxmlformats.org/spreadsheetml/2006/main" count="217" uniqueCount="168">
  <si>
    <t>This is a stand-alone, instructional tool to help think about how future rounds impact returns to investors. Details: https://foresight.is/learn/venture-valuation</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</si>
  <si>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</si>
  <si>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The investments and proceeds are calculated for all investors, for 1 investor, and done on an absolute and probability-weighted basis.</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</si>
  <si>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</si>
  <si>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Name of Round</t>
  </si>
  <si>
    <t>Seed</t>
  </si>
  <si>
    <t>A</t>
  </si>
  <si>
    <t>B</t>
  </si>
  <si>
    <t>C</t>
  </si>
  <si>
    <t>D</t>
  </si>
  <si>
    <t>E</t>
  </si>
  <si>
    <t>[2] Only used for labeling in this structure, no data is determinant of it. This sheet is independent of other sheets and the rounds forecasted in other sheets.</t>
  </si>
  <si>
    <t>Fundraising</t>
  </si>
  <si>
    <t>% of Companies that raised the previous round, that raise this round</t>
  </si>
  <si>
    <t>%</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</si>
  <si>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</si>
  <si>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</si>
  <si>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Multiple of stepup in valuation (premoney)</t>
  </si>
  <si>
    <t>#</t>
  </si>
  <si>
    <t>[5] This is a major assumption that you'll want to ground using benchmark data for your industry, focus, geographic region.</t>
  </si>
  <si>
    <t>Multiple of stepup in valuation (postmoney)</t>
  </si>
  <si>
    <t>Multiple of new invested capital</t>
  </si>
  <si>
    <t>[6] This is a major assumption that you'll want to ground using benchmark data for your industry, focus, geographic region.</t>
  </si>
  <si>
    <t># months between rounds</t>
  </si>
  <si>
    <t>[7] This is a major assumption that you'll want to ground using benchmark data for your industry, focus, geographic region.</t>
  </si>
  <si>
    <t>Date</t>
  </si>
  <si>
    <t>-</t>
  </si>
  <si>
    <t>[8] this is only used or IRR calcs</t>
  </si>
  <si>
    <t>Total Investment in Round</t>
  </si>
  <si>
    <t>$</t>
  </si>
  <si>
    <t>[9] This is for *all* investors in each round.</t>
  </si>
  <si>
    <t>Premoney</t>
  </si>
  <si>
    <t>[10] Calculated using the stepup multiple per round</t>
  </si>
  <si>
    <t>Postmoney</t>
  </si>
  <si>
    <t>[11] Convertible instruments make this harder, so essentially assuming this is all equity deals, no convertibles.</t>
  </si>
  <si>
    <t># of Shares, Beginning of Round</t>
  </si>
  <si>
    <t>[12] the # in the first round is an input, but it doesn't impact returns, only the absolute share prices</t>
  </si>
  <si>
    <t># Shares purchased in Round</t>
  </si>
  <si>
    <t>[13] Purchased in each round.</t>
  </si>
  <si>
    <t>% Option Pool maintained, postmoney</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</si>
  <si>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</si>
  <si>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</si>
  <si>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</si>
  <si>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</si>
  <si>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</si>
  <si>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 Share Price</t>
  </si>
  <si>
    <t>[18] New share price, price for shares purchased and issued in round</t>
  </si>
  <si>
    <t># of Shares purchased by Investors, Total</t>
  </si>
  <si>
    <t>[19] Total, over time</t>
  </si>
  <si>
    <t>% of Outstanding, owned by Investors, End of Round</t>
  </si>
  <si>
    <t>[20] If the option pool is continually kept up, and since this assumes that the option pool is created postmoney, this could potentially go down over time in some scenarios</t>
  </si>
  <si>
    <t>% of Company sold in each round</t>
  </si>
  <si>
    <t>[46] simple calc using potmoney valuations, prior to new option pool</t>
  </si>
  <si>
    <t>Exits</t>
  </si>
  <si>
    <t>% of Companies that raised this round, fail or exit after this round (without raising the next round)</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</si>
  <si>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</si>
  <si>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</si>
  <si>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[23] Of the companies that failed or exited in [21], what % of them were fails?</t>
  </si>
  <si>
    <t>Average gross multiple on share price, exit after raising this round</t>
  </si>
  <si>
    <t>[24] average of companies that exit after raising each round. Must ground this data relevant to your stage, geography, and investment strategy</t>
  </si>
  <si>
    <t># months from investment to exit, after raising this round</t>
  </si>
  <si>
    <t>[25] this impacts IRRs. I'm assuming this isn't necessarily the same as the time to next round, as the assumption above in [7]</t>
  </si>
  <si>
    <t>Exit Value</t>
  </si>
  <si>
    <t>[26] Calculated using the average exit multiple in [23]</t>
  </si>
  <si>
    <t>Exit Share Price</t>
  </si>
  <si>
    <t>[27] Exit share price, used to caluculate proceeds to shareholders</t>
  </si>
  <si>
    <t>Proceeds to all Investors (if Exit after this Round)</t>
  </si>
  <si>
    <t>[28] Assuming all converts to common, no liquidation preferences that distributes proceeds between preferred and common non-prorata to share ownership. That's a major simplifying assumption. If you want to get more detailed about this or evaluate returns at lower valuations where preferences allocate proceeds differently, use the Cap Table &amp; Exit Waterfall tool - https://foresight.is/cap-table - to evaluate those situations</t>
  </si>
  <si>
    <t>Fundraising &amp; Exits</t>
  </si>
  <si>
    <t>For each round…</t>
  </si>
  <si>
    <t>Amount raised</t>
  </si>
  <si>
    <t>at a premoney valuation</t>
  </si>
  <si>
    <t>% that raise next round</t>
  </si>
  <si>
    <t>[29] the "0% raise for the last round is necessary to make the model work, if you want to extend to more rounds just add in another column and extend</t>
  </si>
  <si>
    <t>% that fail</t>
  </si>
  <si>
    <t>% that sell</t>
  </si>
  <si>
    <t>Returns, All Investors or Single Investor</t>
  </si>
  <si>
    <t>Invested, as % of Investment Round</t>
  </si>
  <si>
    <t>[30] If you type in 100%, then these returns wil reflect all investors. If you modify the %s to denote the % that this investor took of each round, then it would reflect a single investor and their returns</t>
  </si>
  <si>
    <t>Investor: Investment</t>
  </si>
  <si>
    <t>[31] Either a single investor or all investors, depending on how you use [28]</t>
  </si>
  <si>
    <t>Investor: Shares Purchased in Round</t>
  </si>
  <si>
    <t>Investor, Total Shares Owned</t>
  </si>
  <si>
    <t>Investor: % ownership, postmoney</t>
  </si>
  <si>
    <t>Investor, Proceeds (if Exit after this Round)</t>
  </si>
  <si>
    <t>[41] this is done on an average outcome basis, which makes [23] and [24] important assumptions. Feel free to edit the default to reflect when you think this investment will exit.</t>
  </si>
  <si>
    <t>Gross Multiple (if Exit after this Round)</t>
  </si>
  <si>
    <t>[32] Proceeds / total invested, calculated to show what it would be if the company exited in this round</t>
  </si>
  <si>
    <t>ROI (if Exit after this Round)</t>
  </si>
  <si>
    <t>[33] Calculated as (Proceeds - Investments) / Investments</t>
  </si>
  <si>
    <t>IRR (if Exit after this Round)</t>
  </si>
  <si>
    <t>[34] Calculated below.</t>
  </si>
  <si>
    <t>Composition of Proceeds and returns by Round</t>
  </si>
  <si>
    <t>Proceeds to shareholders (if exit after this Round)</t>
  </si>
  <si>
    <t>[40] This implicitly assumes that all shareholders convert to common and there are no liquidation preferences or structures that distribute proceeds to different shareholder classes at a different rate than shares * share price. To do a more detailed waterfall with different shareholder classes, use the Cap Table &amp; Exit Waterfall Tool to evaluate distribution to sharedholders in different situations.</t>
  </si>
  <si>
    <t>Total</t>
  </si>
  <si>
    <t>Gross Multiple to shareholders (if Exit after this Round)</t>
  </si>
  <si>
    <t>Blended</t>
  </si>
  <si>
    <t>[42] this is a check; this should equal [32]</t>
  </si>
  <si>
    <t>% Ownership, per shareholder class at the end of each funding round</t>
  </si>
  <si>
    <t>[43] shows % ownership of each class of shareholder over time, at the end of each funding round; obiously, an investor can invest in multiple rounds so their overall ownership may vary.</t>
  </si>
  <si>
    <t>% Overall Dilution, at end of each funding Round</t>
  </si>
  <si>
    <t>[44] per class of shareholder, as calculated from the % ownerships above</t>
  </si>
  <si>
    <t>Returns, All Investors or Single Investor, Alternate Investment Strategies</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</si>
  <si>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</si>
  <si>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</si>
  <si>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Proceeds, if invested through round (down) and held until Exit after this Round (to the right)</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</si>
  <si>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</si>
  <si>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Gross Multiple, if invested through round (down) and held until Exit after this Round (to the right)</t>
  </si>
  <si>
    <t>[45] this shows returns if you invest in a round and each subsequent round, how much you earn overall. This is effectively a blended return for an investor that invests in the first round and continues investing throughout. This differs from [40] because [40] is returns per class of shareholder, this is overall blended</t>
  </si>
  <si>
    <t>IRR, if invested through round (down) and held until Exit after this Round (to the right)</t>
  </si>
  <si>
    <t>[36] What's this? This is the expected IRRs given the proceeds analysis in [35]</t>
  </si>
  <si>
    <t>Returns, All Investors or Single Investor, Probability-weighted</t>
  </si>
  <si>
    <t>Extra information for analysis. They take the forecasted multiples, ROI and IRRs and apply probability weighting based on the estimate of how many companies raise or exit at each round.</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</si>
  <si>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</si>
  <si>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</si>
  <si>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What to pay attention to:</t>
  </si>
  <si>
    <t>Extra IRR calcs per combination of investing and exit</t>
  </si>
  <si>
    <t>[39] The methods used for calculating IRRs across multiple scenarios are a little tedious, thus they are carried out down here just to make things a little clearner visually. Personal preference.</t>
  </si>
  <si>
    <t>Investor, (Investments) Proceeds (if Exit after this Round)</t>
  </si>
  <si>
    <t>IRR</t>
  </si>
  <si>
    <t xml:space="preserve"> Venture Capital Valuation</t>
  </si>
  <si>
    <t>CHANGELOG</t>
  </si>
  <si>
    <t>Questions, ask hello@foresight.is anytime.</t>
  </si>
  <si>
    <t>by Foresight</t>
  </si>
  <si>
    <t>GOAL</t>
  </si>
  <si>
    <t>Goal of this model is to create an easy way for anyone to model a startup business. The model uses external market data where applicable and estimates by Taylor when necessary. You should adjust all metrics and inputs to fit your business.</t>
  </si>
  <si>
    <t>UPDATES</t>
  </si>
  <si>
    <t>If you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</si>
  <si>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DOCUMENTATION</t>
  </si>
  <si>
    <t>HOW TO USE</t>
  </si>
  <si>
    <t>Copyright 2020 Unstructured Ventures, LLC</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</si>
  <si>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</si>
  <si>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SKU</t>
  </si>
  <si>
    <t>License Agreement</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</si>
  <si>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</si>
  <si>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</si>
  <si>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</si>
  <si>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</si>
  <si>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</si>
  <si>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</si>
  <si>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</si>
  <si>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</si>
  <si>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</si>
  <si>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</si>
  <si>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</si>
  <si>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</si>
  <si>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</si>
  <si>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</si>
  <si>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</si>
  <si>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</si>
  <si>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</si>
  <si>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</si>
  <si>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</si>
  <si>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v1.0.0 - April 7, 2020</t>
  </si>
  <si>
    <t>Creating Changelog in the first version of the Venture Valuation Tool distributed as a stand alone model.</t>
  </si>
  <si>
    <t>Use of this model signifies acceptance of license</t>
  </si>
  <si>
    <t>tool</t>
  </si>
  <si>
    <t>Support independent entrepreneurs.</t>
  </si>
  <si>
    <t>venture</t>
  </si>
  <si>
    <t>valuation</t>
  </si>
  <si>
    <t>1) Any number in blue with grey shaded background is an input (i.e. an assumption or data point that can be changed), anything in black is the result of a formula. Change blue at will, change anything in black with caution.</t>
  </si>
  <si>
    <t>2) Notes on what's changed in versions of the template are on the "Changelog" sheet.</t>
  </si>
  <si>
    <t>3) As with all templates, feel free to create your own model from scratch, using this as a guide. The intent is for this model to be easy to plug and play and answer the major business questions, but I would expect you to need to make changes or build custom analyses for your specific business.</t>
  </si>
  <si>
    <t>foresight.is</t>
  </si>
  <si>
    <t>hello</t>
  </si>
  <si>
    <t>LICENSE</t>
  </si>
  <si>
    <t>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</si>
</sst>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
    <numFmt numFmtId="165" formatCode="0.0%"/>
    <numFmt numFmtId="166" formatCode="_(* #,##0.0_);_(* \(#,##0.0\);_(* &quot;-&quot;??_);_(@_)"/>
    <numFmt numFmtId="167" formatCode="_(* #,##0_);_(* \(#,##0\);_(* &quot;-&quot;??_);_(@_)"/>
    <numFmt numFmtId="168" formatCode="_-* #,##0_-;\-* #,##0_-;_-* &quot;-&quot;??_-;_-@_-"/>
    <numFmt numFmtId="169" formatCode="_(* #,##0.000_);_(* \(#,##0.000\);_(* &quot;-&quot;??_);_(@_)"/>
    <numFmt numFmtId="170" formatCode="_-* #,##0.00_-;\-* #,##0.00_-;_-* &quot;-&quot;??_-;_-@_-"/>
  </numFmts>
  <fonts count="11">
    <font>
      <sz val="12"/>
      <color theme="1"/>
      <name val="Calibri"/>
      <family val="2"/>
      <scheme val="minor"/>
    </font>
    <font>
      <sz val="12"/>
      <color theme="1"/>
      <name val="Calibri"/>
      <family val="2"/>
      <scheme val="minor"/>
    </font>
    <font>
      <sz val="12"/>
      <color theme="1"/>
      <name val="Arial Narrow"/>
      <family val="2"/>
    </font>
    <font>
      <sz val="14"/>
      <color theme="1"/>
      <name val="Open Sans Regular"/>
    </font>
    <font>
      <b/>
      <sz val="14"/>
      <color theme="1"/>
      <name val="Open Sans Regular"/>
    </font>
    <font>
      <i/>
      <sz val="14"/>
      <color theme="1"/>
      <name val="Open Sans Regular"/>
    </font>
    <font>
      <sz val="14"/>
      <color rgb="FF0000FF"/>
      <name val="Open Sans Regular"/>
    </font>
    <font>
      <sz val="14"/>
      <name val="Open Sans Regular"/>
    </font>
    <font>
      <b/>
      <u/>
      <sz val="14"/>
      <color theme="1"/>
      <name val="Open Sans Regular"/>
    </font>
    <font>
      <sz val="14"/>
      <color rgb="FF000000"/>
      <name val="Open Sans Regular"/>
    </font>
    <font>
      <sz val="14"/>
      <color theme="1"/>
      <name val="Avenir Book"/>
      <family val="2"/>
    </font>
  </fonts>
  <fills count="4">
    <fill>
      <patternFill patternType="none"/>
    </fill>
    <fill>
      <patternFill patternType="gray125"/>
    </fill>
    <fill>
      <patternFill patternType="solid">
        <fgColor theme="0" tint="-4.9989318521683403E-2"/>
        <bgColor indexed="64"/>
      </patternFill>
    </fill>
    <fill>
      <patternFill patternType="solid">
        <fgColor rgb="FFD9E1F3"/>
        <bgColor indexed="64"/>
      </patternFill>
    </fill>
  </fills>
  <borders count="2">
    <border>
      <left/>
      <right/>
      <top/>
      <bottom/>
      <diagonal/>
    </border>
    <border>
      <left/>
      <right/>
      <top style="thin">
        <color auto="1"/>
      </top>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70" fontId="2" fillId="0" borderId="0" applyFont="0" applyFill="0" applyBorder="0" applyAlignment="0" applyProtection="0"/>
    <xf numFmtId="0" fontId="1" fillId="0" borderId="0"/>
    <xf numFmtId="0" fontId="1" fillId="0" borderId="0"/>
    <xf numFmtId="0" fontId="2" fillId="0" borderId="0"/>
    <xf numFmtId="0" fontId="1" fillId="0" borderId="0"/>
    <xf numFmtId="0" fontId="1" fillId="0" borderId="0"/>
  </cellStyleXfs>
  <cellXfs count="71">
    <xf numFmtId="0" fontId="0" fillId="0" borderId="0" xfId="0"/>
    <xf numFmtId="0" fontId="3" fillId="0" borderId="0" xfId="0" applyFont="1" applyAlignment="1">
      <alignment horizontal="center"/>
    </xf>
    <xf numFmtId="0" fontId="4" fillId="0" borderId="0" xfId="0" applyFont="1"/>
    <xf numFmtId="0" fontId="4" fillId="0" borderId="0" xfId="0" applyFont="1" applyAlignment="1">
      <alignment horizontal="center"/>
    </xf>
    <xf numFmtId="43" fontId="3" fillId="0" borderId="0" xfId="1" applyFont="1"/>
    <xf numFmtId="0" fontId="3" fillId="0" borderId="0" xfId="0" applyFont="1"/>
    <xf numFmtId="0" fontId="5" fillId="0" borderId="0" xfId="0" applyFont="1"/>
    <xf numFmtId="0" fontId="3" fillId="0" borderId="0" xfId="0" applyFont="1" applyAlignment="1">
      <alignment horizontal="right"/>
    </xf>
    <xf numFmtId="164" fontId="3" fillId="0" borderId="0" xfId="0" applyNumberFormat="1" applyFont="1"/>
    <xf numFmtId="9" fontId="6" fillId="2" borderId="0" xfId="2" applyFont="1" applyFill="1" applyAlignment="1">
      <alignment horizontal="right"/>
    </xf>
    <xf numFmtId="165" fontId="7" fillId="0" borderId="0" xfId="2" applyNumberFormat="1" applyFont="1" applyAlignment="1">
      <alignment horizontal="right"/>
    </xf>
    <xf numFmtId="165" fontId="6" fillId="2" borderId="0" xfId="2" applyNumberFormat="1" applyFont="1" applyFill="1" applyAlignment="1">
      <alignment horizontal="right"/>
    </xf>
    <xf numFmtId="165" fontId="3" fillId="0" borderId="0" xfId="0" applyNumberFormat="1" applyFont="1"/>
    <xf numFmtId="165" fontId="3" fillId="0" borderId="0" xfId="2" applyNumberFormat="1" applyFont="1"/>
    <xf numFmtId="166" fontId="7" fillId="0" borderId="0" xfId="1" applyNumberFormat="1" applyFont="1"/>
    <xf numFmtId="166" fontId="6" fillId="2" borderId="0" xfId="1" applyNumberFormat="1" applyFont="1" applyFill="1"/>
    <xf numFmtId="167" fontId="6" fillId="2" borderId="0" xfId="1" applyNumberFormat="1" applyFont="1" applyFill="1"/>
    <xf numFmtId="15" fontId="6" fillId="2" borderId="0" xfId="2" applyNumberFormat="1" applyFont="1" applyFill="1" applyAlignment="1">
      <alignment horizontal="right"/>
    </xf>
    <xf numFmtId="15" fontId="7" fillId="0" borderId="0" xfId="2" applyNumberFormat="1" applyFont="1" applyAlignment="1">
      <alignment horizontal="right"/>
    </xf>
    <xf numFmtId="168" fontId="6" fillId="2" borderId="0" xfId="3" applyNumberFormat="1" applyFont="1" applyFill="1" applyAlignment="1">
      <alignment horizontal="center"/>
    </xf>
    <xf numFmtId="167" fontId="7" fillId="0" borderId="0" xfId="1" applyNumberFormat="1" applyFont="1"/>
    <xf numFmtId="167" fontId="3" fillId="0" borderId="0" xfId="0" applyNumberFormat="1" applyFont="1"/>
    <xf numFmtId="167" fontId="3" fillId="0" borderId="0" xfId="3" applyNumberFormat="1" applyFont="1" applyAlignment="1">
      <alignment horizontal="center"/>
    </xf>
    <xf numFmtId="0" fontId="3" fillId="0" borderId="0" xfId="2" applyNumberFormat="1" applyFont="1"/>
    <xf numFmtId="169" fontId="3" fillId="0" borderId="0" xfId="1" applyNumberFormat="1" applyFont="1"/>
    <xf numFmtId="9" fontId="3" fillId="0" borderId="0" xfId="2" applyFont="1"/>
    <xf numFmtId="9" fontId="3" fillId="0" borderId="0" xfId="4" applyFont="1" applyAlignment="1">
      <alignment horizontal="right"/>
    </xf>
    <xf numFmtId="165" fontId="7" fillId="0" borderId="0" xfId="2" applyNumberFormat="1" applyFont="1"/>
    <xf numFmtId="9" fontId="6" fillId="2" borderId="0" xfId="2" applyFont="1" applyFill="1"/>
    <xf numFmtId="43" fontId="6" fillId="2" borderId="0" xfId="1" applyFont="1" applyFill="1"/>
    <xf numFmtId="15" fontId="3" fillId="0" borderId="0" xfId="0" applyNumberFormat="1" applyFont="1"/>
    <xf numFmtId="167" fontId="3" fillId="0" borderId="0" xfId="1" applyNumberFormat="1" applyFont="1"/>
    <xf numFmtId="43" fontId="3" fillId="0" borderId="0" xfId="0" applyNumberFormat="1" applyFont="1" applyAlignment="1">
      <alignment horizontal="center"/>
    </xf>
    <xf numFmtId="9" fontId="3" fillId="0" borderId="0" xfId="0" applyNumberFormat="1" applyFont="1"/>
    <xf numFmtId="167" fontId="4" fillId="0" borderId="0" xfId="1" applyNumberFormat="1" applyFont="1" applyAlignment="1">
      <alignment horizontal="center"/>
    </xf>
    <xf numFmtId="167" fontId="3" fillId="0" borderId="0" xfId="1" applyNumberFormat="1" applyFont="1" applyAlignment="1">
      <alignment horizontal="center"/>
    </xf>
    <xf numFmtId="0" fontId="3" fillId="0" borderId="0" xfId="1" applyNumberFormat="1" applyFont="1"/>
    <xf numFmtId="43" fontId="3" fillId="0" borderId="0" xfId="1" applyFont="1" applyAlignment="1">
      <alignment horizontal="right"/>
    </xf>
    <xf numFmtId="9" fontId="3" fillId="0" borderId="0" xfId="2" applyFont="1" applyAlignment="1">
      <alignment horizontal="right"/>
    </xf>
    <xf numFmtId="167" fontId="3" fillId="0" borderId="0" xfId="1" applyNumberFormat="1" applyFont="1" applyAlignment="1">
      <alignment horizontal="right"/>
    </xf>
    <xf numFmtId="167" fontId="3" fillId="0" borderId="1" xfId="3" applyNumberFormat="1" applyFont="1" applyBorder="1" applyAlignment="1">
      <alignment horizontal="center"/>
    </xf>
    <xf numFmtId="43" fontId="3" fillId="0" borderId="1" xfId="3" applyFont="1" applyBorder="1"/>
    <xf numFmtId="9" fontId="3" fillId="0" borderId="1" xfId="4" applyFont="1" applyBorder="1" applyAlignment="1">
      <alignment horizontal="right"/>
    </xf>
    <xf numFmtId="9" fontId="3" fillId="0" borderId="0" xfId="4" applyFont="1"/>
    <xf numFmtId="43" fontId="3" fillId="0" borderId="0" xfId="0" applyNumberFormat="1" applyFont="1"/>
    <xf numFmtId="0" fontId="8" fillId="0" borderId="0" xfId="0" applyFont="1"/>
    <xf numFmtId="167" fontId="3" fillId="0" borderId="0" xfId="0" applyNumberFormat="1" applyFont="1" applyAlignment="1">
      <alignment horizontal="right"/>
    </xf>
    <xf numFmtId="168" fontId="3" fillId="0" borderId="0" xfId="5" applyNumberFormat="1" applyFont="1"/>
    <xf numFmtId="0" fontId="4" fillId="0" borderId="0" xfId="5" applyNumberFormat="1" applyFont="1"/>
    <xf numFmtId="0" fontId="3" fillId="0" borderId="0" xfId="5" applyNumberFormat="1" applyFont="1" applyAlignment="1">
      <alignment wrapText="1"/>
    </xf>
    <xf numFmtId="0" fontId="3" fillId="0" borderId="0" xfId="5" applyNumberFormat="1" applyFont="1"/>
    <xf numFmtId="0" fontId="4" fillId="0" borderId="0" xfId="8" applyFont="1" applyAlignment="1">
      <alignment wrapText="1"/>
    </xf>
    <xf numFmtId="0" fontId="3" fillId="0" borderId="0" xfId="8" applyFont="1"/>
    <xf numFmtId="0" fontId="3" fillId="0" borderId="0" xfId="8" applyFont="1" applyAlignment="1">
      <alignment wrapText="1"/>
    </xf>
    <xf numFmtId="0" fontId="5" fillId="0" borderId="0" xfId="8" applyFont="1" applyAlignment="1">
      <alignment wrapText="1"/>
    </xf>
    <xf numFmtId="0" fontId="10" fillId="3" borderId="0" xfId="10" applyFont="1" applyFill="1"/>
    <xf numFmtId="0" fontId="4" fillId="3" borderId="0" xfId="6" applyFont="1" applyFill="1"/>
    <xf numFmtId="0" fontId="3" fillId="3" borderId="0" xfId="7" applyFont="1" applyFill="1"/>
    <xf numFmtId="0" fontId="3" fillId="3" borderId="0" xfId="6" applyFont="1" applyFill="1"/>
    <xf numFmtId="0" fontId="3" fillId="3" borderId="0" xfId="6" applyFont="1" applyFill="1" applyAlignment="1">
      <alignment wrapText="1"/>
    </xf>
    <xf numFmtId="0" fontId="3" fillId="3" borderId="0" xfId="8" applyFont="1" applyFill="1" applyAlignment="1" applyProtection="1">
      <alignment wrapText="1"/>
      <protection hidden="1"/>
    </xf>
    <xf numFmtId="0" fontId="9" fillId="3" borderId="0" xfId="8" applyFont="1" applyFill="1" applyAlignment="1" applyProtection="1">
      <alignment wrapText="1"/>
      <protection hidden="1"/>
    </xf>
    <xf numFmtId="0" fontId="8" fillId="3" borderId="0" xfId="7" applyFont="1" applyFill="1"/>
    <xf numFmtId="0" fontId="8" fillId="3" borderId="0" xfId="7" applyFont="1" applyFill="1" applyAlignment="1">
      <alignment vertical="top" wrapText="1"/>
    </xf>
    <xf numFmtId="0" fontId="3" fillId="3" borderId="0" xfId="6" applyFont="1" applyFill="1" applyAlignment="1" applyProtection="1">
      <alignment wrapText="1"/>
      <protection hidden="1"/>
    </xf>
    <xf numFmtId="0" fontId="3" fillId="3" borderId="0" xfId="7" applyFont="1" applyFill="1" applyAlignment="1">
      <alignment vertical="top" wrapText="1"/>
    </xf>
    <xf numFmtId="0" fontId="8" fillId="3" borderId="0" xfId="7" applyFont="1" applyFill="1" applyAlignment="1">
      <alignment wrapText="1"/>
    </xf>
    <xf numFmtId="0" fontId="4" fillId="3" borderId="0" xfId="7" applyFont="1" applyFill="1" applyAlignment="1">
      <alignment wrapText="1"/>
    </xf>
    <xf numFmtId="0" fontId="3" fillId="3" borderId="0" xfId="7" applyFont="1" applyFill="1" applyAlignment="1">
      <alignment wrapText="1"/>
    </xf>
    <xf numFmtId="0" fontId="3" fillId="3" borderId="0" xfId="7" applyFont="1" applyFill="1" applyAlignment="1">
      <alignment horizontal="left" vertical="top" wrapText="1"/>
    </xf>
    <xf numFmtId="0" fontId="4" fillId="3" borderId="0" xfId="7" applyFont="1" applyFill="1"/>
  </cellXfs>
  <cellStyles count="11">
    <cellStyle name="Comma 10" xfId="3" xr:uid="{7E780D42-8F46-7445-8F61-6B969E5AD5E5}"/>
    <cellStyle name="Comma 17 2 2 2" xfId="1" xr:uid="{FE475603-AFFD-C548-9E28-5332CA5ECE32}"/>
    <cellStyle name="Comma 2" xfId="5" xr:uid="{953A3C49-DA33-354D-8447-C1C2AE0FF013}"/>
    <cellStyle name="Normal" xfId="0" builtinId="0"/>
    <cellStyle name="Normal 2" xfId="8" xr:uid="{844E76D3-8E56-3748-945B-EA29716B40AF}"/>
    <cellStyle name="Normal 8 2" xfId="6" xr:uid="{BD6D875F-DF14-3E4F-BC74-C4EA7C201A69}"/>
    <cellStyle name="Normal 8 2 2 3" xfId="9" xr:uid="{05ED5751-CFBF-F442-97EB-E4B2E04ED737}"/>
    <cellStyle name="Normal 8 2 3" xfId="7" xr:uid="{436B8513-AD05-DC42-971C-BBDC00583D1C}"/>
    <cellStyle name="Normal 8 2 3 4" xfId="10" xr:uid="{430DD9A8-B4B3-1B46-9A48-85384810EA26}"/>
    <cellStyle name="Percent 10" xfId="4" xr:uid="{C9F276A3-4A7E-A441-83AF-EA921483D81B}"/>
    <cellStyle name="Percent 14 2 2 2" xfId="2" xr:uid="{909675B6-38E9-2E4C-B6F1-CD6B0A68A798}"/>
  </cellStyles>
  <dxfs count="0"/>
  <tableStyles count="0" defaultTableStyle="TableStyleMedium2" defaultPivotStyle="PivotStyleLight16"/>
  <colors>
    <mruColors>
      <color rgb="FFD9E1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1181100</xdr:colOff>
      <xdr:row>42</xdr:row>
      <xdr:rowOff>114300</xdr:rowOff>
    </xdr:from>
    <xdr:to>
      <xdr:col>4</xdr:col>
      <xdr:colOff>254000</xdr:colOff>
      <xdr:row>42</xdr:row>
      <xdr:rowOff>114300</xdr:rowOff>
    </xdr:to>
    <xdr:cxnSp macro="">
      <xdr:nvCxnSpPr>
        <xdr:cNvPr id="2" name="Straight Connector 1">
          <a:extLst>
            <a:ext uri="{FF2B5EF4-FFF2-40B4-BE49-F238E27FC236}">
              <a16:creationId xmlns:a16="http://schemas.microsoft.com/office/drawing/2014/main" id="{27D1C058-2799-1849-A7DB-7BA686F7517A}"/>
            </a:ext>
          </a:extLst>
        </xdr:cNvPr>
        <xdr:cNvCxnSpPr/>
      </xdr:nvCxnSpPr>
      <xdr:spPr>
        <a:xfrm>
          <a:off x="6197600" y="91821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42</xdr:row>
      <xdr:rowOff>114300</xdr:rowOff>
    </xdr:from>
    <xdr:to>
      <xdr:col>5</xdr:col>
      <xdr:colOff>254000</xdr:colOff>
      <xdr:row>42</xdr:row>
      <xdr:rowOff>114300</xdr:rowOff>
    </xdr:to>
    <xdr:cxnSp macro="">
      <xdr:nvCxnSpPr>
        <xdr:cNvPr id="3" name="Straight Connector 2">
          <a:extLst>
            <a:ext uri="{FF2B5EF4-FFF2-40B4-BE49-F238E27FC236}">
              <a16:creationId xmlns:a16="http://schemas.microsoft.com/office/drawing/2014/main" id="{248F6D03-4517-2A4E-80FB-79D6F024681A}"/>
            </a:ext>
          </a:extLst>
        </xdr:cNvPr>
        <xdr:cNvCxnSpPr/>
      </xdr:nvCxnSpPr>
      <xdr:spPr>
        <a:xfrm>
          <a:off x="7569200" y="91821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42</xdr:row>
      <xdr:rowOff>101600</xdr:rowOff>
    </xdr:from>
    <xdr:to>
      <xdr:col>6</xdr:col>
      <xdr:colOff>241300</xdr:colOff>
      <xdr:row>42</xdr:row>
      <xdr:rowOff>101600</xdr:rowOff>
    </xdr:to>
    <xdr:cxnSp macro="">
      <xdr:nvCxnSpPr>
        <xdr:cNvPr id="4" name="Straight Connector 3">
          <a:extLst>
            <a:ext uri="{FF2B5EF4-FFF2-40B4-BE49-F238E27FC236}">
              <a16:creationId xmlns:a16="http://schemas.microsoft.com/office/drawing/2014/main" id="{DBA43894-FBBC-0749-846F-3DBD7D0A52A1}"/>
            </a:ext>
          </a:extLst>
        </xdr:cNvPr>
        <xdr:cNvCxnSpPr/>
      </xdr:nvCxnSpPr>
      <xdr:spPr>
        <a:xfrm>
          <a:off x="8928100" y="91694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42</xdr:row>
      <xdr:rowOff>114300</xdr:rowOff>
    </xdr:from>
    <xdr:to>
      <xdr:col>7</xdr:col>
      <xdr:colOff>241300</xdr:colOff>
      <xdr:row>42</xdr:row>
      <xdr:rowOff>114300</xdr:rowOff>
    </xdr:to>
    <xdr:cxnSp macro="">
      <xdr:nvCxnSpPr>
        <xdr:cNvPr id="5" name="Straight Connector 4">
          <a:extLst>
            <a:ext uri="{FF2B5EF4-FFF2-40B4-BE49-F238E27FC236}">
              <a16:creationId xmlns:a16="http://schemas.microsoft.com/office/drawing/2014/main" id="{F75CC321-5717-0245-913E-7BD1B8B71C46}"/>
            </a:ext>
          </a:extLst>
        </xdr:cNvPr>
        <xdr:cNvCxnSpPr/>
      </xdr:nvCxnSpPr>
      <xdr:spPr>
        <a:xfrm>
          <a:off x="10312400" y="91821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42</xdr:row>
      <xdr:rowOff>101600</xdr:rowOff>
    </xdr:from>
    <xdr:to>
      <xdr:col>8</xdr:col>
      <xdr:colOff>254000</xdr:colOff>
      <xdr:row>42</xdr:row>
      <xdr:rowOff>101600</xdr:rowOff>
    </xdr:to>
    <xdr:cxnSp macro="">
      <xdr:nvCxnSpPr>
        <xdr:cNvPr id="6" name="Straight Connector 5">
          <a:extLst>
            <a:ext uri="{FF2B5EF4-FFF2-40B4-BE49-F238E27FC236}">
              <a16:creationId xmlns:a16="http://schemas.microsoft.com/office/drawing/2014/main" id="{038EF6AC-8957-D040-8A73-098EDDE7AAFD}"/>
            </a:ext>
          </a:extLst>
        </xdr:cNvPr>
        <xdr:cNvCxnSpPr/>
      </xdr:nvCxnSpPr>
      <xdr:spPr>
        <a:xfrm>
          <a:off x="11709400" y="91694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41</xdr:row>
      <xdr:rowOff>38100</xdr:rowOff>
    </xdr:from>
    <xdr:to>
      <xdr:col>8</xdr:col>
      <xdr:colOff>1244600</xdr:colOff>
      <xdr:row>50</xdr:row>
      <xdr:rowOff>152400</xdr:rowOff>
    </xdr:to>
    <xdr:sp macro="" textlink="">
      <xdr:nvSpPr>
        <xdr:cNvPr id="7" name="Rectangle 6">
          <a:extLst>
            <a:ext uri="{FF2B5EF4-FFF2-40B4-BE49-F238E27FC236}">
              <a16:creationId xmlns:a16="http://schemas.microsoft.com/office/drawing/2014/main" id="{246A73CE-6D4C-0244-8CBD-F7BF859C20A0}"/>
            </a:ext>
          </a:extLst>
        </xdr:cNvPr>
        <xdr:cNvSpPr/>
      </xdr:nvSpPr>
      <xdr:spPr>
        <a:xfrm>
          <a:off x="5003800" y="88900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F00E-4F90-EE44-B33F-61ECC182B536}">
  <sheetPr codeName="Sheet1">
    <pageSetUpPr fitToPage="1"/>
  </sheetPr>
  <dimension ref="B2:D38"/>
  <sheetViews>
    <sheetView showGridLines="0" tabSelected="1" workbookViewId="0">
      <selection activeCell="D10" sqref="D10"/>
    </sheetView>
  </sheetViews>
  <sheetFormatPr baseColWidth="10" defaultColWidth="9" defaultRowHeight="21"/>
  <cols>
    <col min="1" max="1" width="6.33203125" style="57" customWidth="1"/>
    <col min="2" max="2" width="67.1640625" style="57" customWidth="1"/>
    <col min="3" max="3" width="15.5" style="57" customWidth="1"/>
    <col min="4" max="4" width="64.6640625" style="57" customWidth="1"/>
    <col min="5" max="16384" width="9" style="57"/>
  </cols>
  <sheetData>
    <row r="2" spans="2:4">
      <c r="B2" s="56" t="str">
        <f>UPPER(B25)&amp;" "&amp;UPPER(B26)&amp;" "&amp;UPPER(B27)&amp;" "&amp;IF(ISBLANK(B28),""," FOR "&amp;UPPER(B28))</f>
        <v xml:space="preserve">VENTURE VALUATION TOOL </v>
      </c>
      <c r="C2" s="56"/>
    </row>
    <row r="3" spans="2:4">
      <c r="B3" s="58"/>
      <c r="C3" s="58"/>
    </row>
    <row r="4" spans="2:4" ht="22">
      <c r="B4" s="59" t="s">
        <v>124</v>
      </c>
      <c r="C4" s="59"/>
      <c r="D4" s="55"/>
    </row>
    <row r="5" spans="2:4" ht="22">
      <c r="B5" s="59" t="str">
        <f>"See more models at "&amp;"https://"&amp;B29</f>
        <v>See more models at https://foresight.is</v>
      </c>
      <c r="C5" s="59"/>
    </row>
    <row r="6" spans="2:4" ht="22">
      <c r="B6" s="59" t="str">
        <f>B30&amp;"@"&amp;B29&amp;" - @tdavidson"</f>
        <v>hello@foresight.is - @tdavidson</v>
      </c>
      <c r="C6" s="59"/>
    </row>
    <row r="7" spans="2:4" ht="22">
      <c r="B7" s="60" t="str">
        <f>"Questions, comments, ideas, email "&amp;B30&amp;"@"&amp;B29</f>
        <v>Questions, comments, ideas, email hello@foresight.is</v>
      </c>
      <c r="C7" s="60"/>
    </row>
    <row r="8" spans="2:4" ht="22">
      <c r="B8" s="61" t="s">
        <v>131</v>
      </c>
      <c r="C8" s="61"/>
    </row>
    <row r="10" spans="2:4" ht="22" customHeight="1"/>
    <row r="11" spans="2:4" ht="22" customHeight="1">
      <c r="B11" s="62" t="s">
        <v>166</v>
      </c>
      <c r="D11" s="63" t="s">
        <v>167</v>
      </c>
    </row>
    <row r="12" spans="2:4" ht="22" customHeight="1">
      <c r="B12" s="64" t="str">
        <f>"License at https://"&amp;B29&amp;"/license"</f>
        <v>License at https://foresight.is/license</v>
      </c>
      <c r="D12" s="65" t="s">
        <v>158</v>
      </c>
    </row>
    <row r="13" spans="2:4" ht="22" customHeight="1">
      <c r="B13" s="60" t="s">
        <v>156</v>
      </c>
      <c r="D13" s="65" t="str">
        <f>"Get updates at https://"&amp;B29&amp;"/"&amp;B25&amp;"-"&amp;B26&amp;"-"&amp;B27</f>
        <v>Get updates at https://foresight.is/venture-valuation-tool</v>
      </c>
    </row>
    <row r="14" spans="2:4">
      <c r="B14" s="59"/>
      <c r="C14" s="59"/>
    </row>
    <row r="15" spans="2:4">
      <c r="B15" s="59"/>
      <c r="C15" s="59"/>
    </row>
    <row r="16" spans="2:4" ht="22">
      <c r="B16" s="66" t="s">
        <v>125</v>
      </c>
      <c r="C16" s="67"/>
      <c r="D16" s="66" t="s">
        <v>127</v>
      </c>
    </row>
    <row r="17" spans="2:4" ht="165" customHeight="1">
      <c r="B17" s="65" t="s">
        <v>126</v>
      </c>
      <c r="C17" s="68"/>
      <c r="D17" s="65" t="s">
        <v>128</v>
      </c>
    </row>
    <row r="18" spans="2:4" ht="22" customHeight="1">
      <c r="B18" s="65"/>
      <c r="C18" s="68"/>
      <c r="D18" s="65"/>
    </row>
    <row r="19" spans="2:4" ht="22">
      <c r="B19" s="66" t="s">
        <v>130</v>
      </c>
      <c r="C19" s="68"/>
      <c r="D19" s="66" t="s">
        <v>129</v>
      </c>
    </row>
    <row r="20" spans="2:4" ht="89" customHeight="1">
      <c r="B20" s="65" t="s">
        <v>161</v>
      </c>
      <c r="C20" s="67"/>
      <c r="D20" s="65" t="str">
        <f>"Visit https://"&amp;B29&amp;"/start to get more instructions and videos on how to use the model, including details on each sheet and key components."</f>
        <v>Visit https://foresight.is/start to get more instructions and videos on how to use the model, including details on each sheet and key components.</v>
      </c>
    </row>
    <row r="21" spans="2:4" ht="44">
      <c r="B21" s="65" t="s">
        <v>162</v>
      </c>
      <c r="C21" s="68"/>
    </row>
    <row r="22" spans="2:4" ht="132">
      <c r="B22" s="65" t="s">
        <v>163</v>
      </c>
      <c r="C22" s="67"/>
      <c r="D22" s="67"/>
    </row>
    <row r="23" spans="2:4" ht="64" customHeight="1">
      <c r="C23" s="68"/>
      <c r="D23" s="69"/>
    </row>
    <row r="24" spans="2:4">
      <c r="B24" s="70" t="s">
        <v>133</v>
      </c>
      <c r="C24" s="68"/>
    </row>
    <row r="25" spans="2:4">
      <c r="B25" s="57" t="s">
        <v>159</v>
      </c>
      <c r="C25" s="68"/>
    </row>
    <row r="26" spans="2:4">
      <c r="B26" s="57" t="s">
        <v>160</v>
      </c>
      <c r="C26" s="68"/>
    </row>
    <row r="27" spans="2:4">
      <c r="B27" s="57" t="s">
        <v>157</v>
      </c>
      <c r="C27" s="68"/>
    </row>
    <row r="28" spans="2:4">
      <c r="C28" s="68"/>
    </row>
    <row r="29" spans="2:4" ht="22">
      <c r="B29" s="68" t="s">
        <v>164</v>
      </c>
      <c r="C29" s="68"/>
    </row>
    <row r="30" spans="2:4" ht="22">
      <c r="B30" s="68" t="s">
        <v>165</v>
      </c>
      <c r="C30" s="68"/>
    </row>
    <row r="31" spans="2:4">
      <c r="C31" s="67"/>
    </row>
    <row r="32" spans="2:4">
      <c r="C32" s="68"/>
    </row>
    <row r="33" spans="2:3">
      <c r="B33" s="67"/>
      <c r="C33" s="67"/>
    </row>
    <row r="35" spans="2:3">
      <c r="C35" s="70"/>
    </row>
    <row r="38" spans="2:3">
      <c r="C38" s="70"/>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D2B1-3C1B-3548-BA50-46538E2C4224}">
  <sheetPr codeName="Sheet2"/>
  <dimension ref="B2:B29"/>
  <sheetViews>
    <sheetView showGridLines="0" workbookViewId="0">
      <selection activeCell="B9" sqref="B9"/>
    </sheetView>
  </sheetViews>
  <sheetFormatPr baseColWidth="10" defaultRowHeight="21"/>
  <cols>
    <col min="1" max="1" width="5.1640625" style="52" customWidth="1"/>
    <col min="2" max="2" width="161.1640625" style="53" customWidth="1"/>
    <col min="3" max="16384" width="10.83203125" style="52"/>
  </cols>
  <sheetData>
    <row r="2" spans="2:2" ht="22">
      <c r="B2" s="51" t="s">
        <v>134</v>
      </c>
    </row>
    <row r="3" spans="2:2" ht="22">
      <c r="B3" s="54" t="s">
        <v>135</v>
      </c>
    </row>
    <row r="4" spans="2:2" ht="114" customHeight="1">
      <c r="B4" s="53" t="s">
        <v>136</v>
      </c>
    </row>
    <row r="6" spans="2:2" ht="22">
      <c r="B6" s="53" t="s">
        <v>137</v>
      </c>
    </row>
    <row r="8" spans="2:2" ht="22">
      <c r="B8" s="53" t="s">
        <v>138</v>
      </c>
    </row>
    <row r="9" spans="2:2" ht="44">
      <c r="B9" s="53" t="s">
        <v>139</v>
      </c>
    </row>
    <row r="10" spans="2:2" ht="22">
      <c r="B10" s="53" t="s">
        <v>140</v>
      </c>
    </row>
    <row r="11" spans="2:2" ht="22">
      <c r="B11" s="53" t="s">
        <v>141</v>
      </c>
    </row>
    <row r="12" spans="2:2" ht="22">
      <c r="B12" s="53" t="s">
        <v>142</v>
      </c>
    </row>
    <row r="14" spans="2:2" ht="22">
      <c r="B14" s="53" t="s">
        <v>143</v>
      </c>
    </row>
    <row r="15" spans="2:2" ht="22">
      <c r="B15" s="53" t="s">
        <v>144</v>
      </c>
    </row>
    <row r="16" spans="2:2" ht="22">
      <c r="B16" s="53" t="s">
        <v>145</v>
      </c>
    </row>
    <row r="17" spans="2:2" ht="22">
      <c r="B17" s="53" t="s">
        <v>146</v>
      </c>
    </row>
    <row r="18" spans="2:2" ht="44">
      <c r="B18" s="53" t="s">
        <v>147</v>
      </c>
    </row>
    <row r="19" spans="2:2" ht="22">
      <c r="B19" s="53" t="s">
        <v>148</v>
      </c>
    </row>
    <row r="20" spans="2:2" ht="22">
      <c r="B20" s="53" t="s">
        <v>149</v>
      </c>
    </row>
    <row r="21" spans="2:2" ht="44">
      <c r="B21" s="53" t="s">
        <v>150</v>
      </c>
    </row>
    <row r="23" spans="2:2" ht="150" customHeight="1">
      <c r="B23" s="53" t="s">
        <v>151</v>
      </c>
    </row>
    <row r="25" spans="2:2" ht="110">
      <c r="B25" s="53" t="s">
        <v>152</v>
      </c>
    </row>
    <row r="27" spans="2:2" ht="88">
      <c r="B27" s="53" t="s">
        <v>132</v>
      </c>
    </row>
    <row r="29" spans="2:2" ht="88">
      <c r="B29" s="53"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06ED1-3083-5D4F-97F0-40FD23E6FC18}">
  <sheetPr codeName="Sheet3"/>
  <dimension ref="A2:P191"/>
  <sheetViews>
    <sheetView showGridLines="0" workbookViewId="0">
      <selection activeCell="I73" sqref="I73"/>
    </sheetView>
  </sheetViews>
  <sheetFormatPr baseColWidth="10" defaultRowHeight="21" outlineLevelRow="1"/>
  <cols>
    <col min="1" max="1" width="6.83203125" style="1" customWidth="1"/>
    <col min="2" max="2" width="53.83203125" style="5" customWidth="1"/>
    <col min="3" max="3" width="5.1640625" style="1" customWidth="1"/>
    <col min="4" max="4" width="18.33203125" style="5" customWidth="1"/>
    <col min="5" max="5" width="18.33203125" style="4" customWidth="1"/>
    <col min="6" max="9" width="18.33203125" style="5" customWidth="1"/>
    <col min="10" max="10" width="8" style="5" customWidth="1"/>
    <col min="11" max="15" width="18.1640625" style="5" customWidth="1"/>
    <col min="16" max="16" width="14.33203125" style="5" bestFit="1" customWidth="1"/>
    <col min="17" max="16384" width="10.83203125" style="5"/>
  </cols>
  <sheetData>
    <row r="2" spans="2:11">
      <c r="B2" s="2" t="s">
        <v>121</v>
      </c>
      <c r="C2" s="3"/>
      <c r="D2" s="4"/>
    </row>
    <row r="3" spans="2:11">
      <c r="B3" s="6" t="s">
        <v>0</v>
      </c>
      <c r="D3" s="7"/>
      <c r="F3" s="8"/>
      <c r="K3" s="5" t="s">
        <v>1</v>
      </c>
    </row>
    <row r="4" spans="2:11">
      <c r="B4" s="6" t="s">
        <v>2</v>
      </c>
      <c r="D4" s="7"/>
      <c r="F4" s="8"/>
      <c r="K4" s="5" t="s">
        <v>3</v>
      </c>
    </row>
    <row r="5" spans="2:11">
      <c r="D5" s="7"/>
    </row>
    <row r="6" spans="2:11">
      <c r="B6" s="5" t="s">
        <v>4</v>
      </c>
      <c r="D6" s="9" t="s">
        <v>5</v>
      </c>
      <c r="E6" s="9" t="s">
        <v>6</v>
      </c>
      <c r="F6" s="9" t="s">
        <v>7</v>
      </c>
      <c r="G6" s="9" t="s">
        <v>8</v>
      </c>
      <c r="H6" s="9" t="s">
        <v>9</v>
      </c>
      <c r="I6" s="9" t="s">
        <v>10</v>
      </c>
      <c r="K6" s="5" t="s">
        <v>11</v>
      </c>
    </row>
    <row r="8" spans="2:11">
      <c r="B8" s="2" t="s">
        <v>12</v>
      </c>
      <c r="D8" s="1"/>
      <c r="E8" s="5"/>
    </row>
    <row r="9" spans="2:11">
      <c r="B9" s="5" t="s">
        <v>13</v>
      </c>
      <c r="C9" s="1" t="s">
        <v>14</v>
      </c>
      <c r="D9" s="10">
        <v>1</v>
      </c>
      <c r="E9" s="11">
        <v>0.5</v>
      </c>
      <c r="F9" s="11">
        <v>0.25</v>
      </c>
      <c r="G9" s="11">
        <v>0.25</v>
      </c>
      <c r="H9" s="11">
        <v>0.25</v>
      </c>
      <c r="I9" s="11">
        <v>0.15</v>
      </c>
      <c r="K9" s="5" t="s">
        <v>15</v>
      </c>
    </row>
    <row r="10" spans="2:11">
      <c r="B10" s="5" t="str">
        <f>"% of "&amp;D6&amp;" Companies that raise this round"</f>
        <v>% of Seed Companies that raise this round</v>
      </c>
      <c r="C10" s="1" t="s">
        <v>14</v>
      </c>
      <c r="D10" s="12">
        <f>D9</f>
        <v>1</v>
      </c>
      <c r="E10" s="13">
        <f>E9*D10</f>
        <v>0.5</v>
      </c>
      <c r="F10" s="13">
        <f>F9*E10</f>
        <v>0.125</v>
      </c>
      <c r="G10" s="13">
        <f>G9*F10</f>
        <v>3.125E-2</v>
      </c>
      <c r="H10" s="13">
        <f>H9*G10</f>
        <v>7.8125E-3</v>
      </c>
      <c r="I10" s="13">
        <f>I9*H10</f>
        <v>1.171875E-3</v>
      </c>
      <c r="J10" s="12"/>
      <c r="K10" s="5" t="s">
        <v>16</v>
      </c>
    </row>
    <row r="11" spans="2:11">
      <c r="B11" s="5" t="s">
        <v>17</v>
      </c>
      <c r="C11" s="1" t="s">
        <v>18</v>
      </c>
      <c r="D11" s="14">
        <v>0</v>
      </c>
      <c r="E11" s="15">
        <v>6</v>
      </c>
      <c r="F11" s="15">
        <f>F13*1.2</f>
        <v>4.2</v>
      </c>
      <c r="G11" s="15">
        <f>G13*1.2</f>
        <v>2.4</v>
      </c>
      <c r="H11" s="15">
        <f>H13*1.2</f>
        <v>2.4</v>
      </c>
      <c r="I11" s="15">
        <f>I13*1.2</f>
        <v>2.4</v>
      </c>
      <c r="K11" s="5" t="s">
        <v>19</v>
      </c>
    </row>
    <row r="12" spans="2:11">
      <c r="B12" s="5" t="s">
        <v>20</v>
      </c>
      <c r="C12" s="1" t="s">
        <v>18</v>
      </c>
      <c r="D12" s="14">
        <v>0</v>
      </c>
      <c r="E12" s="14">
        <f>IFERROR(E18/D18,0)</f>
        <v>5.75</v>
      </c>
      <c r="F12" s="14">
        <f>IFERROR(F18/E18,0)</f>
        <v>4.0478260869565217</v>
      </c>
      <c r="G12" s="14">
        <f>IFERROR(G18/F18,0)</f>
        <v>2.3248120300751878</v>
      </c>
      <c r="H12" s="14">
        <f>IFERROR(H18/G18,0)</f>
        <v>2.3353169469598964</v>
      </c>
      <c r="I12" s="14">
        <f>IFERROR(I18/H18,0)</f>
        <v>2.3446044759583424</v>
      </c>
    </row>
    <row r="13" spans="2:11">
      <c r="B13" s="5" t="s">
        <v>21</v>
      </c>
      <c r="C13" s="1" t="s">
        <v>18</v>
      </c>
      <c r="D13" s="14">
        <v>0</v>
      </c>
      <c r="E13" s="15">
        <v>5</v>
      </c>
      <c r="F13" s="15">
        <v>3.5</v>
      </c>
      <c r="G13" s="15">
        <v>2</v>
      </c>
      <c r="H13" s="15">
        <v>2</v>
      </c>
      <c r="I13" s="15">
        <v>2</v>
      </c>
      <c r="K13" s="5" t="s">
        <v>22</v>
      </c>
    </row>
    <row r="14" spans="2:11">
      <c r="B14" s="5" t="s">
        <v>23</v>
      </c>
      <c r="C14" s="1" t="s">
        <v>18</v>
      </c>
      <c r="D14" s="14">
        <v>0</v>
      </c>
      <c r="E14" s="16">
        <v>18</v>
      </c>
      <c r="F14" s="16">
        <v>18</v>
      </c>
      <c r="G14" s="16">
        <v>18</v>
      </c>
      <c r="H14" s="16">
        <v>18</v>
      </c>
      <c r="I14" s="16">
        <v>18</v>
      </c>
      <c r="K14" s="5" t="s">
        <v>24</v>
      </c>
    </row>
    <row r="15" spans="2:11">
      <c r="B15" s="5" t="s">
        <v>25</v>
      </c>
      <c r="C15" s="1" t="s">
        <v>26</v>
      </c>
      <c r="D15" s="17">
        <v>43101</v>
      </c>
      <c r="E15" s="18">
        <f>EDATE(D15,E14)</f>
        <v>43647</v>
      </c>
      <c r="F15" s="18">
        <f>EDATE(E15,F14)</f>
        <v>44197</v>
      </c>
      <c r="G15" s="18">
        <f>EDATE(F15,G14)</f>
        <v>44743</v>
      </c>
      <c r="H15" s="18">
        <f>EDATE(G15,H14)</f>
        <v>45292</v>
      </c>
      <c r="I15" s="18">
        <f>EDATE(H15,I14)</f>
        <v>45839</v>
      </c>
      <c r="K15" s="5" t="s">
        <v>27</v>
      </c>
    </row>
    <row r="16" spans="2:11">
      <c r="B16" s="5" t="s">
        <v>28</v>
      </c>
      <c r="C16" s="19" t="s">
        <v>29</v>
      </c>
      <c r="D16" s="16">
        <v>1000000</v>
      </c>
      <c r="E16" s="20">
        <f>E13*D16</f>
        <v>5000000</v>
      </c>
      <c r="F16" s="20">
        <f>F13*E16</f>
        <v>17500000</v>
      </c>
      <c r="G16" s="20">
        <f>G13*F16</f>
        <v>35000000</v>
      </c>
      <c r="H16" s="20">
        <f>H13*G16</f>
        <v>70000000</v>
      </c>
      <c r="I16" s="20">
        <f>I13*H16</f>
        <v>140000000</v>
      </c>
      <c r="J16" s="21"/>
      <c r="K16" s="5" t="s">
        <v>30</v>
      </c>
    </row>
    <row r="17" spans="2:11">
      <c r="B17" s="5" t="s">
        <v>31</v>
      </c>
      <c r="C17" s="22" t="str">
        <f>C16</f>
        <v>$</v>
      </c>
      <c r="D17" s="16">
        <v>3000000</v>
      </c>
      <c r="E17" s="21">
        <f>E11*D17</f>
        <v>18000000</v>
      </c>
      <c r="F17" s="21">
        <f>F11*E17</f>
        <v>75600000</v>
      </c>
      <c r="G17" s="21">
        <f>G11*F17</f>
        <v>181440000</v>
      </c>
      <c r="H17" s="21">
        <f>H11*G17</f>
        <v>435456000</v>
      </c>
      <c r="I17" s="21">
        <f>I11*H17</f>
        <v>1045094400</v>
      </c>
      <c r="K17" s="5" t="s">
        <v>32</v>
      </c>
    </row>
    <row r="18" spans="2:11">
      <c r="B18" s="5" t="s">
        <v>33</v>
      </c>
      <c r="C18" s="22" t="str">
        <f>C16</f>
        <v>$</v>
      </c>
      <c r="D18" s="21">
        <f t="shared" ref="D18:I18" si="0">D17+D16</f>
        <v>4000000</v>
      </c>
      <c r="E18" s="21">
        <f t="shared" si="0"/>
        <v>23000000</v>
      </c>
      <c r="F18" s="21">
        <f t="shared" si="0"/>
        <v>93100000</v>
      </c>
      <c r="G18" s="21">
        <f t="shared" si="0"/>
        <v>216440000</v>
      </c>
      <c r="H18" s="21">
        <f t="shared" si="0"/>
        <v>505456000</v>
      </c>
      <c r="I18" s="21">
        <f t="shared" si="0"/>
        <v>1185094400</v>
      </c>
      <c r="K18" s="5" t="s">
        <v>34</v>
      </c>
    </row>
    <row r="19" spans="2:11">
      <c r="B19" s="5" t="s">
        <v>35</v>
      </c>
      <c r="C19" s="1" t="s">
        <v>18</v>
      </c>
      <c r="D19" s="16">
        <f>10000000</f>
        <v>10000000</v>
      </c>
      <c r="E19" s="20">
        <f>D23</f>
        <v>16666666.666666666</v>
      </c>
      <c r="F19" s="20">
        <f>E23</f>
        <v>26620370.370370366</v>
      </c>
      <c r="G19" s="20">
        <f>F23</f>
        <v>38567638.98975227</v>
      </c>
      <c r="H19" s="20">
        <f>G23</f>
        <v>54126334.312052481</v>
      </c>
      <c r="I19" s="20">
        <f>H23</f>
        <v>69807998.042493373</v>
      </c>
      <c r="K19" s="5" t="s">
        <v>36</v>
      </c>
    </row>
    <row r="20" spans="2:11">
      <c r="B20" s="5" t="s">
        <v>37</v>
      </c>
      <c r="C20" s="1" t="s">
        <v>18</v>
      </c>
      <c r="D20" s="21">
        <f t="shared" ref="D20:I20" si="1">D16/D24</f>
        <v>3333333.3333333335</v>
      </c>
      <c r="E20" s="21">
        <f t="shared" si="1"/>
        <v>4629629.6296296297</v>
      </c>
      <c r="F20" s="21">
        <f t="shared" si="1"/>
        <v>6162122.7709190659</v>
      </c>
      <c r="G20" s="21">
        <f t="shared" si="1"/>
        <v>7439745.175492336</v>
      </c>
      <c r="H20" s="21">
        <f t="shared" si="1"/>
        <v>8700863.9261915646</v>
      </c>
      <c r="I20" s="21">
        <f t="shared" si="1"/>
        <v>9351422.920215698</v>
      </c>
      <c r="K20" s="5" t="s">
        <v>38</v>
      </c>
    </row>
    <row r="21" spans="2:11">
      <c r="B21" s="5" t="s">
        <v>39</v>
      </c>
      <c r="C21" s="1" t="s">
        <v>14</v>
      </c>
      <c r="D21" s="11">
        <v>0.2</v>
      </c>
      <c r="E21" s="11">
        <v>0.2</v>
      </c>
      <c r="F21" s="11">
        <v>0.15</v>
      </c>
      <c r="G21" s="11">
        <v>0.15</v>
      </c>
      <c r="H21" s="11">
        <v>0.1</v>
      </c>
      <c r="I21" s="11">
        <v>0.05</v>
      </c>
      <c r="K21" s="5" t="s">
        <v>40</v>
      </c>
    </row>
    <row r="22" spans="2:11">
      <c r="B22" s="5" t="s">
        <v>41</v>
      </c>
      <c r="C22" s="1" t="s">
        <v>18</v>
      </c>
      <c r="D22" s="21">
        <f t="shared" ref="D22:I22" si="2">ROUND(D23-D19-D20,5)</f>
        <v>3333333.3333299998</v>
      </c>
      <c r="E22" s="21">
        <f t="shared" si="2"/>
        <v>5324074.0740700001</v>
      </c>
      <c r="F22" s="21">
        <f t="shared" si="2"/>
        <v>5785145.84846</v>
      </c>
      <c r="G22" s="21">
        <f t="shared" si="2"/>
        <v>8118950.1468099998</v>
      </c>
      <c r="H22" s="21">
        <f t="shared" si="2"/>
        <v>6980799.80425</v>
      </c>
      <c r="I22" s="21">
        <f t="shared" si="2"/>
        <v>4166285.3138299999</v>
      </c>
      <c r="K22" s="5" t="s">
        <v>42</v>
      </c>
    </row>
    <row r="23" spans="2:11">
      <c r="B23" s="5" t="s">
        <v>43</v>
      </c>
      <c r="C23" s="1" t="s">
        <v>18</v>
      </c>
      <c r="D23" s="21">
        <f t="shared" ref="D23:I23" si="3">(D19+D20)/(1-D21)</f>
        <v>16666666.666666666</v>
      </c>
      <c r="E23" s="21">
        <f t="shared" si="3"/>
        <v>26620370.370370366</v>
      </c>
      <c r="F23" s="21">
        <f t="shared" si="3"/>
        <v>38567638.98975227</v>
      </c>
      <c r="G23" s="21">
        <f t="shared" si="3"/>
        <v>54126334.312052481</v>
      </c>
      <c r="H23" s="21">
        <f t="shared" si="3"/>
        <v>69807998.042493373</v>
      </c>
      <c r="I23" s="21">
        <f t="shared" si="3"/>
        <v>83325706.276535869</v>
      </c>
      <c r="K23" s="23" t="s">
        <v>44</v>
      </c>
    </row>
    <row r="24" spans="2:11">
      <c r="B24" s="5" t="s">
        <v>45</v>
      </c>
      <c r="C24" s="22" t="str">
        <f>C16</f>
        <v>$</v>
      </c>
      <c r="D24" s="24">
        <f t="shared" ref="D24:I24" si="4">D17/D19</f>
        <v>0.3</v>
      </c>
      <c r="E24" s="24">
        <f t="shared" si="4"/>
        <v>1.08</v>
      </c>
      <c r="F24" s="24">
        <f t="shared" si="4"/>
        <v>2.8399304347826093</v>
      </c>
      <c r="G24" s="24">
        <f t="shared" si="4"/>
        <v>4.7044622059496577</v>
      </c>
      <c r="H24" s="24">
        <f t="shared" si="4"/>
        <v>8.0451781103350211</v>
      </c>
      <c r="I24" s="24">
        <f t="shared" si="4"/>
        <v>14.970983688199057</v>
      </c>
      <c r="K24" s="5" t="s">
        <v>46</v>
      </c>
    </row>
    <row r="25" spans="2:11">
      <c r="B25" s="5" t="s">
        <v>47</v>
      </c>
      <c r="C25" s="1" t="s">
        <v>18</v>
      </c>
      <c r="D25" s="21">
        <f>SUM($D20:D20)</f>
        <v>3333333.3333333335</v>
      </c>
      <c r="E25" s="21">
        <f>SUM($D20:E20)</f>
        <v>7962962.9629629627</v>
      </c>
      <c r="F25" s="21">
        <f>SUM($D20:F20)</f>
        <v>14125085.733882029</v>
      </c>
      <c r="G25" s="21">
        <f>SUM($D20:G20)</f>
        <v>21564830.909374364</v>
      </c>
      <c r="H25" s="21">
        <f>SUM($D20:H20)</f>
        <v>30265694.835565928</v>
      </c>
      <c r="I25" s="21">
        <f>SUM($D20:I20)</f>
        <v>39617117.755781628</v>
      </c>
      <c r="K25" s="5" t="s">
        <v>48</v>
      </c>
    </row>
    <row r="26" spans="2:11">
      <c r="B26" s="5" t="s">
        <v>49</v>
      </c>
      <c r="C26" s="1" t="s">
        <v>14</v>
      </c>
      <c r="D26" s="25">
        <f t="shared" ref="D26:I26" si="5">IFERROR(D25/D23,0)</f>
        <v>0.2</v>
      </c>
      <c r="E26" s="25">
        <f t="shared" si="5"/>
        <v>0.29913043478260876</v>
      </c>
      <c r="F26" s="25">
        <f t="shared" si="5"/>
        <v>0.36624190912062771</v>
      </c>
      <c r="G26" s="25">
        <f t="shared" si="5"/>
        <v>0.39841661519229199</v>
      </c>
      <c r="H26" s="25">
        <f t="shared" si="5"/>
        <v>0.43355626409946124</v>
      </c>
      <c r="I26" s="25">
        <f t="shared" si="5"/>
        <v>0.47544892838115221</v>
      </c>
      <c r="K26" s="5" t="s">
        <v>50</v>
      </c>
    </row>
    <row r="27" spans="2:11">
      <c r="B27" s="5" t="s">
        <v>51</v>
      </c>
      <c r="C27" s="1" t="s">
        <v>14</v>
      </c>
      <c r="D27" s="26">
        <f t="shared" ref="D27:I27" si="6">IFERROR(D16/D18,0)</f>
        <v>0.25</v>
      </c>
      <c r="E27" s="26">
        <f t="shared" si="6"/>
        <v>0.21739130434782608</v>
      </c>
      <c r="F27" s="26">
        <f t="shared" si="6"/>
        <v>0.18796992481203006</v>
      </c>
      <c r="G27" s="26">
        <f t="shared" si="6"/>
        <v>0.16170763260025872</v>
      </c>
      <c r="H27" s="26">
        <f t="shared" si="6"/>
        <v>0.13848881010414357</v>
      </c>
      <c r="I27" s="26">
        <f t="shared" si="6"/>
        <v>0.11813404906815862</v>
      </c>
      <c r="J27" s="1"/>
      <c r="K27" s="5" t="s">
        <v>52</v>
      </c>
    </row>
    <row r="28" spans="2:11">
      <c r="D28" s="1"/>
      <c r="E28" s="1"/>
      <c r="F28" s="1"/>
      <c r="G28" s="1"/>
      <c r="H28" s="1"/>
      <c r="I28" s="1"/>
      <c r="J28" s="1"/>
    </row>
    <row r="29" spans="2:11">
      <c r="D29" s="1"/>
      <c r="E29" s="1"/>
      <c r="F29" s="1"/>
      <c r="G29" s="1"/>
      <c r="H29" s="1"/>
      <c r="I29" s="1"/>
      <c r="J29" s="1"/>
    </row>
    <row r="30" spans="2:11">
      <c r="B30" s="2" t="s">
        <v>53</v>
      </c>
      <c r="C30" s="3"/>
      <c r="D30" s="3"/>
      <c r="E30" s="3"/>
      <c r="F30" s="3"/>
      <c r="G30" s="3"/>
      <c r="H30" s="3"/>
      <c r="I30" s="3"/>
      <c r="J30" s="3"/>
    </row>
    <row r="31" spans="2:11">
      <c r="B31" s="5" t="s">
        <v>54</v>
      </c>
      <c r="C31" s="1" t="s">
        <v>14</v>
      </c>
      <c r="D31" s="27">
        <f>1-E9</f>
        <v>0.5</v>
      </c>
      <c r="E31" s="27">
        <f>1-F9</f>
        <v>0.75</v>
      </c>
      <c r="F31" s="27">
        <f>1-G9</f>
        <v>0.75</v>
      </c>
      <c r="G31" s="27">
        <f>1-H9</f>
        <v>0.75</v>
      </c>
      <c r="H31" s="27">
        <f>1-I9</f>
        <v>0.85</v>
      </c>
      <c r="I31" s="11">
        <v>1</v>
      </c>
      <c r="K31" s="5" t="s">
        <v>55</v>
      </c>
    </row>
    <row r="32" spans="2:11">
      <c r="B32" s="5" t="str">
        <f>"% of "&amp;D6&amp;" Companies that fail or exit at each stage"</f>
        <v>% of Seed Companies that fail or exit at each stage</v>
      </c>
      <c r="C32" s="1" t="s">
        <v>14</v>
      </c>
      <c r="D32" s="12">
        <f>D31</f>
        <v>0.5</v>
      </c>
      <c r="E32" s="13">
        <f>(1-SUM($D32:D32))*E31</f>
        <v>0.375</v>
      </c>
      <c r="F32" s="13">
        <f>(1-SUM($D32:E32))*F31</f>
        <v>9.375E-2</v>
      </c>
      <c r="G32" s="13">
        <f>(1-SUM($D32:F32))*G31</f>
        <v>2.34375E-2</v>
      </c>
      <c r="H32" s="13">
        <f>(1-SUM($D32:G32))*H31</f>
        <v>6.6406249999999998E-3</v>
      </c>
      <c r="I32" s="13">
        <f>(1-SUM($D32:H32))*I31</f>
        <v>1.1718750000000444E-3</v>
      </c>
      <c r="J32" s="12"/>
      <c r="K32" s="5" t="s">
        <v>56</v>
      </c>
    </row>
    <row r="33" spans="2:11">
      <c r="B33" s="5" t="str">
        <f>"% of Companies that fail, of the % of Companies that raised this round and fail or exit"</f>
        <v>% of Companies that fail, of the % of Companies that raised this round and fail or exit</v>
      </c>
      <c r="C33" s="1" t="s">
        <v>14</v>
      </c>
      <c r="D33" s="28">
        <v>0.8</v>
      </c>
      <c r="E33" s="28">
        <v>0.6</v>
      </c>
      <c r="F33" s="28">
        <v>0.35</v>
      </c>
      <c r="G33" s="28">
        <v>0.15</v>
      </c>
      <c r="H33" s="28">
        <v>0.1</v>
      </c>
      <c r="I33" s="28">
        <v>0.05</v>
      </c>
      <c r="J33" s="12"/>
      <c r="K33" s="5" t="s">
        <v>57</v>
      </c>
    </row>
    <row r="34" spans="2:11">
      <c r="B34" s="5" t="s">
        <v>58</v>
      </c>
      <c r="C34" s="1" t="s">
        <v>18</v>
      </c>
      <c r="D34" s="29">
        <v>1.2</v>
      </c>
      <c r="E34" s="29">
        <v>1.4</v>
      </c>
      <c r="F34" s="29">
        <v>1.4</v>
      </c>
      <c r="G34" s="29">
        <v>1.4</v>
      </c>
      <c r="H34" s="29">
        <v>1.2</v>
      </c>
      <c r="I34" s="29">
        <v>1.1000000000000001</v>
      </c>
      <c r="K34" s="5" t="s">
        <v>59</v>
      </c>
    </row>
    <row r="35" spans="2:11">
      <c r="B35" s="5" t="s">
        <v>60</v>
      </c>
      <c r="C35" s="1" t="s">
        <v>18</v>
      </c>
      <c r="D35" s="16">
        <v>12</v>
      </c>
      <c r="E35" s="16">
        <f>D35</f>
        <v>12</v>
      </c>
      <c r="F35" s="16">
        <f>E35</f>
        <v>12</v>
      </c>
      <c r="G35" s="16">
        <f>F35</f>
        <v>12</v>
      </c>
      <c r="H35" s="16">
        <f>G35</f>
        <v>12</v>
      </c>
      <c r="I35" s="16">
        <f>H35</f>
        <v>12</v>
      </c>
      <c r="K35" s="5" t="s">
        <v>61</v>
      </c>
    </row>
    <row r="36" spans="2:11">
      <c r="B36" s="5" t="s">
        <v>25</v>
      </c>
      <c r="C36" s="1" t="s">
        <v>26</v>
      </c>
      <c r="D36" s="30">
        <f t="shared" ref="D36:I36" si="7">EDATE(D15,D35)</f>
        <v>43466</v>
      </c>
      <c r="E36" s="30">
        <f t="shared" si="7"/>
        <v>44013</v>
      </c>
      <c r="F36" s="30">
        <f t="shared" si="7"/>
        <v>44562</v>
      </c>
      <c r="G36" s="30">
        <f t="shared" si="7"/>
        <v>45108</v>
      </c>
      <c r="H36" s="30">
        <f t="shared" si="7"/>
        <v>45658</v>
      </c>
      <c r="I36" s="30">
        <f t="shared" si="7"/>
        <v>46204</v>
      </c>
    </row>
    <row r="37" spans="2:11">
      <c r="B37" s="5" t="s">
        <v>62</v>
      </c>
      <c r="C37" s="22" t="str">
        <f>C16</f>
        <v>$</v>
      </c>
      <c r="D37" s="31">
        <f t="shared" ref="D37:I37" si="8">D23*D38</f>
        <v>1199999.9999999995</v>
      </c>
      <c r="E37" s="31">
        <f t="shared" si="8"/>
        <v>16099999.999999998</v>
      </c>
      <c r="F37" s="31">
        <f t="shared" si="8"/>
        <v>99671764.705882341</v>
      </c>
      <c r="G37" s="31">
        <f t="shared" si="8"/>
        <v>303016000</v>
      </c>
      <c r="H37" s="31">
        <f t="shared" si="8"/>
        <v>606547199.99999988</v>
      </c>
      <c r="I37" s="31">
        <f t="shared" si="8"/>
        <v>1303603840.0000002</v>
      </c>
      <c r="K37" s="5" t="s">
        <v>63</v>
      </c>
    </row>
    <row r="38" spans="2:11">
      <c r="B38" s="5" t="s">
        <v>64</v>
      </c>
      <c r="C38" s="22" t="str">
        <f>C16</f>
        <v>$</v>
      </c>
      <c r="D38" s="24">
        <f t="shared" ref="D38:I38" si="9">D34*D24*(1-D33)</f>
        <v>7.1999999999999981E-2</v>
      </c>
      <c r="E38" s="24">
        <f t="shared" si="9"/>
        <v>0.6048</v>
      </c>
      <c r="F38" s="24">
        <f t="shared" si="9"/>
        <v>2.5843366956521741</v>
      </c>
      <c r="G38" s="24">
        <f t="shared" si="9"/>
        <v>5.5983100250800923</v>
      </c>
      <c r="H38" s="24">
        <f t="shared" si="9"/>
        <v>8.6887923591618232</v>
      </c>
      <c r="I38" s="24">
        <f t="shared" si="9"/>
        <v>15.644677954168015</v>
      </c>
      <c r="K38" s="5" t="s">
        <v>65</v>
      </c>
    </row>
    <row r="39" spans="2:11">
      <c r="B39" s="5" t="s">
        <v>66</v>
      </c>
      <c r="C39" s="22" t="str">
        <f>C16</f>
        <v>$</v>
      </c>
      <c r="D39" s="31">
        <f t="shared" ref="D39:I39" si="10">D25*D38</f>
        <v>239999.99999999994</v>
      </c>
      <c r="E39" s="31">
        <f t="shared" si="10"/>
        <v>4816000</v>
      </c>
      <c r="F39" s="31">
        <f t="shared" si="10"/>
        <v>36503977.391304344</v>
      </c>
      <c r="G39" s="31">
        <f t="shared" si="10"/>
        <v>120726609.06910755</v>
      </c>
      <c r="H39" s="31">
        <f t="shared" si="10"/>
        <v>262972338.03198868</v>
      </c>
      <c r="I39" s="31">
        <f t="shared" si="10"/>
        <v>619797048.76155508</v>
      </c>
      <c r="K39" s="5" t="s">
        <v>67</v>
      </c>
    </row>
    <row r="40" spans="2:11">
      <c r="C40" s="32"/>
      <c r="D40" s="31"/>
      <c r="E40" s="31"/>
      <c r="F40" s="31"/>
      <c r="G40" s="31"/>
      <c r="H40" s="31"/>
      <c r="I40" s="31"/>
    </row>
    <row r="41" spans="2:11">
      <c r="C41" s="32"/>
      <c r="D41" s="31"/>
      <c r="E41" s="31"/>
      <c r="F41" s="31"/>
      <c r="G41" s="31"/>
      <c r="H41" s="31"/>
      <c r="I41" s="31"/>
    </row>
    <row r="42" spans="2:11">
      <c r="B42" s="2" t="s">
        <v>68</v>
      </c>
      <c r="C42" s="32"/>
      <c r="D42" s="31"/>
      <c r="E42" s="31"/>
      <c r="F42" s="31"/>
      <c r="G42" s="31"/>
      <c r="H42" s="31"/>
      <c r="I42" s="31"/>
    </row>
    <row r="43" spans="2:11">
      <c r="B43" s="33" t="s">
        <v>69</v>
      </c>
      <c r="C43" s="32"/>
      <c r="D43" s="34" t="str">
        <f t="shared" ref="D43:I43" si="11">D6</f>
        <v>Seed</v>
      </c>
      <c r="E43" s="34" t="str">
        <f t="shared" si="11"/>
        <v>A</v>
      </c>
      <c r="F43" s="34" t="str">
        <f t="shared" si="11"/>
        <v>B</v>
      </c>
      <c r="G43" s="34" t="str">
        <f t="shared" si="11"/>
        <v>C</v>
      </c>
      <c r="H43" s="34" t="str">
        <f t="shared" si="11"/>
        <v>D</v>
      </c>
      <c r="I43" s="34" t="str">
        <f t="shared" si="11"/>
        <v>E</v>
      </c>
    </row>
    <row r="44" spans="2:11">
      <c r="C44" s="32"/>
      <c r="D44" s="31"/>
      <c r="E44" s="31"/>
      <c r="F44" s="31"/>
      <c r="G44" s="31"/>
      <c r="H44" s="31"/>
      <c r="I44" s="31"/>
    </row>
    <row r="45" spans="2:11">
      <c r="B45" s="5" t="s">
        <v>70</v>
      </c>
      <c r="C45" s="32"/>
      <c r="D45" s="35" t="str">
        <f t="shared" ref="D45:I45" si="12">IF(D16&gt;=1000000,$C16&amp;ROUNDUP(D16/1000000,2)&amp;"m",$C16&amp;ROUNDUP(D16/1000,0)&amp;"k")&amp;" at "</f>
        <v xml:space="preserve">$1m at </v>
      </c>
      <c r="E45" s="35" t="str">
        <f t="shared" si="12"/>
        <v xml:space="preserve">$5m at </v>
      </c>
      <c r="F45" s="35" t="str">
        <f t="shared" si="12"/>
        <v xml:space="preserve">$17.5m at </v>
      </c>
      <c r="G45" s="35" t="str">
        <f t="shared" si="12"/>
        <v xml:space="preserve">$35m at </v>
      </c>
      <c r="H45" s="35" t="str">
        <f t="shared" si="12"/>
        <v xml:space="preserve">$70m at </v>
      </c>
      <c r="I45" s="35" t="str">
        <f t="shared" si="12"/>
        <v xml:space="preserve">$140m at </v>
      </c>
    </row>
    <row r="46" spans="2:11">
      <c r="B46" s="5" t="s">
        <v>71</v>
      </c>
      <c r="C46" s="32"/>
      <c r="D46" s="35" t="str">
        <f t="shared" ref="D46:I46" si="13">IF(D17&gt;=1000000,$C16&amp;ROUNDUP(D17/1000000,2)&amp;"m",$C16&amp;ROUNDUP(D17/1000,0)&amp;"k")&amp;" pre"</f>
        <v>$3m pre</v>
      </c>
      <c r="E46" s="35" t="str">
        <f t="shared" si="13"/>
        <v>$18m pre</v>
      </c>
      <c r="F46" s="35" t="str">
        <f t="shared" si="13"/>
        <v>$75.6m pre</v>
      </c>
      <c r="G46" s="35" t="str">
        <f t="shared" si="13"/>
        <v>$181.44m pre</v>
      </c>
      <c r="H46" s="35" t="str">
        <f t="shared" si="13"/>
        <v>$435.46m pre</v>
      </c>
      <c r="I46" s="35" t="str">
        <f t="shared" si="13"/>
        <v>$1045.1m pre</v>
      </c>
    </row>
    <row r="47" spans="2:11">
      <c r="C47" s="32"/>
      <c r="D47" s="31"/>
      <c r="E47" s="31"/>
      <c r="F47" s="31"/>
      <c r="G47" s="31"/>
      <c r="H47" s="31"/>
      <c r="I47" s="31"/>
    </row>
    <row r="48" spans="2:11">
      <c r="B48" s="5" t="s">
        <v>72</v>
      </c>
      <c r="C48" s="32"/>
      <c r="D48" s="35" t="str">
        <f>E9*100&amp;"% raise an "&amp;E43</f>
        <v>50% raise an A</v>
      </c>
      <c r="E48" s="35" t="str">
        <f>F9*100&amp;"% raise an "&amp;F43</f>
        <v>25% raise an B</v>
      </c>
      <c r="F48" s="35" t="str">
        <f>G9*100&amp;"% raise an "&amp;G43</f>
        <v>25% raise an C</v>
      </c>
      <c r="G48" s="35" t="str">
        <f>H9*100&amp;"% raise an "&amp;H43</f>
        <v>25% raise an D</v>
      </c>
      <c r="H48" s="35" t="str">
        <f>I9*100&amp;"% raise an "&amp;I43</f>
        <v>15% raise an E</v>
      </c>
      <c r="I48" s="35" t="str">
        <f>J9*100&amp;"% raise"</f>
        <v>0% raise</v>
      </c>
      <c r="K48" s="5" t="s">
        <v>73</v>
      </c>
    </row>
    <row r="49" spans="2:11">
      <c r="B49" s="5" t="s">
        <v>74</v>
      </c>
      <c r="C49" s="32"/>
      <c r="D49" s="35" t="str">
        <f t="shared" ref="D49:I49" si="14">D31*D33*100&amp;"% fail"</f>
        <v>40% fail</v>
      </c>
      <c r="E49" s="35" t="str">
        <f t="shared" si="14"/>
        <v>45% fail</v>
      </c>
      <c r="F49" s="35" t="str">
        <f t="shared" si="14"/>
        <v>26.25% fail</v>
      </c>
      <c r="G49" s="35" t="str">
        <f t="shared" si="14"/>
        <v>11.25% fail</v>
      </c>
      <c r="H49" s="35" t="str">
        <f t="shared" si="14"/>
        <v>8.5% fail</v>
      </c>
      <c r="I49" s="35" t="str">
        <f t="shared" si="14"/>
        <v>5% fail</v>
      </c>
    </row>
    <row r="50" spans="2:11">
      <c r="B50" s="5" t="s">
        <v>75</v>
      </c>
      <c r="C50" s="32"/>
      <c r="D50" s="35" t="str">
        <f t="shared" ref="D50:I50" si="15">D31*(1-D33)*100&amp;"% sell"</f>
        <v>10% sell</v>
      </c>
      <c r="E50" s="35" t="str">
        <f t="shared" si="15"/>
        <v>30% sell</v>
      </c>
      <c r="F50" s="35" t="str">
        <f t="shared" si="15"/>
        <v>48.75% sell</v>
      </c>
      <c r="G50" s="35" t="str">
        <f t="shared" si="15"/>
        <v>63.75% sell</v>
      </c>
      <c r="H50" s="35" t="str">
        <f t="shared" si="15"/>
        <v>76.5% sell</v>
      </c>
      <c r="I50" s="35" t="str">
        <f t="shared" si="15"/>
        <v>95% sell</v>
      </c>
    </row>
    <row r="51" spans="2:11">
      <c r="C51" s="32"/>
      <c r="D51" s="31"/>
      <c r="E51" s="31"/>
      <c r="F51" s="31"/>
      <c r="G51" s="31"/>
      <c r="H51" s="31"/>
      <c r="I51" s="31"/>
    </row>
    <row r="52" spans="2:11">
      <c r="C52" s="32"/>
      <c r="D52" s="31"/>
      <c r="E52" s="31"/>
      <c r="F52" s="31"/>
      <c r="G52" s="31"/>
      <c r="H52" s="31"/>
      <c r="I52" s="31"/>
    </row>
    <row r="53" spans="2:11">
      <c r="B53" s="2" t="s">
        <v>76</v>
      </c>
      <c r="C53" s="32"/>
      <c r="D53" s="31"/>
      <c r="E53" s="31"/>
      <c r="F53" s="31"/>
      <c r="G53" s="31"/>
      <c r="H53" s="31"/>
      <c r="I53" s="31"/>
    </row>
    <row r="54" spans="2:11">
      <c r="B54" s="5" t="s">
        <v>77</v>
      </c>
      <c r="C54" s="1" t="s">
        <v>14</v>
      </c>
      <c r="D54" s="28">
        <v>1</v>
      </c>
      <c r="E54" s="28">
        <v>1</v>
      </c>
      <c r="F54" s="28">
        <v>1</v>
      </c>
      <c r="G54" s="28">
        <v>1</v>
      </c>
      <c r="H54" s="28">
        <v>1</v>
      </c>
      <c r="I54" s="28">
        <v>1</v>
      </c>
      <c r="K54" s="5" t="s">
        <v>78</v>
      </c>
    </row>
    <row r="55" spans="2:11">
      <c r="B55" s="5" t="s">
        <v>79</v>
      </c>
      <c r="C55" s="22" t="str">
        <f>C16</f>
        <v>$</v>
      </c>
      <c r="D55" s="21">
        <f t="shared" ref="D55:I55" si="16">D54*D16</f>
        <v>1000000</v>
      </c>
      <c r="E55" s="21">
        <f t="shared" si="16"/>
        <v>5000000</v>
      </c>
      <c r="F55" s="21">
        <f t="shared" si="16"/>
        <v>17500000</v>
      </c>
      <c r="G55" s="21">
        <f t="shared" si="16"/>
        <v>35000000</v>
      </c>
      <c r="H55" s="21">
        <f t="shared" si="16"/>
        <v>70000000</v>
      </c>
      <c r="I55" s="21">
        <f t="shared" si="16"/>
        <v>140000000</v>
      </c>
      <c r="K55" s="5" t="s">
        <v>80</v>
      </c>
    </row>
    <row r="56" spans="2:11">
      <c r="B56" s="5" t="s">
        <v>81</v>
      </c>
      <c r="C56" s="32" t="s">
        <v>18</v>
      </c>
      <c r="D56" s="21">
        <f t="shared" ref="D56:I56" si="17">D55/D24</f>
        <v>3333333.3333333335</v>
      </c>
      <c r="E56" s="21">
        <f t="shared" si="17"/>
        <v>4629629.6296296297</v>
      </c>
      <c r="F56" s="21">
        <f t="shared" si="17"/>
        <v>6162122.7709190659</v>
      </c>
      <c r="G56" s="21">
        <f t="shared" si="17"/>
        <v>7439745.175492336</v>
      </c>
      <c r="H56" s="21">
        <f t="shared" si="17"/>
        <v>8700863.9261915646</v>
      </c>
      <c r="I56" s="21">
        <f t="shared" si="17"/>
        <v>9351422.920215698</v>
      </c>
    </row>
    <row r="57" spans="2:11">
      <c r="B57" s="5" t="s">
        <v>82</v>
      </c>
      <c r="C57" s="32" t="s">
        <v>18</v>
      </c>
      <c r="D57" s="21">
        <f>SUM($D56:D56)</f>
        <v>3333333.3333333335</v>
      </c>
      <c r="E57" s="21">
        <f>SUM($D56:E56)</f>
        <v>7962962.9629629627</v>
      </c>
      <c r="F57" s="21">
        <f>SUM($D56:F56)</f>
        <v>14125085.733882029</v>
      </c>
      <c r="G57" s="21">
        <f>SUM($D56:G56)</f>
        <v>21564830.909374364</v>
      </c>
      <c r="H57" s="21">
        <f>SUM($D56:H56)</f>
        <v>30265694.835565928</v>
      </c>
      <c r="I57" s="21">
        <f>SUM($D56:I56)</f>
        <v>39617117.755781628</v>
      </c>
    </row>
    <row r="58" spans="2:11">
      <c r="B58" s="5" t="s">
        <v>83</v>
      </c>
      <c r="C58" s="1" t="s">
        <v>14</v>
      </c>
      <c r="D58" s="25">
        <f t="shared" ref="D58:I58" si="18">D57/D23</f>
        <v>0.2</v>
      </c>
      <c r="E58" s="25">
        <f t="shared" si="18"/>
        <v>0.29913043478260876</v>
      </c>
      <c r="F58" s="25">
        <f t="shared" si="18"/>
        <v>0.36624190912062771</v>
      </c>
      <c r="G58" s="25">
        <f t="shared" si="18"/>
        <v>0.39841661519229199</v>
      </c>
      <c r="H58" s="25">
        <f t="shared" si="18"/>
        <v>0.43355626409946124</v>
      </c>
      <c r="I58" s="25">
        <f t="shared" si="18"/>
        <v>0.47544892838115221</v>
      </c>
      <c r="K58" s="36"/>
    </row>
    <row r="59" spans="2:11">
      <c r="B59" s="5" t="s">
        <v>84</v>
      </c>
      <c r="C59" s="22" t="str">
        <f>C16</f>
        <v>$</v>
      </c>
      <c r="D59" s="31">
        <f t="shared" ref="D59:I59" si="19">D57*D38</f>
        <v>239999.99999999994</v>
      </c>
      <c r="E59" s="31">
        <f t="shared" si="19"/>
        <v>4816000</v>
      </c>
      <c r="F59" s="31">
        <f t="shared" si="19"/>
        <v>36503977.391304344</v>
      </c>
      <c r="G59" s="31">
        <f t="shared" si="19"/>
        <v>120726609.06910755</v>
      </c>
      <c r="H59" s="31">
        <f t="shared" si="19"/>
        <v>262972338.03198868</v>
      </c>
      <c r="I59" s="31">
        <f t="shared" si="19"/>
        <v>619797048.76155508</v>
      </c>
      <c r="K59" s="5" t="s">
        <v>85</v>
      </c>
    </row>
    <row r="60" spans="2:11">
      <c r="C60" s="32"/>
      <c r="D60" s="31"/>
      <c r="E60" s="31"/>
      <c r="F60" s="31"/>
      <c r="G60" s="31"/>
      <c r="H60" s="31"/>
      <c r="I60" s="31"/>
    </row>
    <row r="61" spans="2:11">
      <c r="B61" s="5" t="s">
        <v>86</v>
      </c>
      <c r="C61" s="32" t="s">
        <v>18</v>
      </c>
      <c r="D61" s="37">
        <f>IFERROR(D59/(SUM($D55:D55)),"na")</f>
        <v>0.23999999999999994</v>
      </c>
      <c r="E61" s="37">
        <f>IFERROR(E59/(SUM($D55:E55)),"na")</f>
        <v>0.80266666666666664</v>
      </c>
      <c r="F61" s="37">
        <f>IFERROR(F59/(SUM($D55:F55)),"na")</f>
        <v>1.5533607400555041</v>
      </c>
      <c r="G61" s="37">
        <f>IFERROR(G59/(SUM($D55:G55)),"na")</f>
        <v>2.0637027191300437</v>
      </c>
      <c r="H61" s="37">
        <f>IFERROR(H59/(SUM($D55:H55)),"na")</f>
        <v>2.0464773387703401</v>
      </c>
      <c r="I61" s="37">
        <f>IFERROR(I59/(SUM($D55:I55)),"na")</f>
        <v>2.3083688966910803</v>
      </c>
      <c r="K61" s="5" t="s">
        <v>87</v>
      </c>
    </row>
    <row r="62" spans="2:11">
      <c r="B62" s="5" t="s">
        <v>88</v>
      </c>
      <c r="C62" s="32" t="s">
        <v>14</v>
      </c>
      <c r="D62" s="38">
        <f>IFERROR((D59-SUM($D55:D55))/(SUM($D55:D55)),"na")</f>
        <v>-0.76</v>
      </c>
      <c r="E62" s="38">
        <f>IFERROR((E59-SUM($D55:E55))/(SUM($D55:E55)),"na")</f>
        <v>-0.19733333333333333</v>
      </c>
      <c r="F62" s="38">
        <f>IFERROR((F59-SUM($D55:F55))/(SUM($D55:F55)),"na")</f>
        <v>0.55336074005550395</v>
      </c>
      <c r="G62" s="38">
        <f>IFERROR((G59-SUM($D55:G55))/(SUM($D55:G55)),"na")</f>
        <v>1.0637027191300434</v>
      </c>
      <c r="H62" s="38">
        <f>IFERROR((H59-SUM($D55:H55))/(SUM($D55:H55)),"na")</f>
        <v>1.0464773387703399</v>
      </c>
      <c r="I62" s="38">
        <f>IFERROR((I59-SUM($D55:I55))/(SUM($D55:I55)),"na")</f>
        <v>1.3083688966910803</v>
      </c>
      <c r="K62" s="5" t="s">
        <v>89</v>
      </c>
    </row>
    <row r="63" spans="2:11">
      <c r="B63" s="5" t="s">
        <v>90</v>
      </c>
      <c r="C63" s="32" t="s">
        <v>14</v>
      </c>
      <c r="D63" s="38">
        <f t="shared" ref="D63:I63" ca="1" si="20">IFERROR(LOOKUP(2,1/(ISNUMBER(D125:D130)),D125:D130),"na")</f>
        <v>-0.75999999754130854</v>
      </c>
      <c r="E63" s="38">
        <f t="shared" ca="1" si="20"/>
        <v>-0.16416294239461424</v>
      </c>
      <c r="F63" s="38">
        <f t="shared" ca="1" si="20"/>
        <v>0.32734678387641913</v>
      </c>
      <c r="G63" s="38">
        <f t="shared" ca="1" si="20"/>
        <v>0.42933604121208202</v>
      </c>
      <c r="H63" s="38">
        <f t="shared" ca="1" si="20"/>
        <v>0.3530917346477509</v>
      </c>
      <c r="I63" s="38">
        <f t="shared" ca="1" si="20"/>
        <v>0.36474079489707945</v>
      </c>
      <c r="K63" s="5" t="s">
        <v>91</v>
      </c>
    </row>
    <row r="64" spans="2:11">
      <c r="C64" s="32"/>
      <c r="D64" s="32"/>
      <c r="E64" s="32"/>
      <c r="F64" s="32"/>
      <c r="G64" s="32"/>
      <c r="H64" s="32"/>
      <c r="I64" s="32"/>
    </row>
    <row r="65" spans="2:11">
      <c r="C65" s="32"/>
      <c r="D65" s="32"/>
      <c r="E65" s="32"/>
      <c r="F65" s="32"/>
      <c r="G65" s="32"/>
      <c r="H65" s="32"/>
      <c r="I65" s="32"/>
    </row>
    <row r="66" spans="2:11">
      <c r="B66" s="2" t="s">
        <v>92</v>
      </c>
      <c r="C66" s="32"/>
      <c r="D66" s="32"/>
      <c r="E66" s="32"/>
      <c r="F66" s="32"/>
      <c r="G66" s="32"/>
      <c r="H66" s="32"/>
      <c r="I66" s="32"/>
    </row>
    <row r="67" spans="2:11">
      <c r="B67" s="5" t="s">
        <v>93</v>
      </c>
      <c r="C67" s="32"/>
      <c r="D67" s="39" t="str">
        <f t="shared" ref="D67:I67" si="21">D$6</f>
        <v>Seed</v>
      </c>
      <c r="E67" s="39" t="str">
        <f t="shared" si="21"/>
        <v>A</v>
      </c>
      <c r="F67" s="39" t="str">
        <f t="shared" si="21"/>
        <v>B</v>
      </c>
      <c r="G67" s="39" t="str">
        <f t="shared" si="21"/>
        <v>C</v>
      </c>
      <c r="H67" s="39" t="str">
        <f t="shared" si="21"/>
        <v>D</v>
      </c>
      <c r="I67" s="39" t="str">
        <f t="shared" si="21"/>
        <v>E</v>
      </c>
      <c r="K67" s="5" t="s">
        <v>94</v>
      </c>
    </row>
    <row r="68" spans="2:11">
      <c r="B68" s="33" t="str">
        <f>D$6</f>
        <v>Seed</v>
      </c>
      <c r="C68" s="32"/>
      <c r="D68" s="39">
        <f t="shared" ref="D68:I73" si="22">IF(INDEX($D$36:$I$36,MATCH($B68,$D$6:$I$6,0))&lt;=D$36,INDEX($D$56:$I$56,MATCH($B68,$D$6:$I$6,0))*D$38,0)</f>
        <v>239999.99999999994</v>
      </c>
      <c r="E68" s="39">
        <f>IF(INDEX($D$36:$I$36,MATCH($B68,$D$6:$I$6,0))&lt;=E$36,INDEX($D$56:$I$56,MATCH($B68,$D$6:$I$6,0))*E$38,0)</f>
        <v>2016000</v>
      </c>
      <c r="F68" s="39">
        <f>IF(INDEX($D$36:$I$36,MATCH($B68,$D$6:$I$6,0))&lt;=F$36,INDEX($D$56:$I$56,MATCH($B68,$D$6:$I$6,0))*F$38,0)</f>
        <v>8614455.652173914</v>
      </c>
      <c r="G68" s="39">
        <f>IF(INDEX($D$36:$I$36,MATCH($B68,$D$6:$I$6,0))&lt;=G$36,INDEX($D$56:$I$56,MATCH($B68,$D$6:$I$6,0))*G$38,0)</f>
        <v>18661033.416933641</v>
      </c>
      <c r="H68" s="39">
        <f>IF(INDEX($D$36:$I$36,MATCH($B68,$D$6:$I$6,0))&lt;=H$36,INDEX($D$56:$I$56,MATCH($B68,$D$6:$I$6,0))*H$38,0)</f>
        <v>28962641.19720608</v>
      </c>
      <c r="I68" s="39">
        <f>IF(INDEX($D$36:$I$36,MATCH($B68,$D$6:$I$6,0))&lt;=I$36,INDEX($D$56:$I$56,MATCH($B68,$D$6:$I$6,0))*I$38,0)</f>
        <v>52148926.513893388</v>
      </c>
    </row>
    <row r="69" spans="2:11">
      <c r="B69" s="33" t="str">
        <f>E$6</f>
        <v>A</v>
      </c>
      <c r="C69" s="32"/>
      <c r="D69" s="39">
        <f t="shared" si="22"/>
        <v>0</v>
      </c>
      <c r="E69" s="39">
        <f t="shared" si="22"/>
        <v>2800000</v>
      </c>
      <c r="F69" s="39">
        <f t="shared" si="22"/>
        <v>11964521.739130436</v>
      </c>
      <c r="G69" s="39">
        <f t="shared" si="22"/>
        <v>25918101.96796339</v>
      </c>
      <c r="H69" s="39">
        <f t="shared" si="22"/>
        <v>40225890.551675111</v>
      </c>
      <c r="I69" s="39">
        <f t="shared" si="22"/>
        <v>72429064.602629706</v>
      </c>
    </row>
    <row r="70" spans="2:11">
      <c r="B70" s="33" t="str">
        <f>F$6</f>
        <v>B</v>
      </c>
      <c r="C70" s="32"/>
      <c r="D70" s="39">
        <f t="shared" si="22"/>
        <v>0</v>
      </c>
      <c r="E70" s="39">
        <f t="shared" si="22"/>
        <v>0</v>
      </c>
      <c r="F70" s="39">
        <f t="shared" si="22"/>
        <v>15924999.999999998</v>
      </c>
      <c r="G70" s="39">
        <f t="shared" si="22"/>
        <v>34497473.684210524</v>
      </c>
      <c r="H70" s="39">
        <f t="shared" si="22"/>
        <v>53541405.248178661</v>
      </c>
      <c r="I70" s="39">
        <f t="shared" si="22"/>
        <v>96404426.265074238</v>
      </c>
    </row>
    <row r="71" spans="2:11">
      <c r="B71" s="33" t="str">
        <f>G$6</f>
        <v>C</v>
      </c>
      <c r="C71" s="32"/>
      <c r="D71" s="39">
        <f t="shared" si="22"/>
        <v>0</v>
      </c>
      <c r="E71" s="39">
        <f t="shared" si="22"/>
        <v>0</v>
      </c>
      <c r="F71" s="39">
        <f t="shared" si="22"/>
        <v>0</v>
      </c>
      <c r="G71" s="39">
        <f t="shared" si="22"/>
        <v>41649999.999999993</v>
      </c>
      <c r="H71" s="39">
        <f t="shared" si="22"/>
        <v>64642401.034928851</v>
      </c>
      <c r="I71" s="39">
        <f t="shared" si="22"/>
        <v>116392417.33165281</v>
      </c>
    </row>
    <row r="72" spans="2:11">
      <c r="B72" s="33" t="str">
        <f>H$6</f>
        <v>D</v>
      </c>
      <c r="C72" s="32"/>
      <c r="D72" s="39">
        <f t="shared" si="22"/>
        <v>0</v>
      </c>
      <c r="E72" s="39">
        <f t="shared" si="22"/>
        <v>0</v>
      </c>
      <c r="F72" s="39">
        <f t="shared" si="22"/>
        <v>0</v>
      </c>
      <c r="G72" s="39">
        <f t="shared" si="22"/>
        <v>0</v>
      </c>
      <c r="H72" s="39">
        <f t="shared" si="22"/>
        <v>75600000.000000015</v>
      </c>
      <c r="I72" s="39">
        <f t="shared" si="22"/>
        <v>136122214.04830495</v>
      </c>
    </row>
    <row r="73" spans="2:11">
      <c r="B73" s="33" t="str">
        <f>I$6</f>
        <v>E</v>
      </c>
      <c r="C73" s="32"/>
      <c r="D73" s="39">
        <f t="shared" si="22"/>
        <v>0</v>
      </c>
      <c r="E73" s="39">
        <f t="shared" si="22"/>
        <v>0</v>
      </c>
      <c r="F73" s="39">
        <f t="shared" si="22"/>
        <v>0</v>
      </c>
      <c r="G73" s="39">
        <f t="shared" si="22"/>
        <v>0</v>
      </c>
      <c r="H73" s="39">
        <f t="shared" si="22"/>
        <v>0</v>
      </c>
      <c r="I73" s="39">
        <f t="shared" si="22"/>
        <v>146300000</v>
      </c>
    </row>
    <row r="74" spans="2:11">
      <c r="B74" s="33" t="s">
        <v>95</v>
      </c>
      <c r="C74" s="32"/>
      <c r="D74" s="40">
        <f t="shared" ref="D74:I74" si="23">SUM(D68:D73)</f>
        <v>239999.99999999994</v>
      </c>
      <c r="E74" s="40">
        <f t="shared" si="23"/>
        <v>4816000</v>
      </c>
      <c r="F74" s="40">
        <f t="shared" si="23"/>
        <v>36503977.391304351</v>
      </c>
      <c r="G74" s="40">
        <f t="shared" si="23"/>
        <v>120726609.06910756</v>
      </c>
      <c r="H74" s="40">
        <f t="shared" si="23"/>
        <v>262972338.03198874</v>
      </c>
      <c r="I74" s="40">
        <f t="shared" si="23"/>
        <v>619797048.76155508</v>
      </c>
    </row>
    <row r="75" spans="2:11">
      <c r="C75" s="32"/>
      <c r="D75" s="31"/>
      <c r="E75" s="31"/>
      <c r="F75" s="31"/>
      <c r="G75" s="31"/>
      <c r="H75" s="31"/>
      <c r="I75" s="31"/>
    </row>
    <row r="76" spans="2:11">
      <c r="B76" s="5" t="s">
        <v>96</v>
      </c>
      <c r="C76" s="32"/>
      <c r="D76" s="39" t="str">
        <f t="shared" ref="D76:I76" si="24">D$6</f>
        <v>Seed</v>
      </c>
      <c r="E76" s="39" t="str">
        <f t="shared" si="24"/>
        <v>A</v>
      </c>
      <c r="F76" s="39" t="str">
        <f t="shared" si="24"/>
        <v>B</v>
      </c>
      <c r="G76" s="39" t="str">
        <f t="shared" si="24"/>
        <v>C</v>
      </c>
      <c r="H76" s="39" t="str">
        <f t="shared" si="24"/>
        <v>D</v>
      </c>
      <c r="I76" s="39" t="str">
        <f t="shared" si="24"/>
        <v>E</v>
      </c>
      <c r="K76" s="5" t="s">
        <v>94</v>
      </c>
    </row>
    <row r="77" spans="2:11">
      <c r="B77" s="33" t="str">
        <f>D$6</f>
        <v>Seed</v>
      </c>
      <c r="C77" s="32"/>
      <c r="D77" s="37">
        <f t="shared" ref="D77:I82" si="25">IFERROR(D68/INDEX($D$55:$I$55,MATCH($B77,$D$6:$I$6,0)),0)</f>
        <v>0.23999999999999994</v>
      </c>
      <c r="E77" s="37">
        <f>IFERROR(E68/INDEX($D$55:$I$55,MATCH($B77,$D$6:$I$6,0)),0)</f>
        <v>2.016</v>
      </c>
      <c r="F77" s="37">
        <f>IFERROR(F68/INDEX($D$55:$I$55,MATCH($B77,$D$6:$I$6,0)),0)</f>
        <v>8.6144556521739144</v>
      </c>
      <c r="G77" s="37">
        <f>IFERROR(G68/INDEX($D$55:$I$55,MATCH($B77,$D$6:$I$6,0)),0)</f>
        <v>18.661033416933641</v>
      </c>
      <c r="H77" s="37">
        <f>IFERROR(H68/INDEX($D$55:$I$55,MATCH($B77,$D$6:$I$6,0)),0)</f>
        <v>28.962641197206079</v>
      </c>
      <c r="I77" s="37">
        <f>IFERROR(I68/INDEX($D$55:$I$55,MATCH($B77,$D$6:$I$6,0)),0)</f>
        <v>52.148926513893386</v>
      </c>
    </row>
    <row r="78" spans="2:11">
      <c r="B78" s="33" t="str">
        <f>E$6</f>
        <v>A</v>
      </c>
      <c r="C78" s="32"/>
      <c r="D78" s="37">
        <f t="shared" si="25"/>
        <v>0</v>
      </c>
      <c r="E78" s="37">
        <f t="shared" si="25"/>
        <v>0.56000000000000005</v>
      </c>
      <c r="F78" s="37">
        <f t="shared" si="25"/>
        <v>2.3929043478260872</v>
      </c>
      <c r="G78" s="37">
        <f t="shared" si="25"/>
        <v>5.1836203935926779</v>
      </c>
      <c r="H78" s="37">
        <f t="shared" si="25"/>
        <v>8.0451781103350228</v>
      </c>
      <c r="I78" s="37">
        <f t="shared" si="25"/>
        <v>14.485812920525941</v>
      </c>
    </row>
    <row r="79" spans="2:11">
      <c r="B79" s="33" t="str">
        <f>F$6</f>
        <v>B</v>
      </c>
      <c r="C79" s="32"/>
      <c r="D79" s="37">
        <f t="shared" si="25"/>
        <v>0</v>
      </c>
      <c r="E79" s="37">
        <f t="shared" si="25"/>
        <v>0</v>
      </c>
      <c r="F79" s="37">
        <f t="shared" si="25"/>
        <v>0.90999999999999992</v>
      </c>
      <c r="G79" s="37">
        <f t="shared" si="25"/>
        <v>1.9712842105263157</v>
      </c>
      <c r="H79" s="37">
        <f t="shared" si="25"/>
        <v>3.0595088713244949</v>
      </c>
      <c r="I79" s="37">
        <f t="shared" si="25"/>
        <v>5.508824358004242</v>
      </c>
    </row>
    <row r="80" spans="2:11">
      <c r="B80" s="33" t="str">
        <f>G$6</f>
        <v>C</v>
      </c>
      <c r="C80" s="32"/>
      <c r="D80" s="37">
        <f t="shared" si="25"/>
        <v>0</v>
      </c>
      <c r="E80" s="37">
        <f t="shared" si="25"/>
        <v>0</v>
      </c>
      <c r="F80" s="37">
        <f t="shared" si="25"/>
        <v>0</v>
      </c>
      <c r="G80" s="37">
        <f t="shared" si="25"/>
        <v>1.1899999999999997</v>
      </c>
      <c r="H80" s="37">
        <f t="shared" si="25"/>
        <v>1.8469257438551101</v>
      </c>
      <c r="I80" s="37">
        <f t="shared" si="25"/>
        <v>3.325497638047223</v>
      </c>
    </row>
    <row r="81" spans="2:11">
      <c r="B81" s="33" t="str">
        <f>H$6</f>
        <v>D</v>
      </c>
      <c r="C81" s="32"/>
      <c r="D81" s="37">
        <f t="shared" si="25"/>
        <v>0</v>
      </c>
      <c r="E81" s="37">
        <f t="shared" si="25"/>
        <v>0</v>
      </c>
      <c r="F81" s="37">
        <f t="shared" si="25"/>
        <v>0</v>
      </c>
      <c r="G81" s="37">
        <f t="shared" si="25"/>
        <v>0</v>
      </c>
      <c r="H81" s="37">
        <f t="shared" si="25"/>
        <v>1.0800000000000003</v>
      </c>
      <c r="I81" s="37">
        <f t="shared" si="25"/>
        <v>1.9446030578329279</v>
      </c>
    </row>
    <row r="82" spans="2:11">
      <c r="B82" s="33" t="str">
        <f>I$6</f>
        <v>E</v>
      </c>
      <c r="C82" s="32"/>
      <c r="D82" s="37">
        <f t="shared" si="25"/>
        <v>0</v>
      </c>
      <c r="E82" s="37">
        <f t="shared" si="25"/>
        <v>0</v>
      </c>
      <c r="F82" s="37">
        <f t="shared" si="25"/>
        <v>0</v>
      </c>
      <c r="G82" s="37">
        <f t="shared" si="25"/>
        <v>0</v>
      </c>
      <c r="H82" s="37">
        <f t="shared" si="25"/>
        <v>0</v>
      </c>
      <c r="I82" s="37">
        <f t="shared" si="25"/>
        <v>1.0449999999999999</v>
      </c>
    </row>
    <row r="83" spans="2:11">
      <c r="B83" s="5" t="s">
        <v>97</v>
      </c>
      <c r="C83" s="32"/>
      <c r="D83" s="41">
        <f>SUM(D68:D73)/SUM($D55:D55)</f>
        <v>0.23999999999999994</v>
      </c>
      <c r="E83" s="41">
        <f>SUM(E68:E73)/SUM($D55:E55)</f>
        <v>0.80266666666666664</v>
      </c>
      <c r="F83" s="41">
        <f>SUM(F68:F73)/SUM($D55:F55)</f>
        <v>1.5533607400555043</v>
      </c>
      <c r="G83" s="41">
        <f>SUM(G68:G73)/SUM($D55:G55)</f>
        <v>2.0637027191300437</v>
      </c>
      <c r="H83" s="41">
        <f>SUM(H68:H73)/SUM($D55:H55)</f>
        <v>2.0464773387703405</v>
      </c>
      <c r="I83" s="41">
        <f>SUM(I68:I73)/SUM($D55:I55)</f>
        <v>2.3083688966910803</v>
      </c>
      <c r="K83" s="5" t="s">
        <v>98</v>
      </c>
    </row>
    <row r="84" spans="2:11">
      <c r="C84" s="32"/>
      <c r="D84" s="31"/>
      <c r="E84" s="31"/>
      <c r="F84" s="31"/>
      <c r="G84" s="31"/>
      <c r="H84" s="31"/>
      <c r="I84" s="31"/>
    </row>
    <row r="85" spans="2:11">
      <c r="B85" s="5" t="s">
        <v>99</v>
      </c>
      <c r="C85" s="32"/>
      <c r="D85" s="39" t="str">
        <f t="shared" ref="D85:I85" si="26">D$6</f>
        <v>Seed</v>
      </c>
      <c r="E85" s="39" t="str">
        <f t="shared" si="26"/>
        <v>A</v>
      </c>
      <c r="F85" s="39" t="str">
        <f t="shared" si="26"/>
        <v>B</v>
      </c>
      <c r="G85" s="39" t="str">
        <f t="shared" si="26"/>
        <v>C</v>
      </c>
      <c r="H85" s="39" t="str">
        <f t="shared" si="26"/>
        <v>D</v>
      </c>
      <c r="I85" s="39" t="str">
        <f t="shared" si="26"/>
        <v>E</v>
      </c>
      <c r="K85" s="5" t="s">
        <v>100</v>
      </c>
    </row>
    <row r="86" spans="2:11">
      <c r="B86" s="33" t="str">
        <f>D$6</f>
        <v>Seed</v>
      </c>
      <c r="C86" s="32"/>
      <c r="D86" s="26">
        <f t="shared" ref="D86:I91" si="27">IF(INDEX($D$36:$I$36,MATCH($B68,$D$6:$I$6,0))&lt;=D$36,INDEX($D$56:$I$56,MATCH($B68,$D$6:$I$6,0))/D$23,0)</f>
        <v>0.2</v>
      </c>
      <c r="E86" s="26">
        <f>IF(INDEX($D$36:$I$36,MATCH($B68,$D$6:$I$6,0))&lt;=E$36,INDEX($D$56:$I$56,MATCH($B68,$D$6:$I$6,0))/E$23,0)</f>
        <v>0.12521739130434786</v>
      </c>
      <c r="F86" s="26">
        <f>IF(INDEX($D$36:$I$36,MATCH($B68,$D$6:$I$6,0))&lt;=F$36,INDEX($D$56:$I$56,MATCH($B68,$D$6:$I$6,0))/F$23,0)</f>
        <v>8.6428244524354395E-2</v>
      </c>
      <c r="G86" s="26">
        <f>IF(INDEX($D$36:$I$36,MATCH($B68,$D$6:$I$6,0))&lt;=G$36,INDEX($D$56:$I$56,MATCH($B68,$D$6:$I$6,0))/G$23,0)</f>
        <v>6.158431705564605E-2</v>
      </c>
      <c r="H86" s="26">
        <f>IF(INDEX($D$36:$I$36,MATCH($B68,$D$6:$I$6,0))&lt;=H$36,INDEX($D$56:$I$56,MATCH($B68,$D$6:$I$6,0))/H$23,0)</f>
        <v>4.7750020438979988E-2</v>
      </c>
      <c r="I86" s="26">
        <f>IF(INDEX($D$36:$I$36,MATCH($B68,$D$6:$I$6,0))&lt;=I$36,INDEX($D$56:$I$56,MATCH($B68,$D$6:$I$6,0))/I$23,0)</f>
        <v>4.0003661322364145E-2</v>
      </c>
    </row>
    <row r="87" spans="2:11">
      <c r="B87" s="33" t="str">
        <f>E$6</f>
        <v>A</v>
      </c>
      <c r="C87" s="32"/>
      <c r="D87" s="26">
        <f t="shared" si="27"/>
        <v>0</v>
      </c>
      <c r="E87" s="26">
        <f t="shared" si="27"/>
        <v>0.17391304347826089</v>
      </c>
      <c r="F87" s="26">
        <f t="shared" si="27"/>
        <v>0.12003922850604776</v>
      </c>
      <c r="G87" s="26">
        <f t="shared" si="27"/>
        <v>8.5533773688397291E-2</v>
      </c>
      <c r="H87" s="26">
        <f t="shared" si="27"/>
        <v>6.6319472831916651E-2</v>
      </c>
      <c r="I87" s="26">
        <f t="shared" si="27"/>
        <v>5.5560640725505761E-2</v>
      </c>
    </row>
    <row r="88" spans="2:11">
      <c r="B88" s="33" t="str">
        <f>F$6</f>
        <v>B</v>
      </c>
      <c r="C88" s="32"/>
      <c r="D88" s="26">
        <f t="shared" si="27"/>
        <v>0</v>
      </c>
      <c r="E88" s="26">
        <f t="shared" si="27"/>
        <v>0</v>
      </c>
      <c r="F88" s="26">
        <f t="shared" si="27"/>
        <v>0.15977443609022557</v>
      </c>
      <c r="G88" s="26">
        <f t="shared" si="27"/>
        <v>0.11384703673802878</v>
      </c>
      <c r="H88" s="26">
        <f t="shared" si="27"/>
        <v>8.8272446477666813E-2</v>
      </c>
      <c r="I88" s="26">
        <f t="shared" si="27"/>
        <v>7.3952241706402327E-2</v>
      </c>
    </row>
    <row r="89" spans="2:11">
      <c r="B89" s="33" t="str">
        <f>G$6</f>
        <v>C</v>
      </c>
      <c r="C89" s="32"/>
      <c r="D89" s="26">
        <f t="shared" si="27"/>
        <v>0</v>
      </c>
      <c r="E89" s="26">
        <f t="shared" si="27"/>
        <v>0</v>
      </c>
      <c r="F89" s="26">
        <f t="shared" si="27"/>
        <v>0</v>
      </c>
      <c r="G89" s="26">
        <f t="shared" si="27"/>
        <v>0.13745148771021992</v>
      </c>
      <c r="H89" s="26">
        <f t="shared" si="27"/>
        <v>0.10657439525716854</v>
      </c>
      <c r="I89" s="26">
        <f t="shared" si="27"/>
        <v>8.9285113897526414E-2</v>
      </c>
    </row>
    <row r="90" spans="2:11">
      <c r="B90" s="33" t="str">
        <f>H$6</f>
        <v>D</v>
      </c>
      <c r="C90" s="32"/>
      <c r="D90" s="26">
        <f t="shared" si="27"/>
        <v>0</v>
      </c>
      <c r="E90" s="26">
        <f t="shared" si="27"/>
        <v>0</v>
      </c>
      <c r="F90" s="26">
        <f t="shared" si="27"/>
        <v>0</v>
      </c>
      <c r="G90" s="26">
        <f t="shared" si="27"/>
        <v>0</v>
      </c>
      <c r="H90" s="26">
        <f t="shared" si="27"/>
        <v>0.12463992909372926</v>
      </c>
      <c r="I90" s="26">
        <f t="shared" si="27"/>
        <v>0.10441992411460288</v>
      </c>
    </row>
    <row r="91" spans="2:11">
      <c r="B91" s="33" t="str">
        <f>I$6</f>
        <v>E</v>
      </c>
      <c r="C91" s="32"/>
      <c r="D91" s="26">
        <f t="shared" si="27"/>
        <v>0</v>
      </c>
      <c r="E91" s="26">
        <f t="shared" si="27"/>
        <v>0</v>
      </c>
      <c r="F91" s="26">
        <f t="shared" si="27"/>
        <v>0</v>
      </c>
      <c r="G91" s="26">
        <f t="shared" si="27"/>
        <v>0</v>
      </c>
      <c r="H91" s="26">
        <f t="shared" si="27"/>
        <v>0</v>
      </c>
      <c r="I91" s="26">
        <f t="shared" si="27"/>
        <v>0.11222734661475069</v>
      </c>
    </row>
    <row r="92" spans="2:11">
      <c r="B92" s="33" t="s">
        <v>95</v>
      </c>
      <c r="C92" s="32"/>
      <c r="D92" s="42">
        <f t="shared" ref="D92:I92" si="28">SUM(D86:D91)</f>
        <v>0.2</v>
      </c>
      <c r="E92" s="42">
        <f t="shared" si="28"/>
        <v>0.29913043478260876</v>
      </c>
      <c r="F92" s="42">
        <f t="shared" si="28"/>
        <v>0.36624190912062771</v>
      </c>
      <c r="G92" s="42">
        <f t="shared" si="28"/>
        <v>0.39841661519229205</v>
      </c>
      <c r="H92" s="42">
        <f t="shared" si="28"/>
        <v>0.43355626409946124</v>
      </c>
      <c r="I92" s="42">
        <f t="shared" si="28"/>
        <v>0.47544892838115221</v>
      </c>
    </row>
    <row r="93" spans="2:11">
      <c r="C93" s="32"/>
      <c r="D93" s="31"/>
      <c r="E93" s="31"/>
      <c r="F93" s="31"/>
      <c r="G93" s="31"/>
      <c r="H93" s="31"/>
      <c r="I93" s="31"/>
    </row>
    <row r="94" spans="2:11">
      <c r="B94" s="5" t="s">
        <v>101</v>
      </c>
      <c r="C94" s="32"/>
      <c r="D94" s="39" t="str">
        <f t="shared" ref="D94:I94" si="29">D$6</f>
        <v>Seed</v>
      </c>
      <c r="E94" s="39" t="str">
        <f t="shared" si="29"/>
        <v>A</v>
      </c>
      <c r="F94" s="39" t="str">
        <f t="shared" si="29"/>
        <v>B</v>
      </c>
      <c r="G94" s="39" t="str">
        <f t="shared" si="29"/>
        <v>C</v>
      </c>
      <c r="H94" s="39" t="str">
        <f t="shared" si="29"/>
        <v>D</v>
      </c>
      <c r="I94" s="39" t="str">
        <f t="shared" si="29"/>
        <v>E</v>
      </c>
      <c r="K94" s="5" t="s">
        <v>102</v>
      </c>
    </row>
    <row r="95" spans="2:11">
      <c r="B95" s="33" t="str">
        <f>D$6</f>
        <v>Seed</v>
      </c>
      <c r="C95" s="32"/>
      <c r="D95" s="43">
        <f>IFERROR((D86-MAX($D86:D86))/MAX($D86:D86),0)</f>
        <v>0</v>
      </c>
      <c r="E95" s="43">
        <f>IFERROR((E86-MAX($D86:E86))/MAX($D86:E86),0)</f>
        <v>-0.37391304347826071</v>
      </c>
      <c r="F95" s="43">
        <f>IFERROR((F86-MAX($D86:F86))/MAX($D86:F86),0)</f>
        <v>-0.5678587773782281</v>
      </c>
      <c r="G95" s="43">
        <f>IFERROR((G86-MAX($D86:G86))/MAX($D86:G86),0)</f>
        <v>-0.69207841472176979</v>
      </c>
      <c r="H95" s="43">
        <f>IFERROR((H86-MAX($D86:H86))/MAX($D86:H86),0)</f>
        <v>-0.7612498978051</v>
      </c>
      <c r="I95" s="43">
        <f>IFERROR((I86-MAX($D86:I86))/MAX($D86:I86),0)</f>
        <v>-0.79998169338817926</v>
      </c>
    </row>
    <row r="96" spans="2:11">
      <c r="B96" s="33" t="str">
        <f>E$6</f>
        <v>A</v>
      </c>
      <c r="C96" s="32"/>
      <c r="D96" s="43">
        <f>IFERROR((D87-MAX($D87:D87))/MAX($D87:D87),0)</f>
        <v>0</v>
      </c>
      <c r="E96" s="43">
        <f>IFERROR((E87-MAX($D87:E87))/MAX($D87:E87),0)</f>
        <v>0</v>
      </c>
      <c r="F96" s="43">
        <f>IFERROR((F87-MAX($D87:F87))/MAX($D87:F87),0)</f>
        <v>-0.30977443609022548</v>
      </c>
      <c r="G96" s="43">
        <f>IFERROR((G87-MAX($D87:G87))/MAX($D87:G87),0)</f>
        <v>-0.50818080129171561</v>
      </c>
      <c r="H96" s="43">
        <f>IFERROR((H87-MAX($D87:H87))/MAX($D87:H87),0)</f>
        <v>-0.61866303121647925</v>
      </c>
      <c r="I96" s="43">
        <f>IFERROR((I87-MAX($D87:I87))/MAX($D87:I87),0)</f>
        <v>-0.68052631582834189</v>
      </c>
    </row>
    <row r="97" spans="2:11">
      <c r="B97" s="33" t="str">
        <f>F$6</f>
        <v>B</v>
      </c>
      <c r="C97" s="32"/>
      <c r="D97" s="43">
        <f>IFERROR((D88-MAX($D88:D88))/MAX($D88:D88),0)</f>
        <v>0</v>
      </c>
      <c r="E97" s="43">
        <f>IFERROR((E88-MAX($D88:E88))/MAX($D88:E88),0)</f>
        <v>0</v>
      </c>
      <c r="F97" s="43">
        <f>IFERROR((F88-MAX($D88:F88))/MAX($D88:F88),0)</f>
        <v>0</v>
      </c>
      <c r="G97" s="43">
        <f>IFERROR((G88-MAX($D88:G88))/MAX($D88:G88),0)</f>
        <v>-0.28745148771021994</v>
      </c>
      <c r="H97" s="43">
        <f>IFERROR((H88-MAX($D88:H88))/MAX($D88:H88),0)</f>
        <v>-0.4475183349868383</v>
      </c>
      <c r="I97" s="43">
        <f>IFERROR((I88-MAX($D88:I88))/MAX($D88:I88),0)</f>
        <v>-0.53714596955522309</v>
      </c>
    </row>
    <row r="98" spans="2:11">
      <c r="B98" s="33" t="str">
        <f>G$6</f>
        <v>C</v>
      </c>
      <c r="C98" s="32"/>
      <c r="D98" s="43">
        <f>IFERROR((D89-MAX($D89:D89))/MAX($D89:D89),0)</f>
        <v>0</v>
      </c>
      <c r="E98" s="43">
        <f>IFERROR((E89-MAX($D89:E89))/MAX($D89:E89),0)</f>
        <v>0</v>
      </c>
      <c r="F98" s="43">
        <f>IFERROR((F89-MAX($D89:F89))/MAX($D89:F89),0)</f>
        <v>0</v>
      </c>
      <c r="G98" s="43">
        <f>IFERROR((G89-MAX($D89:G89))/MAX($D89:G89),0)</f>
        <v>0</v>
      </c>
      <c r="H98" s="43">
        <f>IFERROR((H89-MAX($D89:H89))/MAX($D89:H89),0)</f>
        <v>-0.22463992909372912</v>
      </c>
      <c r="I98" s="43">
        <f>IFERROR((I89-MAX($D89:I89))/MAX($D89:I89),0)</f>
        <v>-0.35042453606787843</v>
      </c>
    </row>
    <row r="99" spans="2:11">
      <c r="B99" s="33" t="str">
        <f>H$6</f>
        <v>D</v>
      </c>
      <c r="C99" s="32"/>
      <c r="D99" s="43">
        <f>IFERROR((D90-MAX($D90:D90))/MAX($D90:D90),0)</f>
        <v>0</v>
      </c>
      <c r="E99" s="43">
        <f>IFERROR((E90-MAX($D90:E90))/MAX($D90:E90),0)</f>
        <v>0</v>
      </c>
      <c r="F99" s="43">
        <f>IFERROR((F90-MAX($D90:F90))/MAX($D90:F90),0)</f>
        <v>0</v>
      </c>
      <c r="G99" s="43">
        <f>IFERROR((G90-MAX($D90:G90))/MAX($D90:G90),0)</f>
        <v>0</v>
      </c>
      <c r="H99" s="43">
        <f>IFERROR((H90-MAX($D90:H90))/MAX($D90:H90),0)</f>
        <v>0</v>
      </c>
      <c r="I99" s="43">
        <f>IFERROR((I90-MAX($D90:I90))/MAX($D90:I90),0)</f>
        <v>-0.16222734661475077</v>
      </c>
    </row>
    <row r="100" spans="2:11">
      <c r="B100" s="33" t="str">
        <f>I$6</f>
        <v>E</v>
      </c>
      <c r="C100" s="32"/>
      <c r="D100" s="43">
        <f>IFERROR((D91-MAX($D91:D91))/MAX($D91:D91),0)</f>
        <v>0</v>
      </c>
      <c r="E100" s="43">
        <f>IFERROR((E91-MAX($D91:E91))/MAX($D91:E91),0)</f>
        <v>0</v>
      </c>
      <c r="F100" s="43">
        <f>IFERROR((F91-MAX($D91:F91))/MAX($D91:F91),0)</f>
        <v>0</v>
      </c>
      <c r="G100" s="43">
        <f>IFERROR((G91-MAX($D91:G91))/MAX($D91:G91),0)</f>
        <v>0</v>
      </c>
      <c r="H100" s="43">
        <f>IFERROR((H91-MAX($D91:H91))/MAX($D91:H91),0)</f>
        <v>0</v>
      </c>
      <c r="I100" s="43">
        <f>IFERROR((I91-MAX($D91:I91))/MAX($D91:I91),0)</f>
        <v>0</v>
      </c>
    </row>
    <row r="101" spans="2:11">
      <c r="C101" s="32"/>
      <c r="D101" s="31"/>
      <c r="E101" s="31"/>
      <c r="F101" s="31"/>
      <c r="G101" s="31"/>
      <c r="H101" s="31"/>
      <c r="I101" s="31"/>
    </row>
    <row r="102" spans="2:11">
      <c r="C102" s="32"/>
      <c r="D102" s="31"/>
      <c r="E102" s="31"/>
      <c r="F102" s="31"/>
      <c r="G102" s="31"/>
      <c r="H102" s="31"/>
      <c r="I102" s="31"/>
    </row>
    <row r="103" spans="2:11">
      <c r="C103" s="32"/>
      <c r="D103" s="31"/>
      <c r="E103" s="31"/>
      <c r="F103" s="31"/>
      <c r="G103" s="31"/>
      <c r="H103" s="31"/>
      <c r="I103" s="31"/>
    </row>
    <row r="104" spans="2:11">
      <c r="B104" s="2" t="s">
        <v>103</v>
      </c>
      <c r="C104" s="32"/>
      <c r="D104" s="31"/>
      <c r="E104" s="31"/>
      <c r="F104" s="31"/>
      <c r="G104" s="31"/>
      <c r="H104" s="31"/>
      <c r="I104" s="31"/>
    </row>
    <row r="105" spans="2:11">
      <c r="B105" s="6" t="s">
        <v>104</v>
      </c>
      <c r="C105" s="32"/>
      <c r="D105" s="31"/>
      <c r="E105" s="31"/>
      <c r="F105" s="31"/>
      <c r="G105" s="31"/>
      <c r="H105" s="31"/>
      <c r="I105" s="31"/>
    </row>
    <row r="106" spans="2:11">
      <c r="B106" s="6" t="s">
        <v>105</v>
      </c>
      <c r="C106" s="32"/>
      <c r="D106" s="31"/>
      <c r="E106" s="31"/>
      <c r="F106" s="31"/>
      <c r="G106" s="31"/>
      <c r="H106" s="31"/>
      <c r="I106" s="31"/>
    </row>
    <row r="107" spans="2:11">
      <c r="B107" s="2"/>
      <c r="C107" s="32"/>
      <c r="D107" s="31"/>
      <c r="E107" s="31"/>
      <c r="F107" s="31"/>
      <c r="G107" s="31"/>
      <c r="H107" s="31"/>
      <c r="I107" s="31"/>
    </row>
    <row r="108" spans="2:11">
      <c r="B108" s="5" t="s">
        <v>106</v>
      </c>
      <c r="C108" s="32"/>
      <c r="D108" s="39" t="str">
        <f t="shared" ref="D108:I108" si="30">D$6</f>
        <v>Seed</v>
      </c>
      <c r="E108" s="39" t="str">
        <f t="shared" si="30"/>
        <v>A</v>
      </c>
      <c r="F108" s="39" t="str">
        <f t="shared" si="30"/>
        <v>B</v>
      </c>
      <c r="G108" s="39" t="str">
        <f t="shared" si="30"/>
        <v>C</v>
      </c>
      <c r="H108" s="39" t="str">
        <f t="shared" si="30"/>
        <v>D</v>
      </c>
      <c r="I108" s="39" t="str">
        <f t="shared" si="30"/>
        <v>E</v>
      </c>
      <c r="K108" s="5" t="s">
        <v>107</v>
      </c>
    </row>
    <row r="109" spans="2:11">
      <c r="B109" s="33" t="str">
        <f>D$6</f>
        <v>Seed</v>
      </c>
      <c r="C109" s="22" t="str">
        <f>C16</f>
        <v>$</v>
      </c>
      <c r="D109" s="31">
        <f t="shared" ref="D109:I109" si="31">IF(INDEX($D$56:$I$56,0,MATCH($B$109,$D$6:$I$6,0))=0,0,IF(INDEX($D$15:$I$15,0,MATCH($B109,$D$6:$I$6,0))&gt;INDEX($D$15:$I$15,0,MATCH(D$108,$D$6:$I$6,0)),0,SUM($D$56:$D$56)*D$38))</f>
        <v>239999.99999999994</v>
      </c>
      <c r="E109" s="31">
        <f t="shared" si="31"/>
        <v>2016000</v>
      </c>
      <c r="F109" s="31">
        <f t="shared" si="31"/>
        <v>8614455.652173914</v>
      </c>
      <c r="G109" s="31">
        <f t="shared" si="31"/>
        <v>18661033.416933641</v>
      </c>
      <c r="H109" s="31">
        <f t="shared" si="31"/>
        <v>28962641.19720608</v>
      </c>
      <c r="I109" s="31">
        <f t="shared" si="31"/>
        <v>52148926.513893388</v>
      </c>
    </row>
    <row r="110" spans="2:11">
      <c r="B110" s="33" t="str">
        <f>E$6</f>
        <v>A</v>
      </c>
      <c r="C110" s="22" t="str">
        <f>C16</f>
        <v>$</v>
      </c>
      <c r="D110" s="31">
        <f t="shared" ref="D110:I110" si="32">IF(INDEX($D$56:$I$56,0,MATCH($B$110,$D$6:$I$6,0))=0,0,IF(INDEX($D$15:$I$15,0,MATCH($B110,$D$6:$I$6,0))&gt;INDEX($D$15:$I$15,0,MATCH(D$108,$D$6:$I$6,0)),0,SUM($D$56:$E$56)*D$38))</f>
        <v>0</v>
      </c>
      <c r="E110" s="31">
        <f t="shared" si="32"/>
        <v>4816000</v>
      </c>
      <c r="F110" s="31">
        <f t="shared" si="32"/>
        <v>20578977.391304348</v>
      </c>
      <c r="G110" s="31">
        <f t="shared" si="32"/>
        <v>44579135.384897031</v>
      </c>
      <c r="H110" s="31">
        <f t="shared" si="32"/>
        <v>69188531.748881176</v>
      </c>
      <c r="I110" s="31">
        <f t="shared" si="32"/>
        <v>124577991.11652309</v>
      </c>
    </row>
    <row r="111" spans="2:11">
      <c r="B111" s="33" t="str">
        <f>F$6</f>
        <v>B</v>
      </c>
      <c r="C111" s="22" t="str">
        <f>C16</f>
        <v>$</v>
      </c>
      <c r="D111" s="31">
        <f t="shared" ref="D111:I111" si="33">IF(INDEX($D$56:$I$56,0,MATCH($B$111,$D$6:$I$6,0))=0,0,IF(INDEX($D$15:$I$15,0,MATCH($B111,$D$6:$I$6,0))&gt;INDEX($D$15:$I$15,0,MATCH(D$108,$D$6:$I$6,0)),0,SUM($D$56:$F$56)*D$38))</f>
        <v>0</v>
      </c>
      <c r="E111" s="31">
        <f t="shared" si="33"/>
        <v>0</v>
      </c>
      <c r="F111" s="31">
        <f t="shared" si="33"/>
        <v>36503977.391304344</v>
      </c>
      <c r="G111" s="31">
        <f t="shared" si="33"/>
        <v>79076609.069107547</v>
      </c>
      <c r="H111" s="31">
        <f t="shared" si="33"/>
        <v>122729936.99705985</v>
      </c>
      <c r="I111" s="31">
        <f t="shared" si="33"/>
        <v>220982417.38159731</v>
      </c>
    </row>
    <row r="112" spans="2:11">
      <c r="B112" s="33" t="str">
        <f>G$6</f>
        <v>C</v>
      </c>
      <c r="C112" s="22" t="str">
        <f>C16</f>
        <v>$</v>
      </c>
      <c r="D112" s="31">
        <f t="shared" ref="D112:I112" si="34">IF(INDEX($D$56:$I$56,0,MATCH($B$112,$D$6:$I$6,0))=0,0,IF(INDEX($D$15:$I$15,0,MATCH($B112,$D$6:$I$6,0))&gt;INDEX($D$15:$I$15,0,MATCH(D$108,$D$6:$I$6,0)),0,SUM($D$56:$G$56)*D$38))</f>
        <v>0</v>
      </c>
      <c r="E112" s="31">
        <f t="shared" si="34"/>
        <v>0</v>
      </c>
      <c r="F112" s="31">
        <f t="shared" si="34"/>
        <v>0</v>
      </c>
      <c r="G112" s="31">
        <f t="shared" si="34"/>
        <v>120726609.06910755</v>
      </c>
      <c r="H112" s="31">
        <f t="shared" si="34"/>
        <v>187372338.03198868</v>
      </c>
      <c r="I112" s="31">
        <f t="shared" si="34"/>
        <v>337374834.7132501</v>
      </c>
    </row>
    <row r="113" spans="2:11">
      <c r="B113" s="33" t="str">
        <f>H$6</f>
        <v>D</v>
      </c>
      <c r="C113" s="22" t="str">
        <f>C16</f>
        <v>$</v>
      </c>
      <c r="D113" s="31">
        <f t="shared" ref="D113:I113" si="35">IF(INDEX($D$56:$I$56,0,MATCH($B$113,$D$6:$I$6,0))=0,0,IF(INDEX($D$15:$I$15,0,MATCH($B113,$D$6:$I$6,0))&gt;INDEX($D$15:$I$15,0,MATCH(D$108,$D$6:$I$6,0)),0,SUM($D$56:$H$56)*D$38))</f>
        <v>0</v>
      </c>
      <c r="E113" s="31">
        <f t="shared" si="35"/>
        <v>0</v>
      </c>
      <c r="F113" s="31">
        <f t="shared" si="35"/>
        <v>0</v>
      </c>
      <c r="G113" s="31">
        <f t="shared" si="35"/>
        <v>0</v>
      </c>
      <c r="H113" s="31">
        <f t="shared" si="35"/>
        <v>262972338.03198868</v>
      </c>
      <c r="I113" s="31">
        <f t="shared" si="35"/>
        <v>473497048.76155502</v>
      </c>
    </row>
    <row r="114" spans="2:11">
      <c r="B114" s="33" t="str">
        <f>I$6</f>
        <v>E</v>
      </c>
      <c r="C114" s="22" t="str">
        <f>C16</f>
        <v>$</v>
      </c>
      <c r="D114" s="31">
        <f t="shared" ref="D114:I114" si="36">IF(INDEX($D$56:$I$56,0,MATCH($B$114,$D$6:$I$6,0))=0,0,IF(INDEX($D$15:$I$15,0,MATCH($B114,$D$6:$I$6,0))&gt;INDEX($D$15:$I$15,0,MATCH(D$108,$D$6:$I$6,0)),0,SUM($D$56:$I$56)*D$38))</f>
        <v>0</v>
      </c>
      <c r="E114" s="31">
        <f t="shared" si="36"/>
        <v>0</v>
      </c>
      <c r="F114" s="31">
        <f t="shared" si="36"/>
        <v>0</v>
      </c>
      <c r="G114" s="31">
        <f t="shared" si="36"/>
        <v>0</v>
      </c>
      <c r="H114" s="31">
        <f t="shared" si="36"/>
        <v>0</v>
      </c>
      <c r="I114" s="31">
        <f t="shared" si="36"/>
        <v>619797048.76155508</v>
      </c>
    </row>
    <row r="115" spans="2:11">
      <c r="C115" s="32"/>
      <c r="D115" s="31"/>
      <c r="E115" s="31"/>
      <c r="F115" s="31"/>
      <c r="G115" s="31"/>
      <c r="H115" s="31"/>
      <c r="I115" s="31"/>
    </row>
    <row r="116" spans="2:11">
      <c r="B116" s="5" t="s">
        <v>108</v>
      </c>
      <c r="C116" s="32"/>
      <c r="D116" s="39" t="str">
        <f t="shared" ref="D116:I116" si="37">D$6</f>
        <v>Seed</v>
      </c>
      <c r="E116" s="39" t="str">
        <f t="shared" si="37"/>
        <v>A</v>
      </c>
      <c r="F116" s="39" t="str">
        <f t="shared" si="37"/>
        <v>B</v>
      </c>
      <c r="G116" s="39" t="str">
        <f t="shared" si="37"/>
        <v>C</v>
      </c>
      <c r="H116" s="39" t="str">
        <f t="shared" si="37"/>
        <v>D</v>
      </c>
      <c r="I116" s="39" t="str">
        <f t="shared" si="37"/>
        <v>E</v>
      </c>
      <c r="K116" s="5" t="s">
        <v>109</v>
      </c>
    </row>
    <row r="117" spans="2:11">
      <c r="B117" s="33" t="str">
        <f>D$6</f>
        <v>Seed</v>
      </c>
      <c r="C117" s="32" t="s">
        <v>18</v>
      </c>
      <c r="D117" s="37">
        <f t="shared" ref="D117:I117" si="38">IFERROR(D109/(SUM($D$55:$D$55)),0)</f>
        <v>0.23999999999999994</v>
      </c>
      <c r="E117" s="37">
        <f t="shared" si="38"/>
        <v>2.016</v>
      </c>
      <c r="F117" s="37">
        <f t="shared" si="38"/>
        <v>8.6144556521739144</v>
      </c>
      <c r="G117" s="37">
        <f t="shared" si="38"/>
        <v>18.661033416933641</v>
      </c>
      <c r="H117" s="37">
        <f t="shared" si="38"/>
        <v>28.962641197206079</v>
      </c>
      <c r="I117" s="37">
        <f t="shared" si="38"/>
        <v>52.148926513893386</v>
      </c>
    </row>
    <row r="118" spans="2:11">
      <c r="B118" s="33" t="str">
        <f>E$6</f>
        <v>A</v>
      </c>
      <c r="C118" s="32" t="s">
        <v>18</v>
      </c>
      <c r="D118" s="37">
        <f>IFERROR(D110/(SUM($D$55:$D$55)),0)</f>
        <v>0</v>
      </c>
      <c r="E118" s="37">
        <f>IFERROR(E110/(SUM($D$55:$E$55)),0)</f>
        <v>0.80266666666666664</v>
      </c>
      <c r="F118" s="37">
        <f>IFERROR(F110/(SUM($D$55:$E$55)),0)</f>
        <v>3.4298295652173914</v>
      </c>
      <c r="G118" s="37">
        <f>IFERROR(G110/(SUM($D$55:$E$55)),0)</f>
        <v>7.4298558974828381</v>
      </c>
      <c r="H118" s="37">
        <f>IFERROR(H110/(SUM($D$55:$E$55)),0)</f>
        <v>11.531421958146863</v>
      </c>
      <c r="I118" s="37">
        <f>IFERROR(I110/(SUM($D$55:$E$55)),0)</f>
        <v>20.762998519420513</v>
      </c>
    </row>
    <row r="119" spans="2:11">
      <c r="B119" s="33" t="str">
        <f>F$6</f>
        <v>B</v>
      </c>
      <c r="C119" s="32" t="s">
        <v>18</v>
      </c>
      <c r="D119" s="37">
        <f>IFERROR(D111/(SUM($D$55:$D$55)),0)</f>
        <v>0</v>
      </c>
      <c r="E119" s="37">
        <f>IFERROR(E111/(SUM($D$55:$E$55)),0)</f>
        <v>0</v>
      </c>
      <c r="F119" s="37">
        <f>IFERROR(F111/(SUM($D$55:$F$55)),0)</f>
        <v>1.5533607400555041</v>
      </c>
      <c r="G119" s="37">
        <f>IFERROR(G111/(SUM($D$55:$F$55)),0)</f>
        <v>3.3649620880471298</v>
      </c>
      <c r="H119" s="37">
        <f>IFERROR(H111/(SUM($D$55:$F$55)),0)</f>
        <v>5.2225505105131855</v>
      </c>
      <c r="I119" s="37">
        <f>IFERROR(I111/(SUM($D$55:$F$55)),0)</f>
        <v>9.4035071226211624</v>
      </c>
    </row>
    <row r="120" spans="2:11">
      <c r="B120" s="33" t="str">
        <f>G$6</f>
        <v>C</v>
      </c>
      <c r="C120" s="32" t="s">
        <v>18</v>
      </c>
      <c r="D120" s="37">
        <f>IFERROR(D112/(SUM($D$55:$D$55)),0)</f>
        <v>0</v>
      </c>
      <c r="E120" s="37">
        <f>IFERROR(E112/(SUM($D$55:$E$55)),0)</f>
        <v>0</v>
      </c>
      <c r="F120" s="37">
        <f>IFERROR(F112/(SUM($D$55:$F$55)),0)</f>
        <v>0</v>
      </c>
      <c r="G120" s="37">
        <f>IFERROR(G112/(SUM($D$55:$G$55)),0)</f>
        <v>2.0637027191300437</v>
      </c>
      <c r="H120" s="37">
        <f>IFERROR(H112/(SUM($D$55:$G$55)),0)</f>
        <v>3.2029459492647638</v>
      </c>
      <c r="I120" s="37">
        <f>IFERROR(I112/(SUM($D$55:$G$55)),0)</f>
        <v>5.7670911916794889</v>
      </c>
    </row>
    <row r="121" spans="2:11">
      <c r="B121" s="33" t="str">
        <f>H$6</f>
        <v>D</v>
      </c>
      <c r="C121" s="32" t="s">
        <v>18</v>
      </c>
      <c r="D121" s="37">
        <f>IFERROR(D113/(SUM($D$55:$D$55)),0)</f>
        <v>0</v>
      </c>
      <c r="E121" s="37">
        <f>IFERROR(E113/(SUM($D$55:$E$55)),0)</f>
        <v>0</v>
      </c>
      <c r="F121" s="37">
        <f>IFERROR(F113/(SUM($D$55:$F$55)),0)</f>
        <v>0</v>
      </c>
      <c r="G121" s="37">
        <f>IFERROR(G113/(SUM($D$55:$G$55)),0)</f>
        <v>0</v>
      </c>
      <c r="H121" s="37">
        <f>IFERROR(H113/(SUM($D$55:$H$55)),0)</f>
        <v>2.0464773387703401</v>
      </c>
      <c r="I121" s="37">
        <f>IFERROR(I113/(SUM($D$55:$H$55)),0)</f>
        <v>3.6848019358875876</v>
      </c>
    </row>
    <row r="122" spans="2:11">
      <c r="B122" s="33" t="str">
        <f>I$6</f>
        <v>E</v>
      </c>
      <c r="C122" s="32" t="s">
        <v>18</v>
      </c>
      <c r="D122" s="37">
        <f>IFERROR(D114/(SUM($D$55:$D$55)),0)</f>
        <v>0</v>
      </c>
      <c r="E122" s="37">
        <f>IFERROR(E114/(SUM($D$55:$E$55)),0)</f>
        <v>0</v>
      </c>
      <c r="F122" s="37">
        <f>IFERROR(F114/(SUM($D$55:$F$55)),0)</f>
        <v>0</v>
      </c>
      <c r="G122" s="37">
        <f>IFERROR(G114/(SUM($D$55:$G$55)),0)</f>
        <v>0</v>
      </c>
      <c r="H122" s="37">
        <f>IFERROR(H114/(SUM($D$55:$H$55)),0)</f>
        <v>0</v>
      </c>
      <c r="I122" s="37">
        <f>IFERROR(I114/(SUM($D$55:$I$55)),0)</f>
        <v>2.3083688966910803</v>
      </c>
    </row>
    <row r="123" spans="2:11">
      <c r="C123" s="32"/>
      <c r="D123" s="31"/>
      <c r="E123" s="31"/>
      <c r="F123" s="31"/>
      <c r="G123" s="31"/>
      <c r="H123" s="31"/>
      <c r="I123" s="31"/>
    </row>
    <row r="124" spans="2:11">
      <c r="B124" s="5" t="s">
        <v>110</v>
      </c>
      <c r="C124" s="32"/>
      <c r="D124" s="39" t="str">
        <f t="shared" ref="D124:I124" si="39">D$6</f>
        <v>Seed</v>
      </c>
      <c r="E124" s="39" t="str">
        <f t="shared" si="39"/>
        <v>A</v>
      </c>
      <c r="F124" s="39" t="str">
        <f t="shared" si="39"/>
        <v>B</v>
      </c>
      <c r="G124" s="39" t="str">
        <f t="shared" si="39"/>
        <v>C</v>
      </c>
      <c r="H124" s="39" t="str">
        <f t="shared" si="39"/>
        <v>D</v>
      </c>
      <c r="I124" s="39" t="str">
        <f t="shared" si="39"/>
        <v>E</v>
      </c>
      <c r="K124" s="5" t="s">
        <v>111</v>
      </c>
    </row>
    <row r="125" spans="2:11">
      <c r="B125" s="33" t="str">
        <f>D$6</f>
        <v>Seed</v>
      </c>
      <c r="C125" s="32" t="s">
        <v>14</v>
      </c>
      <c r="D125" s="38">
        <f t="shared" ref="D125:I125" ca="1" si="40">INDEX($P149:$P154,MATCH(D$36,$J$148:$O$148,0))</f>
        <v>-0.75999999754130854</v>
      </c>
      <c r="E125" s="38">
        <f t="shared" ca="1" si="40"/>
        <v>0.32392378449440007</v>
      </c>
      <c r="F125" s="38">
        <f t="shared" ca="1" si="40"/>
        <v>0.71256445646286015</v>
      </c>
      <c r="G125" s="38">
        <f t="shared" ca="1" si="40"/>
        <v>0.70269471406936646</v>
      </c>
      <c r="H125" s="38">
        <f t="shared" ca="1" si="40"/>
        <v>0.61685352921485903</v>
      </c>
      <c r="I125" s="38">
        <f t="shared" ca="1" si="40"/>
        <v>0.59219520688056948</v>
      </c>
    </row>
    <row r="126" spans="2:11">
      <c r="B126" s="33" t="str">
        <f>E$6</f>
        <v>A</v>
      </c>
      <c r="C126" s="32" t="s">
        <v>14</v>
      </c>
      <c r="D126" s="38" t="str">
        <f t="shared" ref="D126:I126" ca="1" si="41">INDEX($P156:$P161,MATCH(D$36,$J$148:$O$148,0))</f>
        <v>na</v>
      </c>
      <c r="E126" s="38">
        <f t="shared" ca="1" si="41"/>
        <v>-0.16416294239461424</v>
      </c>
      <c r="F126" s="38">
        <f t="shared" ca="1" si="41"/>
        <v>0.54486895203590391</v>
      </c>
      <c r="G126" s="38">
        <f t="shared" ca="1" si="41"/>
        <v>0.58820379376411436</v>
      </c>
      <c r="H126" s="38">
        <f t="shared" ca="1" si="41"/>
        <v>0.52067795395851146</v>
      </c>
      <c r="I126" s="38">
        <f t="shared" ca="1" si="41"/>
        <v>0.51271470189094537</v>
      </c>
    </row>
    <row r="127" spans="2:11">
      <c r="B127" s="33" t="str">
        <f>F$6</f>
        <v>B</v>
      </c>
      <c r="C127" s="32" t="s">
        <v>14</v>
      </c>
      <c r="D127" s="38" t="str">
        <f t="shared" ref="D127:I127" ca="1" si="42">INDEX($P163:$P168,MATCH(D$36,$J$148:$O$148,0))</f>
        <v>na</v>
      </c>
      <c r="E127" s="38" t="str">
        <f t="shared" ca="1" si="42"/>
        <v>na</v>
      </c>
      <c r="F127" s="38">
        <f t="shared" ca="1" si="42"/>
        <v>0.32734678387641913</v>
      </c>
      <c r="G127" s="38">
        <f t="shared" ca="1" si="42"/>
        <v>0.47925818562507616</v>
      </c>
      <c r="H127" s="38">
        <f t="shared" ca="1" si="42"/>
        <v>0.43333627581596379</v>
      </c>
      <c r="I127" s="38">
        <f t="shared" ca="1" si="42"/>
        <v>0.4447428286075592</v>
      </c>
    </row>
    <row r="128" spans="2:11">
      <c r="B128" s="33" t="str">
        <f>G$6</f>
        <v>C</v>
      </c>
      <c r="C128" s="32" t="s">
        <v>14</v>
      </c>
      <c r="D128" s="38" t="str">
        <f t="shared" ref="D128:I128" ca="1" si="43">INDEX($P170:$P175,MATCH(D$36,$J$148:$O$148,0))</f>
        <v>na</v>
      </c>
      <c r="E128" s="38" t="str">
        <f t="shared" ca="1" si="43"/>
        <v>na</v>
      </c>
      <c r="F128" s="38" t="str">
        <f t="shared" ca="1" si="43"/>
        <v>na</v>
      </c>
      <c r="G128" s="38">
        <f t="shared" ca="1" si="43"/>
        <v>0.42933604121208202</v>
      </c>
      <c r="H128" s="38">
        <f t="shared" ca="1" si="43"/>
        <v>0.39266765713691709</v>
      </c>
      <c r="I128" s="38">
        <f t="shared" ca="1" si="43"/>
        <v>0.41728752255439761</v>
      </c>
    </row>
    <row r="129" spans="2:11">
      <c r="B129" s="33" t="str">
        <f>H$6</f>
        <v>D</v>
      </c>
      <c r="C129" s="32" t="s">
        <v>14</v>
      </c>
      <c r="D129" s="38" t="str">
        <f t="shared" ref="D129:I129" ca="1" si="44">INDEX($P177:$P182,MATCH(D$36,$J$148:$O$148,0))</f>
        <v>na</v>
      </c>
      <c r="E129" s="38" t="str">
        <f t="shared" ca="1" si="44"/>
        <v>na</v>
      </c>
      <c r="F129" s="38" t="str">
        <f t="shared" ca="1" si="44"/>
        <v>na</v>
      </c>
      <c r="G129" s="38" t="str">
        <f t="shared" ca="1" si="44"/>
        <v>na</v>
      </c>
      <c r="H129" s="38">
        <f t="shared" ca="1" si="44"/>
        <v>0.3530917346477509</v>
      </c>
      <c r="I129" s="38">
        <f t="shared" ca="1" si="44"/>
        <v>0.25047224164009096</v>
      </c>
    </row>
    <row r="130" spans="2:11">
      <c r="B130" s="33" t="str">
        <f>I$6</f>
        <v>E</v>
      </c>
      <c r="C130" s="32" t="s">
        <v>14</v>
      </c>
      <c r="D130" s="38" t="str">
        <f t="shared" ref="D130:I130" ca="1" si="45">INDEX($P184:$P189,MATCH(D$36,$J$148:$O$148,0))</f>
        <v>na</v>
      </c>
      <c r="E130" s="38" t="str">
        <f t="shared" ca="1" si="45"/>
        <v>na</v>
      </c>
      <c r="F130" s="38" t="str">
        <f t="shared" ca="1" si="45"/>
        <v>na</v>
      </c>
      <c r="G130" s="38" t="str">
        <f t="shared" ca="1" si="45"/>
        <v>na</v>
      </c>
      <c r="H130" s="38" t="str">
        <f t="shared" ca="1" si="45"/>
        <v>na</v>
      </c>
      <c r="I130" s="38">
        <f t="shared" ca="1" si="45"/>
        <v>0.36474079489707945</v>
      </c>
    </row>
    <row r="131" spans="2:11">
      <c r="C131" s="32"/>
      <c r="D131" s="31"/>
      <c r="E131" s="31"/>
      <c r="F131" s="31"/>
      <c r="G131" s="31"/>
      <c r="H131" s="31"/>
      <c r="I131" s="31"/>
    </row>
    <row r="132" spans="2:11">
      <c r="C132" s="32"/>
      <c r="D132" s="31"/>
      <c r="E132" s="31"/>
      <c r="F132" s="31"/>
      <c r="G132" s="31"/>
      <c r="H132" s="31"/>
      <c r="I132" s="31"/>
    </row>
    <row r="133" spans="2:11">
      <c r="B133" s="2" t="s">
        <v>112</v>
      </c>
      <c r="D133" s="21"/>
      <c r="E133" s="21"/>
      <c r="F133" s="21"/>
      <c r="G133" s="21"/>
      <c r="H133" s="21"/>
      <c r="I133" s="21"/>
    </row>
    <row r="134" spans="2:11">
      <c r="B134" s="6" t="s">
        <v>113</v>
      </c>
      <c r="D134" s="21"/>
      <c r="E134" s="21"/>
      <c r="F134" s="21"/>
      <c r="G134" s="21"/>
      <c r="H134" s="21"/>
      <c r="I134" s="21"/>
    </row>
    <row r="135" spans="2:11">
      <c r="B135" s="2"/>
      <c r="D135" s="21"/>
      <c r="E135" s="21"/>
      <c r="F135" s="21"/>
      <c r="G135" s="21"/>
      <c r="H135" s="21"/>
      <c r="I135" s="21"/>
    </row>
    <row r="136" spans="2:11">
      <c r="B136" s="5" t="s">
        <v>86</v>
      </c>
      <c r="C136" s="32" t="s">
        <v>18</v>
      </c>
      <c r="D136" s="44">
        <f>IFERROR(SUMPRODUCT($D61:D61,$D$32:D$32)/SUM($D$32:D$32),0)</f>
        <v>0.23999999999999994</v>
      </c>
      <c r="E136" s="44">
        <f>IFERROR(SUMPRODUCT($D61:E61,$D$32:E$32)/SUM($D$32:E$32),0)</f>
        <v>0.48114285714285704</v>
      </c>
      <c r="F136" s="44">
        <f>IFERROR(SUMPRODUCT($D61:F61,$D$32:F$32)/SUM($D$32:F$32),0)</f>
        <v>0.58490587806988736</v>
      </c>
      <c r="G136" s="44">
        <f>IFERROR(SUMPRODUCT($D61:G61,$D$32:G$32)/SUM($D$32:G$32),0)</f>
        <v>0.61983808691382813</v>
      </c>
      <c r="H136" s="44">
        <f>IFERROR(SUMPRODUCT($D61:H61,$D$32:H$32)/SUM($D$32:H$32),0)</f>
        <v>0.62932297830278416</v>
      </c>
      <c r="I136" s="44">
        <f>IFERROR(SUMPRODUCT($D61:I61,$D$32:I$32)/SUM($D$32:I$32),0)</f>
        <v>0.63129061023839561</v>
      </c>
    </row>
    <row r="137" spans="2:11">
      <c r="B137" s="5" t="s">
        <v>88</v>
      </c>
      <c r="C137" s="32" t="s">
        <v>14</v>
      </c>
      <c r="D137" s="25">
        <f>IFERROR(SUMPRODUCT($D62:D62,$D$32:D$32)/SUM($D$32:D$32),0)</f>
        <v>-0.76</v>
      </c>
      <c r="E137" s="25">
        <f>IFERROR(SUMPRODUCT($D62:E62,$D$32:E$32)/SUM($D$32:E$32),0)</f>
        <v>-0.51885714285714291</v>
      </c>
      <c r="F137" s="25">
        <f>IFERROR(SUMPRODUCT($D62:F62,$D$32:F$32)/SUM($D$32:F$32),0)</f>
        <v>-0.41509412193011253</v>
      </c>
      <c r="G137" s="25">
        <f>IFERROR(SUMPRODUCT($D62:G62,$D$32:G$32)/SUM($D$32:G$32),0)</f>
        <v>-0.38016191308617181</v>
      </c>
      <c r="H137" s="25">
        <f>IFERROR(SUMPRODUCT($D62:H62,$D$32:H$32)/SUM($D$32:H$32),0)</f>
        <v>-0.37067702169721573</v>
      </c>
      <c r="I137" s="25">
        <f>IFERROR(SUMPRODUCT($D62:I62,$D$32:I$32)/SUM($D$32:I$32),0)</f>
        <v>-0.36870938976160439</v>
      </c>
      <c r="K137" s="5" t="s">
        <v>114</v>
      </c>
    </row>
    <row r="138" spans="2:11">
      <c r="B138" s="5" t="s">
        <v>90</v>
      </c>
      <c r="C138" s="32" t="s">
        <v>14</v>
      </c>
      <c r="D138" s="25">
        <f ca="1">IFERROR(SUMPRODUCT($D63:D63,$D$32:D$32)/SUM($D$32:D$32),0)</f>
        <v>-0.75999999754130854</v>
      </c>
      <c r="E138" s="25">
        <f ca="1">IFERROR(SUMPRODUCT($D63:E63,$D$32:E$32)/SUM($D$32:E$32),0)</f>
        <v>-0.50464125962129669</v>
      </c>
      <c r="F138" s="25">
        <f ca="1">IFERROR(SUMPRODUCT($D63:F63,$D$32:F$32)/SUM($D$32:F$32),0)</f>
        <v>-0.42412628766990484</v>
      </c>
      <c r="G138" s="25">
        <f ca="1">IFERROR(SUMPRODUCT($D63:G63,$D$32:G$32)/SUM($D$32:G$32),0)</f>
        <v>-0.40396576021599961</v>
      </c>
      <c r="H138" s="25">
        <f ca="1">IFERROR(SUMPRODUCT($D63:H63,$D$32:H$32)/SUM($D$32:H$32),0)</f>
        <v>-0.3989325269689587</v>
      </c>
      <c r="I138" s="25">
        <f ca="1">IFERROR(SUMPRODUCT($D63:I63,$D$32:I$32)/SUM($D$32:I$32),0)</f>
        <v>-0.39803759729489691</v>
      </c>
      <c r="K138" s="5" t="s">
        <v>115</v>
      </c>
    </row>
    <row r="139" spans="2:11">
      <c r="D139" s="21"/>
      <c r="E139" s="21"/>
      <c r="F139" s="21"/>
      <c r="G139" s="21"/>
      <c r="H139" s="21"/>
      <c r="I139" s="21"/>
    </row>
    <row r="140" spans="2:11">
      <c r="D140" s="21"/>
      <c r="E140" s="21"/>
      <c r="F140" s="21"/>
      <c r="G140" s="21"/>
      <c r="H140" s="21"/>
      <c r="I140" s="21"/>
    </row>
    <row r="141" spans="2:11">
      <c r="B141" s="45" t="s">
        <v>116</v>
      </c>
      <c r="E141" s="5"/>
    </row>
    <row r="142" spans="2:11">
      <c r="B142" s="5" t="s">
        <v>1</v>
      </c>
    </row>
    <row r="143" spans="2:11">
      <c r="B143" s="5" t="s">
        <v>3</v>
      </c>
    </row>
    <row r="146" spans="2:16">
      <c r="B146" s="6" t="s">
        <v>117</v>
      </c>
      <c r="E146" s="30"/>
      <c r="K146" s="5" t="s">
        <v>118</v>
      </c>
    </row>
    <row r="147" spans="2:16" hidden="1" outlineLevel="1">
      <c r="E147" s="5"/>
      <c r="J147" s="46" t="str">
        <f t="shared" ref="J147:O147" si="46">D108</f>
        <v>Seed</v>
      </c>
      <c r="K147" s="46" t="str">
        <f t="shared" si="46"/>
        <v>A</v>
      </c>
      <c r="L147" s="46" t="str">
        <f t="shared" si="46"/>
        <v>B</v>
      </c>
      <c r="M147" s="46" t="str">
        <f t="shared" si="46"/>
        <v>C</v>
      </c>
      <c r="N147" s="46" t="str">
        <f t="shared" si="46"/>
        <v>D</v>
      </c>
      <c r="O147" s="46" t="str">
        <f t="shared" si="46"/>
        <v>E</v>
      </c>
    </row>
    <row r="148" spans="2:16" hidden="1" outlineLevel="1">
      <c r="B148" s="5" t="s">
        <v>119</v>
      </c>
      <c r="C148" s="1" t="s">
        <v>26</v>
      </c>
      <c r="D148" s="30">
        <f t="shared" ref="D148:I148" si="47">D15</f>
        <v>43101</v>
      </c>
      <c r="E148" s="30">
        <f t="shared" si="47"/>
        <v>43647</v>
      </c>
      <c r="F148" s="30">
        <f t="shared" si="47"/>
        <v>44197</v>
      </c>
      <c r="G148" s="30">
        <f t="shared" si="47"/>
        <v>44743</v>
      </c>
      <c r="H148" s="30">
        <f t="shared" si="47"/>
        <v>45292</v>
      </c>
      <c r="I148" s="30">
        <f t="shared" si="47"/>
        <v>45839</v>
      </c>
      <c r="J148" s="30">
        <f t="shared" ref="J148:O148" si="48">D36</f>
        <v>43466</v>
      </c>
      <c r="K148" s="30">
        <f t="shared" si="48"/>
        <v>44013</v>
      </c>
      <c r="L148" s="30">
        <f t="shared" si="48"/>
        <v>44562</v>
      </c>
      <c r="M148" s="30">
        <f t="shared" si="48"/>
        <v>45108</v>
      </c>
      <c r="N148" s="30">
        <f t="shared" si="48"/>
        <v>45658</v>
      </c>
      <c r="O148" s="30">
        <f t="shared" si="48"/>
        <v>46204</v>
      </c>
      <c r="P148" s="7" t="s">
        <v>120</v>
      </c>
    </row>
    <row r="149" spans="2:16" hidden="1" outlineLevel="1">
      <c r="B149" s="33" t="str">
        <f t="shared" ref="B149:B154" si="49">D$6</f>
        <v>Seed</v>
      </c>
      <c r="C149" s="22" t="str">
        <f>C16</f>
        <v>$</v>
      </c>
      <c r="D149" s="31">
        <f t="shared" ref="D149:I154" si="50">IF(D$148&lt;=INDEX($D$15:$I$15,0,MATCH($B149,$D$6:$I$6,0)),-1*INDEX($D$55:$I$55,0,MATCH(D$148,$D$15:$I$15,0)),0)</f>
        <v>-1000000</v>
      </c>
      <c r="E149" s="31">
        <f t="shared" si="50"/>
        <v>0</v>
      </c>
      <c r="F149" s="31">
        <f t="shared" si="50"/>
        <v>0</v>
      </c>
      <c r="G149" s="31">
        <f t="shared" si="50"/>
        <v>0</v>
      </c>
      <c r="H149" s="31">
        <f t="shared" si="50"/>
        <v>0</v>
      </c>
      <c r="I149" s="31">
        <f t="shared" si="50"/>
        <v>0</v>
      </c>
      <c r="J149" s="31">
        <f>INDEX($D$109:$I$109,0,MATCH(J$147,$D$108:$I$108,0))</f>
        <v>239999.99999999994</v>
      </c>
      <c r="K149" s="31">
        <v>0</v>
      </c>
      <c r="L149" s="31">
        <v>0</v>
      </c>
      <c r="M149" s="31">
        <v>0</v>
      </c>
      <c r="N149" s="31">
        <v>0</v>
      </c>
      <c r="O149" s="31">
        <v>0</v>
      </c>
      <c r="P149" s="38">
        <f t="shared" ref="P149:P154" ca="1" si="51">IFERROR(XIRR(INDIRECT(ADDRESS(ROW(D149),COLUMN(D149)+MATCH(INDEX(D149:O149,MATCH(TRUE,INDEX(D149:O149&lt;&gt;0,),0)),D149:O149,0)-1,4)&amp;":"&amp;ADDRESS(ROW(D149),COLUMN(C149)+MATCH(O$148,D$148:O$148,1),4)),INDIRECT(ADDRESS(ROW(D$148),COLUMN(D$148)+MATCH(INDEX(D149:O149,MATCH(TRUE,INDEX(D149:O149&lt;&gt;0,),0)),D149:O149,0)-1,4)&amp;":"&amp;ADDRESS(ROW(D$148),COLUMN(C$148)+MATCH(O$148,D$148:O$148,1),4))),"na")</f>
        <v>-0.75999999754130854</v>
      </c>
    </row>
    <row r="150" spans="2:16" hidden="1" outlineLevel="1">
      <c r="B150" s="33" t="str">
        <f t="shared" si="49"/>
        <v>Seed</v>
      </c>
      <c r="C150" s="22" t="str">
        <f>C16</f>
        <v>$</v>
      </c>
      <c r="D150" s="31">
        <f t="shared" si="50"/>
        <v>-1000000</v>
      </c>
      <c r="E150" s="31">
        <f t="shared" si="50"/>
        <v>0</v>
      </c>
      <c r="F150" s="31">
        <f t="shared" si="50"/>
        <v>0</v>
      </c>
      <c r="G150" s="31">
        <f t="shared" si="50"/>
        <v>0</v>
      </c>
      <c r="H150" s="31">
        <f t="shared" si="50"/>
        <v>0</v>
      </c>
      <c r="I150" s="31">
        <f t="shared" si="50"/>
        <v>0</v>
      </c>
      <c r="J150" s="31">
        <v>0</v>
      </c>
      <c r="K150" s="31">
        <f>INDEX($D$109:$I$109,0,MATCH(K$147,$D$108:$I$108,0))</f>
        <v>2016000</v>
      </c>
      <c r="L150" s="31">
        <v>0</v>
      </c>
      <c r="M150" s="31">
        <v>0</v>
      </c>
      <c r="N150" s="31">
        <v>0</v>
      </c>
      <c r="O150" s="31">
        <v>0</v>
      </c>
      <c r="P150" s="38">
        <f t="shared" ca="1" si="51"/>
        <v>0.32392378449440007</v>
      </c>
    </row>
    <row r="151" spans="2:16" hidden="1" outlineLevel="1">
      <c r="B151" s="33" t="str">
        <f t="shared" si="49"/>
        <v>Seed</v>
      </c>
      <c r="C151" s="22" t="str">
        <f>C16</f>
        <v>$</v>
      </c>
      <c r="D151" s="31">
        <f t="shared" si="50"/>
        <v>-1000000</v>
      </c>
      <c r="E151" s="31">
        <f t="shared" si="50"/>
        <v>0</v>
      </c>
      <c r="F151" s="31">
        <f t="shared" si="50"/>
        <v>0</v>
      </c>
      <c r="G151" s="31">
        <f t="shared" si="50"/>
        <v>0</v>
      </c>
      <c r="H151" s="31">
        <f t="shared" si="50"/>
        <v>0</v>
      </c>
      <c r="I151" s="31">
        <f t="shared" si="50"/>
        <v>0</v>
      </c>
      <c r="J151" s="31">
        <v>0</v>
      </c>
      <c r="K151" s="31">
        <v>0</v>
      </c>
      <c r="L151" s="31">
        <f>INDEX($D$109:$I$109,0,MATCH(L$147,$D$108:$I$108,0))</f>
        <v>8614455.652173914</v>
      </c>
      <c r="M151" s="31">
        <v>0</v>
      </c>
      <c r="N151" s="31">
        <v>0</v>
      </c>
      <c r="O151" s="31">
        <v>0</v>
      </c>
      <c r="P151" s="38">
        <f t="shared" ca="1" si="51"/>
        <v>0.71256445646286015</v>
      </c>
    </row>
    <row r="152" spans="2:16" hidden="1" outlineLevel="1">
      <c r="B152" s="33" t="str">
        <f t="shared" si="49"/>
        <v>Seed</v>
      </c>
      <c r="C152" s="22" t="str">
        <f>C16</f>
        <v>$</v>
      </c>
      <c r="D152" s="31">
        <f t="shared" si="50"/>
        <v>-1000000</v>
      </c>
      <c r="E152" s="31">
        <f t="shared" si="50"/>
        <v>0</v>
      </c>
      <c r="F152" s="31">
        <f t="shared" si="50"/>
        <v>0</v>
      </c>
      <c r="G152" s="31">
        <f t="shared" si="50"/>
        <v>0</v>
      </c>
      <c r="H152" s="31">
        <f t="shared" si="50"/>
        <v>0</v>
      </c>
      <c r="I152" s="31">
        <f t="shared" si="50"/>
        <v>0</v>
      </c>
      <c r="J152" s="31">
        <v>0</v>
      </c>
      <c r="K152" s="31">
        <v>0</v>
      </c>
      <c r="L152" s="31">
        <v>0</v>
      </c>
      <c r="M152" s="31">
        <f>INDEX($D$109:$I$109,0,MATCH(M$147,$D$108:$I$108,0))</f>
        <v>18661033.416933641</v>
      </c>
      <c r="N152" s="31">
        <v>0</v>
      </c>
      <c r="O152" s="31">
        <v>0</v>
      </c>
      <c r="P152" s="38">
        <f t="shared" ca="1" si="51"/>
        <v>0.70269471406936646</v>
      </c>
    </row>
    <row r="153" spans="2:16" hidden="1" outlineLevel="1">
      <c r="B153" s="33" t="str">
        <f t="shared" si="49"/>
        <v>Seed</v>
      </c>
      <c r="C153" s="22" t="str">
        <f>C16</f>
        <v>$</v>
      </c>
      <c r="D153" s="31">
        <f t="shared" si="50"/>
        <v>-1000000</v>
      </c>
      <c r="E153" s="31">
        <f t="shared" si="50"/>
        <v>0</v>
      </c>
      <c r="F153" s="31">
        <f t="shared" si="50"/>
        <v>0</v>
      </c>
      <c r="G153" s="31">
        <f t="shared" si="50"/>
        <v>0</v>
      </c>
      <c r="H153" s="31">
        <f t="shared" si="50"/>
        <v>0</v>
      </c>
      <c r="I153" s="31">
        <f t="shared" si="50"/>
        <v>0</v>
      </c>
      <c r="J153" s="31">
        <v>0</v>
      </c>
      <c r="K153" s="31">
        <v>0</v>
      </c>
      <c r="L153" s="31">
        <v>0</v>
      </c>
      <c r="M153" s="31">
        <v>0</v>
      </c>
      <c r="N153" s="31">
        <f>INDEX($D$109:$I$109,0,MATCH(N$147,$D$108:$I$108,0))</f>
        <v>28962641.19720608</v>
      </c>
      <c r="O153" s="31">
        <v>0</v>
      </c>
      <c r="P153" s="38">
        <f t="shared" ca="1" si="51"/>
        <v>0.61685352921485903</v>
      </c>
    </row>
    <row r="154" spans="2:16" hidden="1" outlineLevel="1">
      <c r="B154" s="33" t="str">
        <f t="shared" si="49"/>
        <v>Seed</v>
      </c>
      <c r="C154" s="22" t="str">
        <f>C16</f>
        <v>$</v>
      </c>
      <c r="D154" s="31">
        <f t="shared" si="50"/>
        <v>-1000000</v>
      </c>
      <c r="E154" s="31">
        <f t="shared" si="50"/>
        <v>0</v>
      </c>
      <c r="F154" s="31">
        <f t="shared" si="50"/>
        <v>0</v>
      </c>
      <c r="G154" s="31">
        <f t="shared" si="50"/>
        <v>0</v>
      </c>
      <c r="H154" s="31">
        <f t="shared" si="50"/>
        <v>0</v>
      </c>
      <c r="I154" s="31">
        <f t="shared" si="50"/>
        <v>0</v>
      </c>
      <c r="J154" s="31">
        <v>0</v>
      </c>
      <c r="K154" s="31">
        <v>0</v>
      </c>
      <c r="L154" s="31">
        <v>0</v>
      </c>
      <c r="M154" s="31">
        <v>0</v>
      </c>
      <c r="N154" s="31">
        <v>0</v>
      </c>
      <c r="O154" s="31">
        <f>INDEX($D$109:$I$109,0,MATCH(O$147,$D$108:$I$108,0))</f>
        <v>52148926.513893388</v>
      </c>
      <c r="P154" s="38">
        <f t="shared" ca="1" si="51"/>
        <v>0.59219520688056948</v>
      </c>
    </row>
    <row r="155" spans="2:16" hidden="1" outlineLevel="1">
      <c r="P155" s="25"/>
    </row>
    <row r="156" spans="2:16" hidden="1" outlineLevel="1">
      <c r="B156" s="33" t="str">
        <f t="shared" ref="B156:B161" si="52">E$6</f>
        <v>A</v>
      </c>
      <c r="C156" s="22" t="str">
        <f>C16</f>
        <v>$</v>
      </c>
      <c r="D156" s="31">
        <f t="shared" ref="D156:I161" si="53">IF(D$148&lt;=INDEX($D$15:$I$15,0,MATCH($B156,$D$6:$I$6,0)),-1*INDEX($D$55:$I$55,0,MATCH(D$148,$D$15:$I$15,0)),0)</f>
        <v>-1000000</v>
      </c>
      <c r="E156" s="31">
        <f t="shared" si="53"/>
        <v>-5000000</v>
      </c>
      <c r="F156" s="31">
        <f t="shared" si="53"/>
        <v>0</v>
      </c>
      <c r="G156" s="31">
        <f t="shared" si="53"/>
        <v>0</v>
      </c>
      <c r="H156" s="31">
        <f t="shared" si="53"/>
        <v>0</v>
      </c>
      <c r="I156" s="31">
        <f t="shared" si="53"/>
        <v>0</v>
      </c>
      <c r="J156" s="31">
        <v>0</v>
      </c>
      <c r="K156" s="31">
        <v>0</v>
      </c>
      <c r="L156" s="31">
        <v>0</v>
      </c>
      <c r="M156" s="31">
        <v>0</v>
      </c>
      <c r="N156" s="31">
        <v>0</v>
      </c>
      <c r="O156" s="31">
        <v>0</v>
      </c>
      <c r="P156" s="38" t="str">
        <f t="shared" ref="P156:P161" ca="1" si="54">IFERROR(XIRR(INDIRECT(ADDRESS(ROW(D156),COLUMN(D156)+MATCH(INDEX(D156:O156,MATCH(TRUE,INDEX(D156:O156&lt;&gt;0,),0)),D156:O156,0)-1,4)&amp;":"&amp;ADDRESS(ROW(D156),COLUMN(C156)+MATCH(O$148,D$148:O$148,1),4)),INDIRECT(ADDRESS(ROW(D$148),COLUMN(D$148)+MATCH(INDEX(D156:O156,MATCH(TRUE,INDEX(D156:O156&lt;&gt;0,),0)),D156:O156,0)-1,4)&amp;":"&amp;ADDRESS(ROW(D$148),COLUMN(C$148)+MATCH(O$148,D$148:O$148,1),4))),"na")</f>
        <v>na</v>
      </c>
    </row>
    <row r="157" spans="2:16" hidden="1" outlineLevel="1">
      <c r="B157" s="33" t="str">
        <f t="shared" si="52"/>
        <v>A</v>
      </c>
      <c r="C157" s="22" t="str">
        <f>C16</f>
        <v>$</v>
      </c>
      <c r="D157" s="31">
        <f t="shared" si="53"/>
        <v>-1000000</v>
      </c>
      <c r="E157" s="31">
        <f t="shared" si="53"/>
        <v>-5000000</v>
      </c>
      <c r="F157" s="31">
        <f t="shared" si="53"/>
        <v>0</v>
      </c>
      <c r="G157" s="31">
        <f t="shared" si="53"/>
        <v>0</v>
      </c>
      <c r="H157" s="31">
        <f t="shared" si="53"/>
        <v>0</v>
      </c>
      <c r="I157" s="31">
        <f t="shared" si="53"/>
        <v>0</v>
      </c>
      <c r="J157" s="31">
        <v>0</v>
      </c>
      <c r="K157" s="31">
        <f>INDEX($D$110:$I$110,0,MATCH(K$147,$D$108:$I$108,0))</f>
        <v>4816000</v>
      </c>
      <c r="L157" s="31">
        <v>0</v>
      </c>
      <c r="M157" s="31">
        <v>0</v>
      </c>
      <c r="N157" s="31">
        <v>0</v>
      </c>
      <c r="O157" s="31">
        <v>0</v>
      </c>
      <c r="P157" s="38">
        <f t="shared" ca="1" si="54"/>
        <v>-0.16416294239461424</v>
      </c>
    </row>
    <row r="158" spans="2:16" hidden="1" outlineLevel="1">
      <c r="B158" s="33" t="str">
        <f t="shared" si="52"/>
        <v>A</v>
      </c>
      <c r="C158" s="22" t="str">
        <f>C16</f>
        <v>$</v>
      </c>
      <c r="D158" s="31">
        <f t="shared" si="53"/>
        <v>-1000000</v>
      </c>
      <c r="E158" s="31">
        <f t="shared" si="53"/>
        <v>-5000000</v>
      </c>
      <c r="F158" s="31">
        <f t="shared" si="53"/>
        <v>0</v>
      </c>
      <c r="G158" s="31">
        <f t="shared" si="53"/>
        <v>0</v>
      </c>
      <c r="H158" s="31">
        <f t="shared" si="53"/>
        <v>0</v>
      </c>
      <c r="I158" s="31">
        <f t="shared" si="53"/>
        <v>0</v>
      </c>
      <c r="J158" s="31">
        <v>0</v>
      </c>
      <c r="K158" s="31">
        <v>0</v>
      </c>
      <c r="L158" s="31">
        <f>INDEX($D$110:$I$110,0,MATCH(L$147,$D$108:$I$108,0))</f>
        <v>20578977.391304348</v>
      </c>
      <c r="M158" s="31">
        <v>0</v>
      </c>
      <c r="N158" s="31">
        <v>0</v>
      </c>
      <c r="O158" s="31">
        <v>0</v>
      </c>
      <c r="P158" s="38">
        <f t="shared" ca="1" si="54"/>
        <v>0.54486895203590391</v>
      </c>
    </row>
    <row r="159" spans="2:16" hidden="1" outlineLevel="1">
      <c r="B159" s="33" t="str">
        <f t="shared" si="52"/>
        <v>A</v>
      </c>
      <c r="C159" s="22" t="str">
        <f>C16</f>
        <v>$</v>
      </c>
      <c r="D159" s="31">
        <f t="shared" si="53"/>
        <v>-1000000</v>
      </c>
      <c r="E159" s="31">
        <f t="shared" si="53"/>
        <v>-5000000</v>
      </c>
      <c r="F159" s="31">
        <f t="shared" si="53"/>
        <v>0</v>
      </c>
      <c r="G159" s="31">
        <f t="shared" si="53"/>
        <v>0</v>
      </c>
      <c r="H159" s="31">
        <f t="shared" si="53"/>
        <v>0</v>
      </c>
      <c r="I159" s="31">
        <f t="shared" si="53"/>
        <v>0</v>
      </c>
      <c r="J159" s="31">
        <v>0</v>
      </c>
      <c r="K159" s="31">
        <v>0</v>
      </c>
      <c r="L159" s="31">
        <v>0</v>
      </c>
      <c r="M159" s="31">
        <f>INDEX($D$110:$I$110,0,MATCH(M$147,$D$108:$I$108,0))</f>
        <v>44579135.384897031</v>
      </c>
      <c r="N159" s="31">
        <v>0</v>
      </c>
      <c r="O159" s="31">
        <v>0</v>
      </c>
      <c r="P159" s="38">
        <f t="shared" ca="1" si="54"/>
        <v>0.58820379376411436</v>
      </c>
    </row>
    <row r="160" spans="2:16" hidden="1" outlineLevel="1">
      <c r="B160" s="33" t="str">
        <f t="shared" si="52"/>
        <v>A</v>
      </c>
      <c r="C160" s="22" t="str">
        <f>C16</f>
        <v>$</v>
      </c>
      <c r="D160" s="31">
        <f t="shared" si="53"/>
        <v>-1000000</v>
      </c>
      <c r="E160" s="31">
        <f t="shared" si="53"/>
        <v>-5000000</v>
      </c>
      <c r="F160" s="31">
        <f t="shared" si="53"/>
        <v>0</v>
      </c>
      <c r="G160" s="31">
        <f t="shared" si="53"/>
        <v>0</v>
      </c>
      <c r="H160" s="31">
        <f t="shared" si="53"/>
        <v>0</v>
      </c>
      <c r="I160" s="31">
        <f t="shared" si="53"/>
        <v>0</v>
      </c>
      <c r="J160" s="31">
        <v>0</v>
      </c>
      <c r="K160" s="31">
        <v>0</v>
      </c>
      <c r="L160" s="31">
        <v>0</v>
      </c>
      <c r="M160" s="31">
        <v>0</v>
      </c>
      <c r="N160" s="31">
        <f>INDEX($D$110:$I$110,0,MATCH(N$147,$D$108:$I$108,0))</f>
        <v>69188531.748881176</v>
      </c>
      <c r="O160" s="31">
        <v>0</v>
      </c>
      <c r="P160" s="38">
        <f t="shared" ca="1" si="54"/>
        <v>0.52067795395851146</v>
      </c>
    </row>
    <row r="161" spans="2:16" hidden="1" outlineLevel="1">
      <c r="B161" s="33" t="str">
        <f t="shared" si="52"/>
        <v>A</v>
      </c>
      <c r="C161" s="22" t="str">
        <f>C16</f>
        <v>$</v>
      </c>
      <c r="D161" s="31">
        <f t="shared" si="53"/>
        <v>-1000000</v>
      </c>
      <c r="E161" s="31">
        <f t="shared" si="53"/>
        <v>-5000000</v>
      </c>
      <c r="F161" s="31">
        <f t="shared" si="53"/>
        <v>0</v>
      </c>
      <c r="G161" s="31">
        <f t="shared" si="53"/>
        <v>0</v>
      </c>
      <c r="H161" s="31">
        <f t="shared" si="53"/>
        <v>0</v>
      </c>
      <c r="I161" s="31">
        <f t="shared" si="53"/>
        <v>0</v>
      </c>
      <c r="J161" s="31">
        <v>0</v>
      </c>
      <c r="K161" s="31">
        <v>0</v>
      </c>
      <c r="L161" s="31">
        <v>0</v>
      </c>
      <c r="M161" s="31">
        <v>0</v>
      </c>
      <c r="N161" s="31">
        <v>0</v>
      </c>
      <c r="O161" s="31">
        <f>INDEX($D$110:$I$110,0,MATCH(O$147,$D$108:$I$108,0))</f>
        <v>124577991.11652309</v>
      </c>
      <c r="P161" s="38">
        <f t="shared" ca="1" si="54"/>
        <v>0.51271470189094537</v>
      </c>
    </row>
    <row r="162" spans="2:16" hidden="1" outlineLevel="1"/>
    <row r="163" spans="2:16" hidden="1" outlineLevel="1">
      <c r="B163" s="33" t="str">
        <f t="shared" ref="B163:B168" si="55">F$6</f>
        <v>B</v>
      </c>
      <c r="C163" s="22" t="str">
        <f>C16</f>
        <v>$</v>
      </c>
      <c r="D163" s="31">
        <f t="shared" ref="D163:I168" si="56">IF(D$148&lt;=INDEX($D$15:$I$15,0,MATCH($B163,$D$6:$I$6,0)),-1*INDEX($D$55:$I$55,0,MATCH(D$148,$D$15:$I$15,0)),0)</f>
        <v>-1000000</v>
      </c>
      <c r="E163" s="31">
        <f t="shared" si="56"/>
        <v>-5000000</v>
      </c>
      <c r="F163" s="31">
        <f t="shared" si="56"/>
        <v>-17500000</v>
      </c>
      <c r="G163" s="31">
        <f t="shared" si="56"/>
        <v>0</v>
      </c>
      <c r="H163" s="31">
        <f t="shared" si="56"/>
        <v>0</v>
      </c>
      <c r="I163" s="31">
        <f t="shared" si="56"/>
        <v>0</v>
      </c>
      <c r="J163" s="31">
        <v>0</v>
      </c>
      <c r="K163" s="31">
        <v>0</v>
      </c>
      <c r="L163" s="31">
        <v>0</v>
      </c>
      <c r="M163" s="31">
        <v>0</v>
      </c>
      <c r="N163" s="31">
        <v>0</v>
      </c>
      <c r="O163" s="31">
        <v>0</v>
      </c>
      <c r="P163" s="38" t="str">
        <f t="shared" ref="P163:P175" ca="1" si="57">IFERROR(XIRR(INDIRECT(ADDRESS(ROW(D163),COLUMN(D163)+MATCH(INDEX(D163:O163,MATCH(TRUE,INDEX(D163:O163&lt;&gt;0,),0)),D163:O163,0)-1,4)&amp;":"&amp;ADDRESS(ROW(D163),COLUMN(C163)+MATCH(O$148,D$148:O$148,1),4)),INDIRECT(ADDRESS(ROW(D$148),COLUMN(D$148)+MATCH(INDEX(D163:O163,MATCH(TRUE,INDEX(D163:O163&lt;&gt;0,),0)),D163:O163,0)-1,4)&amp;":"&amp;ADDRESS(ROW(D$148),COLUMN(C$148)+MATCH(O$148,D$148:O$148,1),4))),"na")</f>
        <v>na</v>
      </c>
    </row>
    <row r="164" spans="2:16" hidden="1" outlineLevel="1">
      <c r="B164" s="33" t="str">
        <f t="shared" si="55"/>
        <v>B</v>
      </c>
      <c r="C164" s="22" t="str">
        <f>C16</f>
        <v>$</v>
      </c>
      <c r="D164" s="31">
        <f t="shared" si="56"/>
        <v>-1000000</v>
      </c>
      <c r="E164" s="31">
        <f t="shared" si="56"/>
        <v>-5000000</v>
      </c>
      <c r="F164" s="31">
        <f t="shared" si="56"/>
        <v>-17500000</v>
      </c>
      <c r="G164" s="31">
        <f t="shared" si="56"/>
        <v>0</v>
      </c>
      <c r="H164" s="31">
        <f t="shared" si="56"/>
        <v>0</v>
      </c>
      <c r="I164" s="31">
        <f t="shared" si="56"/>
        <v>0</v>
      </c>
      <c r="J164" s="31">
        <v>0</v>
      </c>
      <c r="K164" s="31">
        <v>0</v>
      </c>
      <c r="L164" s="31">
        <v>0</v>
      </c>
      <c r="M164" s="31">
        <v>0</v>
      </c>
      <c r="N164" s="31">
        <v>0</v>
      </c>
      <c r="O164" s="31">
        <v>0</v>
      </c>
      <c r="P164" s="38" t="str">
        <f t="shared" ca="1" si="57"/>
        <v>na</v>
      </c>
    </row>
    <row r="165" spans="2:16" hidden="1" outlineLevel="1">
      <c r="B165" s="33" t="str">
        <f t="shared" si="55"/>
        <v>B</v>
      </c>
      <c r="C165" s="22" t="str">
        <f>C16</f>
        <v>$</v>
      </c>
      <c r="D165" s="31">
        <f t="shared" si="56"/>
        <v>-1000000</v>
      </c>
      <c r="E165" s="31">
        <f t="shared" si="56"/>
        <v>-5000000</v>
      </c>
      <c r="F165" s="31">
        <f t="shared" si="56"/>
        <v>-17500000</v>
      </c>
      <c r="G165" s="31">
        <f t="shared" si="56"/>
        <v>0</v>
      </c>
      <c r="H165" s="31">
        <f t="shared" si="56"/>
        <v>0</v>
      </c>
      <c r="I165" s="31">
        <f t="shared" si="56"/>
        <v>0</v>
      </c>
      <c r="J165" s="31">
        <v>0</v>
      </c>
      <c r="K165" s="31">
        <v>0</v>
      </c>
      <c r="L165" s="31">
        <f>INDEX($D$111:$I$111,0,MATCH(L$147,$D$108:$I$108,0))</f>
        <v>36503977.391304344</v>
      </c>
      <c r="M165" s="31">
        <v>0</v>
      </c>
      <c r="N165" s="31">
        <v>0</v>
      </c>
      <c r="O165" s="31">
        <v>0</v>
      </c>
      <c r="P165" s="38">
        <f t="shared" ca="1" si="57"/>
        <v>0.32734678387641913</v>
      </c>
    </row>
    <row r="166" spans="2:16" hidden="1" outlineLevel="1">
      <c r="B166" s="33" t="str">
        <f t="shared" si="55"/>
        <v>B</v>
      </c>
      <c r="C166" s="22" t="str">
        <f>C16</f>
        <v>$</v>
      </c>
      <c r="D166" s="31">
        <f t="shared" si="56"/>
        <v>-1000000</v>
      </c>
      <c r="E166" s="31">
        <f t="shared" si="56"/>
        <v>-5000000</v>
      </c>
      <c r="F166" s="31">
        <f t="shared" si="56"/>
        <v>-17500000</v>
      </c>
      <c r="G166" s="31">
        <f t="shared" si="56"/>
        <v>0</v>
      </c>
      <c r="H166" s="31">
        <f t="shared" si="56"/>
        <v>0</v>
      </c>
      <c r="I166" s="31">
        <f t="shared" si="56"/>
        <v>0</v>
      </c>
      <c r="J166" s="31">
        <v>0</v>
      </c>
      <c r="K166" s="31">
        <v>0</v>
      </c>
      <c r="L166" s="31">
        <v>0</v>
      </c>
      <c r="M166" s="31">
        <f>INDEX($D$111:$I$111,0,MATCH(M$147,$D$108:$I$108,0))</f>
        <v>79076609.069107547</v>
      </c>
      <c r="N166" s="31">
        <v>0</v>
      </c>
      <c r="O166" s="31">
        <v>0</v>
      </c>
      <c r="P166" s="38">
        <f t="shared" ca="1" si="57"/>
        <v>0.47925818562507616</v>
      </c>
    </row>
    <row r="167" spans="2:16" hidden="1" outlineLevel="1">
      <c r="B167" s="33" t="str">
        <f t="shared" si="55"/>
        <v>B</v>
      </c>
      <c r="C167" s="22" t="str">
        <f>C16</f>
        <v>$</v>
      </c>
      <c r="D167" s="31">
        <f t="shared" si="56"/>
        <v>-1000000</v>
      </c>
      <c r="E167" s="31">
        <f t="shared" si="56"/>
        <v>-5000000</v>
      </c>
      <c r="F167" s="31">
        <f t="shared" si="56"/>
        <v>-17500000</v>
      </c>
      <c r="G167" s="31">
        <f t="shared" si="56"/>
        <v>0</v>
      </c>
      <c r="H167" s="31">
        <f t="shared" si="56"/>
        <v>0</v>
      </c>
      <c r="I167" s="31">
        <f t="shared" si="56"/>
        <v>0</v>
      </c>
      <c r="J167" s="31">
        <v>0</v>
      </c>
      <c r="K167" s="31">
        <v>0</v>
      </c>
      <c r="L167" s="31">
        <v>0</v>
      </c>
      <c r="M167" s="31">
        <v>0</v>
      </c>
      <c r="N167" s="31">
        <f>INDEX($D$111:$I$111,0,MATCH(N$147,$D$108:$I$108,0))</f>
        <v>122729936.99705985</v>
      </c>
      <c r="O167" s="31">
        <v>0</v>
      </c>
      <c r="P167" s="38">
        <f t="shared" ca="1" si="57"/>
        <v>0.43333627581596379</v>
      </c>
    </row>
    <row r="168" spans="2:16" hidden="1" outlineLevel="1">
      <c r="B168" s="33" t="str">
        <f t="shared" si="55"/>
        <v>B</v>
      </c>
      <c r="C168" s="22" t="str">
        <f>C16</f>
        <v>$</v>
      </c>
      <c r="D168" s="31">
        <f t="shared" si="56"/>
        <v>-1000000</v>
      </c>
      <c r="E168" s="31">
        <f t="shared" si="56"/>
        <v>-5000000</v>
      </c>
      <c r="F168" s="31">
        <f t="shared" si="56"/>
        <v>-17500000</v>
      </c>
      <c r="G168" s="31">
        <f t="shared" si="56"/>
        <v>0</v>
      </c>
      <c r="H168" s="31">
        <f t="shared" si="56"/>
        <v>0</v>
      </c>
      <c r="I168" s="31">
        <f t="shared" si="56"/>
        <v>0</v>
      </c>
      <c r="J168" s="31">
        <v>0</v>
      </c>
      <c r="K168" s="31">
        <v>0</v>
      </c>
      <c r="L168" s="31">
        <v>0</v>
      </c>
      <c r="M168" s="31">
        <v>0</v>
      </c>
      <c r="N168" s="31">
        <v>0</v>
      </c>
      <c r="O168" s="31">
        <f>INDEX($D$111:$I$111,0,MATCH(O$147,$D$108:$I$108,0))</f>
        <v>220982417.38159731</v>
      </c>
      <c r="P168" s="38">
        <f t="shared" ca="1" si="57"/>
        <v>0.4447428286075592</v>
      </c>
    </row>
    <row r="169" spans="2:16" hidden="1" outlineLevel="1"/>
    <row r="170" spans="2:16" hidden="1" outlineLevel="1">
      <c r="B170" s="33" t="str">
        <f t="shared" ref="B170:B175" si="58">G$6</f>
        <v>C</v>
      </c>
      <c r="C170" s="22" t="str">
        <f>C16</f>
        <v>$</v>
      </c>
      <c r="D170" s="31">
        <f t="shared" ref="D170:I175" si="59">IF(D$148&lt;=INDEX($D$15:$I$15,0,MATCH($B170,$D$6:$I$6,0)),-1*INDEX($D$55:$I$55,0,MATCH(D$148,$D$15:$I$15,0)),0)</f>
        <v>-1000000</v>
      </c>
      <c r="E170" s="31">
        <f t="shared" si="59"/>
        <v>-5000000</v>
      </c>
      <c r="F170" s="31">
        <f t="shared" si="59"/>
        <v>-17500000</v>
      </c>
      <c r="G170" s="31">
        <f t="shared" si="59"/>
        <v>-35000000</v>
      </c>
      <c r="H170" s="31">
        <f t="shared" si="59"/>
        <v>0</v>
      </c>
      <c r="I170" s="31">
        <f t="shared" si="59"/>
        <v>0</v>
      </c>
      <c r="J170" s="31">
        <v>0</v>
      </c>
      <c r="K170" s="31">
        <v>0</v>
      </c>
      <c r="L170" s="31">
        <v>0</v>
      </c>
      <c r="M170" s="31">
        <v>0</v>
      </c>
      <c r="N170" s="31">
        <v>0</v>
      </c>
      <c r="O170" s="31">
        <v>0</v>
      </c>
      <c r="P170" s="38" t="str">
        <f t="shared" ca="1" si="57"/>
        <v>na</v>
      </c>
    </row>
    <row r="171" spans="2:16" hidden="1" outlineLevel="1">
      <c r="B171" s="33" t="str">
        <f t="shared" si="58"/>
        <v>C</v>
      </c>
      <c r="C171" s="22" t="str">
        <f>C16</f>
        <v>$</v>
      </c>
      <c r="D171" s="31">
        <f t="shared" si="59"/>
        <v>-1000000</v>
      </c>
      <c r="E171" s="31">
        <f t="shared" si="59"/>
        <v>-5000000</v>
      </c>
      <c r="F171" s="31">
        <f t="shared" si="59"/>
        <v>-17500000</v>
      </c>
      <c r="G171" s="31">
        <f t="shared" si="59"/>
        <v>-35000000</v>
      </c>
      <c r="H171" s="31">
        <f t="shared" si="59"/>
        <v>0</v>
      </c>
      <c r="I171" s="31">
        <f t="shared" si="59"/>
        <v>0</v>
      </c>
      <c r="J171" s="31">
        <v>0</v>
      </c>
      <c r="K171" s="31">
        <v>0</v>
      </c>
      <c r="L171" s="31">
        <v>0</v>
      </c>
      <c r="M171" s="31">
        <v>0</v>
      </c>
      <c r="N171" s="31">
        <v>0</v>
      </c>
      <c r="O171" s="31">
        <v>0</v>
      </c>
      <c r="P171" s="38" t="str">
        <f t="shared" ca="1" si="57"/>
        <v>na</v>
      </c>
    </row>
    <row r="172" spans="2:16" hidden="1" outlineLevel="1">
      <c r="B172" s="33" t="str">
        <f t="shared" si="58"/>
        <v>C</v>
      </c>
      <c r="C172" s="22" t="str">
        <f>C16</f>
        <v>$</v>
      </c>
      <c r="D172" s="31">
        <f t="shared" si="59"/>
        <v>-1000000</v>
      </c>
      <c r="E172" s="31">
        <f t="shared" si="59"/>
        <v>-5000000</v>
      </c>
      <c r="F172" s="31">
        <f t="shared" si="59"/>
        <v>-17500000</v>
      </c>
      <c r="G172" s="31">
        <f t="shared" si="59"/>
        <v>-35000000</v>
      </c>
      <c r="H172" s="31">
        <f t="shared" si="59"/>
        <v>0</v>
      </c>
      <c r="I172" s="31">
        <f t="shared" si="59"/>
        <v>0</v>
      </c>
      <c r="J172" s="31">
        <v>0</v>
      </c>
      <c r="K172" s="31">
        <v>0</v>
      </c>
      <c r="L172" s="31">
        <v>0</v>
      </c>
      <c r="M172" s="31">
        <v>0</v>
      </c>
      <c r="N172" s="31">
        <v>0</v>
      </c>
      <c r="O172" s="31">
        <v>0</v>
      </c>
      <c r="P172" s="38" t="str">
        <f t="shared" ca="1" si="57"/>
        <v>na</v>
      </c>
    </row>
    <row r="173" spans="2:16" hidden="1" outlineLevel="1">
      <c r="B173" s="33" t="str">
        <f t="shared" si="58"/>
        <v>C</v>
      </c>
      <c r="C173" s="22" t="str">
        <f>C16</f>
        <v>$</v>
      </c>
      <c r="D173" s="31">
        <f t="shared" si="59"/>
        <v>-1000000</v>
      </c>
      <c r="E173" s="31">
        <f t="shared" si="59"/>
        <v>-5000000</v>
      </c>
      <c r="F173" s="31">
        <f t="shared" si="59"/>
        <v>-17500000</v>
      </c>
      <c r="G173" s="31">
        <f t="shared" si="59"/>
        <v>-35000000</v>
      </c>
      <c r="H173" s="31">
        <f t="shared" si="59"/>
        <v>0</v>
      </c>
      <c r="I173" s="31">
        <f t="shared" si="59"/>
        <v>0</v>
      </c>
      <c r="J173" s="31">
        <v>0</v>
      </c>
      <c r="K173" s="31">
        <v>0</v>
      </c>
      <c r="L173" s="31">
        <v>0</v>
      </c>
      <c r="M173" s="31">
        <f>INDEX($D$112:$I$112,0,MATCH(M$147,$D$108:$I$108,0))</f>
        <v>120726609.06910755</v>
      </c>
      <c r="N173" s="31">
        <v>0</v>
      </c>
      <c r="O173" s="31">
        <v>0</v>
      </c>
      <c r="P173" s="38">
        <f t="shared" ca="1" si="57"/>
        <v>0.42933604121208202</v>
      </c>
    </row>
    <row r="174" spans="2:16" hidden="1" outlineLevel="1">
      <c r="B174" s="33" t="str">
        <f t="shared" si="58"/>
        <v>C</v>
      </c>
      <c r="C174" s="22" t="str">
        <f>C16</f>
        <v>$</v>
      </c>
      <c r="D174" s="31">
        <f t="shared" si="59"/>
        <v>-1000000</v>
      </c>
      <c r="E174" s="31">
        <f t="shared" si="59"/>
        <v>-5000000</v>
      </c>
      <c r="F174" s="31">
        <f t="shared" si="59"/>
        <v>-17500000</v>
      </c>
      <c r="G174" s="31">
        <f t="shared" si="59"/>
        <v>-35000000</v>
      </c>
      <c r="H174" s="31">
        <f t="shared" si="59"/>
        <v>0</v>
      </c>
      <c r="I174" s="31">
        <f t="shared" si="59"/>
        <v>0</v>
      </c>
      <c r="J174" s="31">
        <v>0</v>
      </c>
      <c r="K174" s="31">
        <v>0</v>
      </c>
      <c r="L174" s="31">
        <v>0</v>
      </c>
      <c r="M174" s="31">
        <v>0</v>
      </c>
      <c r="N174" s="31">
        <f>INDEX($D$112:$I$112,0,MATCH(N$147,$D$108:$I$108,0))</f>
        <v>187372338.03198868</v>
      </c>
      <c r="O174" s="31">
        <v>0</v>
      </c>
      <c r="P174" s="38">
        <f t="shared" ca="1" si="57"/>
        <v>0.39266765713691709</v>
      </c>
    </row>
    <row r="175" spans="2:16" hidden="1" outlineLevel="1">
      <c r="B175" s="33" t="str">
        <f t="shared" si="58"/>
        <v>C</v>
      </c>
      <c r="C175" s="22" t="str">
        <f>C16</f>
        <v>$</v>
      </c>
      <c r="D175" s="31">
        <f t="shared" si="59"/>
        <v>-1000000</v>
      </c>
      <c r="E175" s="31">
        <f t="shared" si="59"/>
        <v>-5000000</v>
      </c>
      <c r="F175" s="31">
        <f t="shared" si="59"/>
        <v>-17500000</v>
      </c>
      <c r="G175" s="31">
        <f t="shared" si="59"/>
        <v>-35000000</v>
      </c>
      <c r="H175" s="31">
        <f t="shared" si="59"/>
        <v>0</v>
      </c>
      <c r="I175" s="31">
        <f t="shared" si="59"/>
        <v>0</v>
      </c>
      <c r="J175" s="31">
        <v>0</v>
      </c>
      <c r="K175" s="31">
        <v>0</v>
      </c>
      <c r="L175" s="31">
        <v>0</v>
      </c>
      <c r="M175" s="31">
        <v>0</v>
      </c>
      <c r="N175" s="31">
        <v>0</v>
      </c>
      <c r="O175" s="31">
        <f>INDEX($D$112:$I$112,0,MATCH(O$147,$D$108:$I$108,0))</f>
        <v>337374834.7132501</v>
      </c>
      <c r="P175" s="38">
        <f t="shared" ca="1" si="57"/>
        <v>0.41728752255439761</v>
      </c>
    </row>
    <row r="176" spans="2:16" hidden="1" outlineLevel="1"/>
    <row r="177" spans="2:16" hidden="1" outlineLevel="1">
      <c r="B177" s="33" t="str">
        <f>H$6</f>
        <v>D</v>
      </c>
      <c r="C177" s="22" t="str">
        <f>C16</f>
        <v>$</v>
      </c>
      <c r="D177" s="31">
        <f t="shared" ref="D177:I182" si="60">IF(D$148&lt;=INDEX($D$15:$I$15,0,MATCH($B177,$D$6:$I$6,0)),-1*INDEX($D$55:$I$55,0,MATCH(D$148,$D$15:$I$15,0)),0)</f>
        <v>-1000000</v>
      </c>
      <c r="E177" s="31">
        <f t="shared" si="60"/>
        <v>-5000000</v>
      </c>
      <c r="F177" s="31">
        <f t="shared" si="60"/>
        <v>-17500000</v>
      </c>
      <c r="G177" s="31">
        <f t="shared" si="60"/>
        <v>-35000000</v>
      </c>
      <c r="H177" s="31">
        <f t="shared" si="60"/>
        <v>-70000000</v>
      </c>
      <c r="I177" s="31">
        <f t="shared" si="60"/>
        <v>0</v>
      </c>
      <c r="J177" s="31">
        <v>0</v>
      </c>
      <c r="K177" s="31">
        <v>0</v>
      </c>
      <c r="L177" s="31">
        <v>0</v>
      </c>
      <c r="M177" s="31">
        <v>0</v>
      </c>
      <c r="N177" s="31">
        <v>0</v>
      </c>
      <c r="O177" s="31">
        <v>0</v>
      </c>
      <c r="P177" s="38" t="str">
        <f t="shared" ref="P177:P182" ca="1" si="61">IFERROR(XIRR(INDIRECT(ADDRESS(ROW(D177),COLUMN(D177)+MATCH(INDEX(D177:O177,MATCH(TRUE,INDEX(D177:O177&lt;&gt;0,),0)),D177:O177,0)-1,4)&amp;":"&amp;ADDRESS(ROW(D177),COLUMN(C177)+MATCH(O$148,D$148:O$148,1),4)),INDIRECT(ADDRESS(ROW(D$148),COLUMN(D$148)+MATCH(INDEX(D177:O177,MATCH(TRUE,INDEX(D177:O177&lt;&gt;0,),0)),D177:O177,0)-1,4)&amp;":"&amp;ADDRESS(ROW(D$148),COLUMN(C$148)+MATCH(O$148,D$148:O$148,1),4))),"na")</f>
        <v>na</v>
      </c>
    </row>
    <row r="178" spans="2:16" hidden="1" outlineLevel="1">
      <c r="B178" s="33" t="str">
        <f>H$6</f>
        <v>D</v>
      </c>
      <c r="C178" s="22" t="str">
        <f>C16</f>
        <v>$</v>
      </c>
      <c r="D178" s="31">
        <f t="shared" si="60"/>
        <v>-1000000</v>
      </c>
      <c r="E178" s="31">
        <f t="shared" si="60"/>
        <v>-5000000</v>
      </c>
      <c r="F178" s="31">
        <f t="shared" si="60"/>
        <v>-17500000</v>
      </c>
      <c r="G178" s="31">
        <f t="shared" si="60"/>
        <v>-35000000</v>
      </c>
      <c r="H178" s="31">
        <f t="shared" si="60"/>
        <v>-70000000</v>
      </c>
      <c r="I178" s="31">
        <f t="shared" si="60"/>
        <v>0</v>
      </c>
      <c r="J178" s="31">
        <v>0</v>
      </c>
      <c r="K178" s="31">
        <v>0</v>
      </c>
      <c r="L178" s="31">
        <v>0</v>
      </c>
      <c r="M178" s="31">
        <v>0</v>
      </c>
      <c r="N178" s="31">
        <v>0</v>
      </c>
      <c r="O178" s="31">
        <v>0</v>
      </c>
      <c r="P178" s="38" t="str">
        <f t="shared" ca="1" si="61"/>
        <v>na</v>
      </c>
    </row>
    <row r="179" spans="2:16" hidden="1" outlineLevel="1">
      <c r="B179" s="33" t="str">
        <f>H$6</f>
        <v>D</v>
      </c>
      <c r="C179" s="22" t="str">
        <f>C16</f>
        <v>$</v>
      </c>
      <c r="D179" s="31">
        <f t="shared" si="60"/>
        <v>-1000000</v>
      </c>
      <c r="E179" s="31">
        <f t="shared" si="60"/>
        <v>-5000000</v>
      </c>
      <c r="F179" s="31">
        <f t="shared" si="60"/>
        <v>-17500000</v>
      </c>
      <c r="G179" s="31">
        <f t="shared" si="60"/>
        <v>-35000000</v>
      </c>
      <c r="H179" s="31">
        <f t="shared" si="60"/>
        <v>-70000000</v>
      </c>
      <c r="I179" s="31">
        <f t="shared" si="60"/>
        <v>0</v>
      </c>
      <c r="J179" s="31">
        <v>0</v>
      </c>
      <c r="K179" s="31">
        <v>0</v>
      </c>
      <c r="L179" s="31">
        <v>0</v>
      </c>
      <c r="M179" s="31">
        <v>0</v>
      </c>
      <c r="N179" s="31">
        <v>0</v>
      </c>
      <c r="O179" s="31">
        <v>0</v>
      </c>
      <c r="P179" s="38" t="str">
        <f t="shared" ca="1" si="61"/>
        <v>na</v>
      </c>
    </row>
    <row r="180" spans="2:16" hidden="1" outlineLevel="1">
      <c r="B180" s="33" t="str">
        <f>H$6</f>
        <v>D</v>
      </c>
      <c r="C180" s="22" t="str">
        <f>C16</f>
        <v>$</v>
      </c>
      <c r="D180" s="31">
        <f t="shared" si="60"/>
        <v>-1000000</v>
      </c>
      <c r="E180" s="31">
        <f t="shared" si="60"/>
        <v>-5000000</v>
      </c>
      <c r="F180" s="31">
        <f t="shared" si="60"/>
        <v>-17500000</v>
      </c>
      <c r="G180" s="31">
        <f t="shared" si="60"/>
        <v>-35000000</v>
      </c>
      <c r="H180" s="31">
        <f t="shared" si="60"/>
        <v>-70000000</v>
      </c>
      <c r="I180" s="31">
        <f t="shared" si="60"/>
        <v>0</v>
      </c>
      <c r="J180" s="31">
        <v>0</v>
      </c>
      <c r="K180" s="31">
        <v>0</v>
      </c>
      <c r="L180" s="31">
        <v>0</v>
      </c>
      <c r="M180" s="31">
        <v>0</v>
      </c>
      <c r="N180" s="31">
        <v>0</v>
      </c>
      <c r="O180" s="31">
        <v>0</v>
      </c>
      <c r="P180" s="38" t="str">
        <f t="shared" ca="1" si="61"/>
        <v>na</v>
      </c>
    </row>
    <row r="181" spans="2:16" hidden="1" outlineLevel="1">
      <c r="B181" s="33" t="str">
        <f>H$6</f>
        <v>D</v>
      </c>
      <c r="C181" s="22" t="str">
        <f>C16</f>
        <v>$</v>
      </c>
      <c r="D181" s="31">
        <f t="shared" si="60"/>
        <v>-1000000</v>
      </c>
      <c r="E181" s="31">
        <f t="shared" si="60"/>
        <v>-5000000</v>
      </c>
      <c r="F181" s="31">
        <f t="shared" si="60"/>
        <v>-17500000</v>
      </c>
      <c r="G181" s="31">
        <f t="shared" si="60"/>
        <v>-35000000</v>
      </c>
      <c r="H181" s="31">
        <f t="shared" si="60"/>
        <v>-70000000</v>
      </c>
      <c r="I181" s="31">
        <f t="shared" si="60"/>
        <v>0</v>
      </c>
      <c r="J181" s="31">
        <v>0</v>
      </c>
      <c r="K181" s="31">
        <v>0</v>
      </c>
      <c r="L181" s="31">
        <v>0</v>
      </c>
      <c r="M181" s="31">
        <v>0</v>
      </c>
      <c r="N181" s="31">
        <f>INDEX($D$113:$I$113,0,MATCH(N$147,$D$108:$I$108,0))</f>
        <v>262972338.03198868</v>
      </c>
      <c r="O181" s="31">
        <v>0</v>
      </c>
      <c r="P181" s="38">
        <f t="shared" ca="1" si="61"/>
        <v>0.3530917346477509</v>
      </c>
    </row>
    <row r="182" spans="2:16" hidden="1" outlineLevel="1">
      <c r="B182" s="33" t="str">
        <f>I$6</f>
        <v>E</v>
      </c>
      <c r="C182" s="22" t="str">
        <f>C16</f>
        <v>$</v>
      </c>
      <c r="D182" s="31">
        <f t="shared" si="60"/>
        <v>-1000000</v>
      </c>
      <c r="E182" s="31">
        <f t="shared" si="60"/>
        <v>-5000000</v>
      </c>
      <c r="F182" s="31">
        <f t="shared" si="60"/>
        <v>-17500000</v>
      </c>
      <c r="G182" s="31">
        <f t="shared" si="60"/>
        <v>-35000000</v>
      </c>
      <c r="H182" s="31">
        <f t="shared" si="60"/>
        <v>-70000000</v>
      </c>
      <c r="I182" s="31">
        <f t="shared" si="60"/>
        <v>-140000000</v>
      </c>
      <c r="J182" s="31">
        <v>0</v>
      </c>
      <c r="K182" s="31">
        <v>0</v>
      </c>
      <c r="L182" s="31">
        <v>0</v>
      </c>
      <c r="M182" s="31">
        <v>0</v>
      </c>
      <c r="N182" s="31">
        <v>0</v>
      </c>
      <c r="O182" s="31">
        <f>INDEX($D$113:$I$113,0,MATCH(O$147,$D$108:$I$108,0))</f>
        <v>473497048.76155502</v>
      </c>
      <c r="P182" s="38">
        <f t="shared" ca="1" si="61"/>
        <v>0.25047224164009096</v>
      </c>
    </row>
    <row r="183" spans="2:16" hidden="1" outlineLevel="1"/>
    <row r="184" spans="2:16" hidden="1" outlineLevel="1">
      <c r="B184" s="33" t="str">
        <f t="shared" ref="B184:B189" si="62">I$6</f>
        <v>E</v>
      </c>
      <c r="C184" s="22" t="str">
        <f>C16</f>
        <v>$</v>
      </c>
      <c r="D184" s="31">
        <f t="shared" ref="D184:I189" si="63">IF(D$148&lt;=INDEX($D$15:$I$15,0,MATCH($B184,$D$6:$I$6,0)),-1*INDEX($D$55:$I$55,0,MATCH(D$148,$D$15:$I$15,0)),0)</f>
        <v>-1000000</v>
      </c>
      <c r="E184" s="31">
        <f t="shared" si="63"/>
        <v>-5000000</v>
      </c>
      <c r="F184" s="31">
        <f t="shared" si="63"/>
        <v>-17500000</v>
      </c>
      <c r="G184" s="31">
        <f t="shared" si="63"/>
        <v>-35000000</v>
      </c>
      <c r="H184" s="31">
        <f t="shared" si="63"/>
        <v>-70000000</v>
      </c>
      <c r="I184" s="31">
        <f t="shared" si="63"/>
        <v>-140000000</v>
      </c>
      <c r="J184" s="31">
        <v>0</v>
      </c>
      <c r="K184" s="31">
        <v>0</v>
      </c>
      <c r="L184" s="31">
        <v>0</v>
      </c>
      <c r="M184" s="31">
        <v>0</v>
      </c>
      <c r="N184" s="31">
        <v>0</v>
      </c>
      <c r="O184" s="31">
        <v>0</v>
      </c>
      <c r="P184" s="38" t="str">
        <f t="shared" ref="P184:P189" ca="1" si="64">IFERROR(XIRR(INDIRECT(ADDRESS(ROW(D184),COLUMN(D184)+MATCH(INDEX(D184:O184,MATCH(TRUE,INDEX(D184:O184&lt;&gt;0,),0)),D184:O184,0)-1,4)&amp;":"&amp;ADDRESS(ROW(D184),COLUMN(C184)+MATCH(O$148,D$148:O$148,1),4)),INDIRECT(ADDRESS(ROW(D$148),COLUMN(D$148)+MATCH(INDEX(D184:O184,MATCH(TRUE,INDEX(D184:O184&lt;&gt;0,),0)),D184:O184,0)-1,4)&amp;":"&amp;ADDRESS(ROW(D$148),COLUMN(C$148)+MATCH(O$148,D$148:O$148,1),4))),"na")</f>
        <v>na</v>
      </c>
    </row>
    <row r="185" spans="2:16" hidden="1" outlineLevel="1">
      <c r="B185" s="33" t="str">
        <f t="shared" si="62"/>
        <v>E</v>
      </c>
      <c r="C185" s="22" t="str">
        <f>C16</f>
        <v>$</v>
      </c>
      <c r="D185" s="31">
        <f t="shared" si="63"/>
        <v>-1000000</v>
      </c>
      <c r="E185" s="31">
        <f t="shared" si="63"/>
        <v>-5000000</v>
      </c>
      <c r="F185" s="31">
        <f t="shared" si="63"/>
        <v>-17500000</v>
      </c>
      <c r="G185" s="31">
        <f t="shared" si="63"/>
        <v>-35000000</v>
      </c>
      <c r="H185" s="31">
        <f t="shared" si="63"/>
        <v>-70000000</v>
      </c>
      <c r="I185" s="31">
        <f t="shared" si="63"/>
        <v>-140000000</v>
      </c>
      <c r="J185" s="31">
        <v>0</v>
      </c>
      <c r="K185" s="31">
        <v>0</v>
      </c>
      <c r="L185" s="31">
        <v>0</v>
      </c>
      <c r="M185" s="31">
        <v>0</v>
      </c>
      <c r="N185" s="31">
        <v>0</v>
      </c>
      <c r="O185" s="31">
        <v>0</v>
      </c>
      <c r="P185" s="38" t="str">
        <f t="shared" ca="1" si="64"/>
        <v>na</v>
      </c>
    </row>
    <row r="186" spans="2:16" hidden="1" outlineLevel="1">
      <c r="B186" s="33" t="str">
        <f t="shared" si="62"/>
        <v>E</v>
      </c>
      <c r="C186" s="22" t="str">
        <f>C16</f>
        <v>$</v>
      </c>
      <c r="D186" s="31">
        <f t="shared" si="63"/>
        <v>-1000000</v>
      </c>
      <c r="E186" s="31">
        <f t="shared" si="63"/>
        <v>-5000000</v>
      </c>
      <c r="F186" s="31">
        <f t="shared" si="63"/>
        <v>-17500000</v>
      </c>
      <c r="G186" s="31">
        <f t="shared" si="63"/>
        <v>-35000000</v>
      </c>
      <c r="H186" s="31">
        <f t="shared" si="63"/>
        <v>-70000000</v>
      </c>
      <c r="I186" s="31">
        <f t="shared" si="63"/>
        <v>-140000000</v>
      </c>
      <c r="J186" s="31">
        <v>0</v>
      </c>
      <c r="K186" s="31">
        <v>0</v>
      </c>
      <c r="L186" s="31">
        <v>0</v>
      </c>
      <c r="M186" s="31">
        <v>0</v>
      </c>
      <c r="N186" s="31">
        <v>0</v>
      </c>
      <c r="O186" s="31">
        <v>0</v>
      </c>
      <c r="P186" s="38" t="str">
        <f t="shared" ca="1" si="64"/>
        <v>na</v>
      </c>
    </row>
    <row r="187" spans="2:16" hidden="1" outlineLevel="1">
      <c r="B187" s="33" t="str">
        <f t="shared" si="62"/>
        <v>E</v>
      </c>
      <c r="C187" s="22" t="str">
        <f>C16</f>
        <v>$</v>
      </c>
      <c r="D187" s="31">
        <f t="shared" si="63"/>
        <v>-1000000</v>
      </c>
      <c r="E187" s="31">
        <f t="shared" si="63"/>
        <v>-5000000</v>
      </c>
      <c r="F187" s="31">
        <f t="shared" si="63"/>
        <v>-17500000</v>
      </c>
      <c r="G187" s="31">
        <f t="shared" si="63"/>
        <v>-35000000</v>
      </c>
      <c r="H187" s="31">
        <f t="shared" si="63"/>
        <v>-70000000</v>
      </c>
      <c r="I187" s="31">
        <f t="shared" si="63"/>
        <v>-140000000</v>
      </c>
      <c r="J187" s="31">
        <v>0</v>
      </c>
      <c r="K187" s="31">
        <v>0</v>
      </c>
      <c r="L187" s="31">
        <v>0</v>
      </c>
      <c r="M187" s="31">
        <v>0</v>
      </c>
      <c r="N187" s="31">
        <v>0</v>
      </c>
      <c r="O187" s="31">
        <v>0</v>
      </c>
      <c r="P187" s="38" t="str">
        <f t="shared" ca="1" si="64"/>
        <v>na</v>
      </c>
    </row>
    <row r="188" spans="2:16" hidden="1" outlineLevel="1">
      <c r="B188" s="33" t="str">
        <f t="shared" si="62"/>
        <v>E</v>
      </c>
      <c r="C188" s="22" t="str">
        <f>C16</f>
        <v>$</v>
      </c>
      <c r="D188" s="31">
        <f t="shared" si="63"/>
        <v>-1000000</v>
      </c>
      <c r="E188" s="31">
        <f t="shared" si="63"/>
        <v>-5000000</v>
      </c>
      <c r="F188" s="31">
        <f t="shared" si="63"/>
        <v>-17500000</v>
      </c>
      <c r="G188" s="31">
        <f t="shared" si="63"/>
        <v>-35000000</v>
      </c>
      <c r="H188" s="31">
        <f t="shared" si="63"/>
        <v>-70000000</v>
      </c>
      <c r="I188" s="31">
        <f t="shared" si="63"/>
        <v>-140000000</v>
      </c>
      <c r="J188" s="31">
        <v>0</v>
      </c>
      <c r="K188" s="31">
        <v>0</v>
      </c>
      <c r="L188" s="31">
        <v>0</v>
      </c>
      <c r="M188" s="31">
        <v>0</v>
      </c>
      <c r="N188" s="31">
        <v>0</v>
      </c>
      <c r="O188" s="31">
        <v>0</v>
      </c>
      <c r="P188" s="38" t="str">
        <f t="shared" ca="1" si="64"/>
        <v>na</v>
      </c>
    </row>
    <row r="189" spans="2:16" hidden="1" outlineLevel="1">
      <c r="B189" s="33" t="str">
        <f t="shared" si="62"/>
        <v>E</v>
      </c>
      <c r="C189" s="22" t="str">
        <f>C16</f>
        <v>$</v>
      </c>
      <c r="D189" s="31">
        <f t="shared" si="63"/>
        <v>-1000000</v>
      </c>
      <c r="E189" s="31">
        <f t="shared" si="63"/>
        <v>-5000000</v>
      </c>
      <c r="F189" s="31">
        <f t="shared" si="63"/>
        <v>-17500000</v>
      </c>
      <c r="G189" s="31">
        <f t="shared" si="63"/>
        <v>-35000000</v>
      </c>
      <c r="H189" s="31">
        <f t="shared" si="63"/>
        <v>-70000000</v>
      </c>
      <c r="I189" s="31">
        <f t="shared" si="63"/>
        <v>-140000000</v>
      </c>
      <c r="J189" s="31">
        <v>0</v>
      </c>
      <c r="K189" s="31">
        <v>0</v>
      </c>
      <c r="L189" s="31">
        <v>0</v>
      </c>
      <c r="M189" s="31">
        <v>0</v>
      </c>
      <c r="N189" s="31">
        <v>0</v>
      </c>
      <c r="O189" s="31">
        <f>INDEX($D$114:$I$114,0,MATCH(O$147,$D$108:$I$108,0))</f>
        <v>619797048.76155508</v>
      </c>
      <c r="P189" s="38">
        <f t="shared" ca="1" si="64"/>
        <v>0.36474079489707945</v>
      </c>
    </row>
    <row r="190" spans="2:16" hidden="1" outlineLevel="1"/>
    <row r="191" spans="2:16" collapsed="1"/>
  </sheetData>
  <conditionalFormatting sqref="D125:I130">
    <cfRule type="colorScale" priority="6">
      <colorScale>
        <cfvo type="min"/>
        <cfvo type="percentile" val="50"/>
        <cfvo type="max"/>
        <color theme="0"/>
        <color rgb="FFFFEB84"/>
        <color rgb="FF63BE7B"/>
      </colorScale>
    </cfRule>
  </conditionalFormatting>
  <conditionalFormatting sqref="D117:I122">
    <cfRule type="colorScale" priority="5">
      <colorScale>
        <cfvo type="min"/>
        <cfvo type="percentile" val="50"/>
        <cfvo type="max"/>
        <color theme="0"/>
        <color rgb="FFFFEB84"/>
        <color rgb="FF63BE7B"/>
      </colorScale>
    </cfRule>
  </conditionalFormatting>
  <conditionalFormatting sqref="D109:I114">
    <cfRule type="colorScale" priority="4">
      <colorScale>
        <cfvo type="min"/>
        <cfvo type="percentile" val="50"/>
        <cfvo type="max"/>
        <color theme="0"/>
        <color rgb="FFFFEB84"/>
        <color rgb="FF63BE7B"/>
      </colorScale>
    </cfRule>
  </conditionalFormatting>
  <conditionalFormatting sqref="D77:I82">
    <cfRule type="colorScale" priority="3">
      <colorScale>
        <cfvo type="min"/>
        <cfvo type="percentile" val="50"/>
        <cfvo type="max"/>
        <color theme="0"/>
        <color rgb="FFFFEB84"/>
        <color rgb="FF63BE7B"/>
      </colorScale>
    </cfRule>
  </conditionalFormatting>
  <conditionalFormatting sqref="D68:I73">
    <cfRule type="colorScale" priority="2">
      <colorScale>
        <cfvo type="min"/>
        <cfvo type="percentile" val="50"/>
        <cfvo type="max"/>
        <color theme="0"/>
        <color rgb="FFFFEB84"/>
        <color rgb="FF63BE7B"/>
      </colorScale>
    </cfRule>
  </conditionalFormatting>
  <conditionalFormatting sqref="D86:I91">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480E-306F-8B4A-8CBB-E2F04805429A}">
  <sheetPr codeName="Sheet4"/>
  <dimension ref="B2:B7"/>
  <sheetViews>
    <sheetView showGridLines="0" workbookViewId="0">
      <pane ySplit="2" topLeftCell="A3" activePane="bottomLeft" state="frozen"/>
      <selection activeCell="B9" sqref="B9"/>
      <selection pane="bottomLeft" activeCell="B26" sqref="B26"/>
    </sheetView>
  </sheetViews>
  <sheetFormatPr baseColWidth="10" defaultColWidth="9" defaultRowHeight="21"/>
  <cols>
    <col min="1" max="1" width="3" style="47" customWidth="1"/>
    <col min="2" max="2" width="160" style="50" customWidth="1"/>
    <col min="3" max="8" width="13.5" style="47" customWidth="1"/>
    <col min="9" max="10" width="12" style="47" customWidth="1"/>
    <col min="11" max="18" width="10.5" style="47" customWidth="1"/>
    <col min="19" max="23" width="12" style="47" customWidth="1"/>
    <col min="24" max="26" width="10.5" style="47" customWidth="1"/>
    <col min="27" max="27" width="12.83203125" style="47" bestFit="1" customWidth="1"/>
    <col min="28" max="16384" width="9" style="47"/>
  </cols>
  <sheetData>
    <row r="2" spans="2:2">
      <c r="B2" s="48" t="s">
        <v>122</v>
      </c>
    </row>
    <row r="4" spans="2:2">
      <c r="B4" s="48" t="s">
        <v>154</v>
      </c>
    </row>
    <row r="5" spans="2:2" ht="22">
      <c r="B5" s="49" t="s">
        <v>155</v>
      </c>
    </row>
    <row r="6" spans="2:2">
      <c r="B6" s="49"/>
    </row>
    <row r="7" spans="2:2" ht="22">
      <c r="B7" s="49" t="s">
        <v>123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License</vt:lpstr>
      <vt:lpstr>Venture Valuation Tool</vt:lpstr>
      <vt:lpstr>Changelog</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Davidson</dc:creator>
  <cp:lastModifiedBy>Taylor Davidson</cp:lastModifiedBy>
  <dcterms:created xsi:type="dcterms:W3CDTF">2020-03-31T19:03:37Z</dcterms:created>
  <dcterms:modified xsi:type="dcterms:W3CDTF">2020-07-16T16:27:19Z</dcterms:modified>
</cp:coreProperties>
</file>