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3D5E75DD-6D27-124D-A2DA-0F817FB8FF28}" xr6:coauthVersionLast="45" xr6:coauthVersionMax="45" xr10:uidLastSave="{00000000-0000-0000-0000-000000000000}"/>
  <bookViews>
    <workbookView xWindow="0" yWindow="460" windowWidth="28800" windowHeight="17540" xr2:uid="{ABEDE082-6FD0-774E-BCBE-A6808D9CB0D2}"/>
  </bookViews>
  <sheets>
    <sheet name="README" sheetId="9" r:id="rId1"/>
    <sheet name="License" sheetId="6" r:id="rId2"/>
    <sheet name="Exit Waterfall" sheetId="5" r:id="rId3"/>
    <sheet name="Changelog" sheetId="7" r:id="rId4"/>
  </sheets>
  <definedNames>
    <definedName name="_xlnm.Print_Area" localSheetId="0">README!$B$2:$B$33</definedName>
  </definedNames>
  <calcPr calcId="191029" iterateCount="1000"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9" l="1"/>
  <c r="D13" i="9"/>
  <c r="B12" i="9"/>
  <c r="B7" i="9"/>
  <c r="B6" i="9"/>
  <c r="B5" i="9"/>
  <c r="B2" i="9"/>
  <c r="D44" i="5" l="1"/>
  <c r="F44" i="5"/>
  <c r="E44" i="5"/>
  <c r="G44" i="5"/>
  <c r="D57" i="5" l="1"/>
  <c r="K71" i="5" l="1"/>
  <c r="K69" i="5"/>
  <c r="K66" i="5"/>
  <c r="K65" i="5"/>
  <c r="K67" i="5" s="1"/>
  <c r="K68" i="5" l="1"/>
  <c r="K70" i="5" s="1"/>
  <c r="B135" i="5" l="1"/>
  <c r="B134" i="5"/>
  <c r="B133"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200" i="5"/>
  <c r="K201" i="5"/>
  <c r="K202" i="5"/>
  <c r="K203" i="5"/>
  <c r="K204" i="5"/>
  <c r="K205" i="5"/>
  <c r="K206" i="5"/>
  <c r="K209" i="5"/>
  <c r="K210" i="5"/>
  <c r="K211" i="5"/>
  <c r="K212" i="5"/>
  <c r="K213" i="5"/>
  <c r="K214" i="5"/>
  <c r="K215" i="5"/>
  <c r="K216" i="5"/>
  <c r="K217" i="5"/>
  <c r="K219" i="5"/>
  <c r="K220" i="5"/>
  <c r="K221" i="5"/>
  <c r="K222" i="5"/>
  <c r="K223" i="5"/>
  <c r="K224" i="5"/>
  <c r="K227" i="5"/>
  <c r="K228" i="5"/>
  <c r="K229" i="5"/>
  <c r="K230" i="5"/>
  <c r="K231" i="5"/>
  <c r="K232" i="5"/>
  <c r="K233" i="5"/>
  <c r="K234" i="5"/>
  <c r="K235" i="5"/>
  <c r="K236" i="5"/>
  <c r="K239" i="5"/>
  <c r="K240" i="5"/>
  <c r="K241" i="5"/>
  <c r="K242" i="5"/>
  <c r="K243" i="5"/>
  <c r="K244" i="5"/>
  <c r="K245" i="5"/>
  <c r="K246" i="5"/>
  <c r="K247" i="5"/>
  <c r="K248" i="5"/>
  <c r="K249" i="5"/>
  <c r="K250" i="5"/>
  <c r="K251" i="5"/>
  <c r="K253" i="5"/>
  <c r="K254" i="5"/>
  <c r="K255" i="5"/>
  <c r="K256" i="5"/>
  <c r="K257" i="5"/>
  <c r="K258" i="5"/>
  <c r="K259" i="5"/>
  <c r="K260" i="5"/>
  <c r="K261" i="5"/>
  <c r="K262" i="5"/>
  <c r="K263" i="5"/>
  <c r="K265" i="5"/>
  <c r="K266" i="5"/>
  <c r="K267" i="5"/>
  <c r="K144" i="5"/>
  <c r="K145" i="5"/>
  <c r="K146" i="5"/>
  <c r="K147" i="5"/>
  <c r="K148" i="5"/>
  <c r="K149" i="5"/>
  <c r="K150" i="5"/>
  <c r="K151" i="5"/>
  <c r="K152" i="5"/>
  <c r="K153" i="5"/>
  <c r="K154" i="5"/>
  <c r="K155" i="5"/>
  <c r="K156" i="5"/>
  <c r="K157" i="5"/>
  <c r="K158" i="5"/>
  <c r="K159" i="5"/>
  <c r="K160" i="5"/>
  <c r="K61" i="5" l="1"/>
  <c r="K62" i="5" s="1"/>
  <c r="I65" i="5" a="1"/>
  <c r="I65" i="5" s="1"/>
  <c r="H65" i="5" a="1"/>
  <c r="H65" i="5" s="1"/>
  <c r="G65" i="5" a="1"/>
  <c r="G65" i="5" s="1"/>
  <c r="F65" i="5" a="1"/>
  <c r="F65" i="5" s="1"/>
  <c r="E65" i="5" a="1"/>
  <c r="E65" i="5" s="1"/>
  <c r="D62" i="5" a="1"/>
  <c r="D62" i="5" s="1"/>
  <c r="H104" i="5" s="1"/>
  <c r="B66" i="5"/>
  <c r="B65" i="5"/>
  <c r="K334" i="5"/>
  <c r="K333" i="5"/>
  <c r="K332" i="5"/>
  <c r="K331" i="5"/>
  <c r="K329" i="5"/>
  <c r="K328" i="5"/>
  <c r="K327" i="5"/>
  <c r="K326"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B259" i="5"/>
  <c r="B258" i="5"/>
  <c r="B257" i="5"/>
  <c r="B256" i="5"/>
  <c r="B255" i="5"/>
  <c r="B254" i="5"/>
  <c r="B253" i="5"/>
  <c r="B252" i="5"/>
  <c r="C248" i="5"/>
  <c r="C247" i="5"/>
  <c r="C246" i="5"/>
  <c r="B246" i="5"/>
  <c r="C245" i="5"/>
  <c r="B245" i="5"/>
  <c r="C244" i="5"/>
  <c r="B244" i="5"/>
  <c r="C243" i="5"/>
  <c r="B243" i="5"/>
  <c r="C242" i="5"/>
  <c r="B242" i="5"/>
  <c r="C241" i="5"/>
  <c r="B241" i="5"/>
  <c r="C240" i="5"/>
  <c r="B240" i="5"/>
  <c r="C239" i="5"/>
  <c r="B239" i="5"/>
  <c r="J234" i="5"/>
  <c r="J92" i="5" s="1"/>
  <c r="I234" i="5"/>
  <c r="H234" i="5"/>
  <c r="G234" i="5"/>
  <c r="F234" i="5"/>
  <c r="F92" i="5" s="1"/>
  <c r="E234" i="5"/>
  <c r="D234" i="5"/>
  <c r="C234" i="5"/>
  <c r="C233" i="5"/>
  <c r="B233" i="5"/>
  <c r="C232" i="5"/>
  <c r="B232" i="5"/>
  <c r="C231" i="5"/>
  <c r="B231" i="5"/>
  <c r="C230" i="5"/>
  <c r="B230" i="5"/>
  <c r="C229" i="5"/>
  <c r="B229" i="5"/>
  <c r="C228" i="5"/>
  <c r="B228" i="5"/>
  <c r="C227" i="5"/>
  <c r="B227" i="5"/>
  <c r="C226" i="5"/>
  <c r="B226" i="5"/>
  <c r="C223" i="5"/>
  <c r="C222" i="5"/>
  <c r="C221" i="5"/>
  <c r="C220" i="5"/>
  <c r="C219" i="5"/>
  <c r="C218" i="5"/>
  <c r="C215" i="5"/>
  <c r="C214" i="5"/>
  <c r="C213" i="5"/>
  <c r="C212" i="5"/>
  <c r="C211" i="5"/>
  <c r="C208" i="5"/>
  <c r="C207" i="5"/>
  <c r="C206" i="5"/>
  <c r="C205" i="5"/>
  <c r="C204" i="5"/>
  <c r="C203" i="5"/>
  <c r="C202" i="5"/>
  <c r="C199" i="5"/>
  <c r="C198" i="5"/>
  <c r="C196" i="5"/>
  <c r="C195" i="5"/>
  <c r="C194" i="5"/>
  <c r="C188" i="5"/>
  <c r="C185" i="5"/>
  <c r="C184" i="5"/>
  <c r="C183" i="5"/>
  <c r="C182" i="5"/>
  <c r="C179" i="5"/>
  <c r="B179" i="5"/>
  <c r="C178" i="5"/>
  <c r="B178" i="5"/>
  <c r="C177" i="5"/>
  <c r="B177" i="5"/>
  <c r="C174" i="5"/>
  <c r="C173" i="5"/>
  <c r="B173" i="5"/>
  <c r="C172" i="5"/>
  <c r="B172" i="5"/>
  <c r="C171" i="5"/>
  <c r="B171" i="5"/>
  <c r="C170" i="5"/>
  <c r="C169" i="5"/>
  <c r="C166" i="5"/>
  <c r="C163" i="5"/>
  <c r="C162" i="5"/>
  <c r="C161" i="5"/>
  <c r="C160" i="5"/>
  <c r="C157" i="5"/>
  <c r="B157" i="5"/>
  <c r="C156" i="5"/>
  <c r="B156" i="5"/>
  <c r="C155" i="5"/>
  <c r="B155" i="5"/>
  <c r="C152" i="5"/>
  <c r="C151" i="5"/>
  <c r="B151" i="5"/>
  <c r="C150" i="5"/>
  <c r="B150" i="5"/>
  <c r="C149" i="5"/>
  <c r="B149" i="5"/>
  <c r="C148" i="5"/>
  <c r="C147" i="5"/>
  <c r="C144" i="5"/>
  <c r="K143" i="5"/>
  <c r="K142" i="5"/>
  <c r="K141" i="5"/>
  <c r="C141" i="5"/>
  <c r="K140" i="5"/>
  <c r="C140" i="5"/>
  <c r="K139" i="5"/>
  <c r="C139" i="5"/>
  <c r="K138" i="5"/>
  <c r="C138" i="5"/>
  <c r="K137" i="5"/>
  <c r="K136" i="5"/>
  <c r="K135" i="5"/>
  <c r="C135" i="5"/>
  <c r="K134" i="5"/>
  <c r="C134" i="5"/>
  <c r="K133" i="5"/>
  <c r="C133" i="5"/>
  <c r="K132" i="5"/>
  <c r="K131" i="5"/>
  <c r="K130" i="5"/>
  <c r="C130" i="5"/>
  <c r="K129" i="5"/>
  <c r="C129" i="5"/>
  <c r="B129" i="5"/>
  <c r="K128" i="5"/>
  <c r="C128" i="5"/>
  <c r="B128" i="5"/>
  <c r="K127" i="5"/>
  <c r="C127" i="5"/>
  <c r="B127" i="5"/>
  <c r="K126" i="5"/>
  <c r="C126" i="5"/>
  <c r="K125" i="5"/>
  <c r="C125" i="5"/>
  <c r="K124" i="5"/>
  <c r="K123" i="5"/>
  <c r="K122" i="5"/>
  <c r="C122" i="5"/>
  <c r="K121" i="5"/>
  <c r="K120" i="5"/>
  <c r="C119" i="5"/>
  <c r="C118" i="5"/>
  <c r="C117" i="5"/>
  <c r="C116" i="5"/>
  <c r="C113" i="5"/>
  <c r="B113" i="5"/>
  <c r="C112" i="5"/>
  <c r="B112" i="5"/>
  <c r="C111" i="5"/>
  <c r="B111" i="5"/>
  <c r="C108" i="5"/>
  <c r="C107" i="5"/>
  <c r="B107" i="5"/>
  <c r="C106" i="5"/>
  <c r="B106" i="5"/>
  <c r="C105" i="5"/>
  <c r="B105" i="5"/>
  <c r="C104" i="5"/>
  <c r="C103" i="5"/>
  <c r="C100" i="5"/>
  <c r="K99" i="5"/>
  <c r="K98" i="5"/>
  <c r="C97" i="5"/>
  <c r="C94" i="5"/>
  <c r="E93" i="5"/>
  <c r="F93" i="5" s="1"/>
  <c r="G93" i="5" s="1"/>
  <c r="H93" i="5" s="1"/>
  <c r="I93" i="5" s="1"/>
  <c r="J93" i="5" s="1"/>
  <c r="C93" i="5"/>
  <c r="I92" i="5"/>
  <c r="H92" i="5"/>
  <c r="G92" i="5"/>
  <c r="E92" i="5"/>
  <c r="D92" i="5"/>
  <c r="C92" i="5"/>
  <c r="C91" i="5"/>
  <c r="K90" i="5"/>
  <c r="K89" i="5"/>
  <c r="K88" i="5"/>
  <c r="K87" i="5"/>
  <c r="K86" i="5"/>
  <c r="K85" i="5"/>
  <c r="K84" i="5"/>
  <c r="K83" i="5"/>
  <c r="K82" i="5"/>
  <c r="K81" i="5"/>
  <c r="K80" i="5"/>
  <c r="K78" i="5"/>
  <c r="K77" i="5"/>
  <c r="K76" i="5"/>
  <c r="K75" i="5"/>
  <c r="K74" i="5"/>
  <c r="K73" i="5"/>
  <c r="K72" i="5"/>
  <c r="C61" i="5"/>
  <c r="C60" i="5"/>
  <c r="I56" i="5"/>
  <c r="I68" i="5" s="1"/>
  <c r="H56" i="5"/>
  <c r="B75" i="5" s="1"/>
  <c r="G56" i="5"/>
  <c r="B83" i="5" s="1"/>
  <c r="F56" i="5"/>
  <c r="B73" i="5" s="1"/>
  <c r="E56" i="5"/>
  <c r="E68" i="5" s="1"/>
  <c r="B121" i="5" s="1"/>
  <c r="D56" i="5"/>
  <c r="B71" i="5" s="1"/>
  <c r="K54" i="5"/>
  <c r="K53" i="5"/>
  <c r="K52" i="5"/>
  <c r="G52" i="5"/>
  <c r="F52" i="5"/>
  <c r="E52" i="5"/>
  <c r="D52" i="5"/>
  <c r="C52" i="5"/>
  <c r="Y49" i="5"/>
  <c r="C49" i="5"/>
  <c r="K48" i="5"/>
  <c r="K46" i="5"/>
  <c r="I44" i="5"/>
  <c r="H44" i="5"/>
  <c r="D65" i="5" a="1"/>
  <c r="D65" i="5" s="1"/>
  <c r="K42" i="5"/>
  <c r="G41" i="5"/>
  <c r="F41" i="5"/>
  <c r="E41" i="5"/>
  <c r="D41" i="5"/>
  <c r="C40" i="5"/>
  <c r="I39" i="5"/>
  <c r="H39" i="5"/>
  <c r="C39" i="5"/>
  <c r="I38" i="5"/>
  <c r="H38" i="5"/>
  <c r="C38" i="5"/>
  <c r="K37" i="5"/>
  <c r="K36" i="5"/>
  <c r="J36" i="5"/>
  <c r="C36" i="5"/>
  <c r="B36" i="5"/>
  <c r="K35" i="5"/>
  <c r="J35" i="5"/>
  <c r="C35" i="5"/>
  <c r="B35" i="5"/>
  <c r="K34" i="5"/>
  <c r="J34" i="5"/>
  <c r="C34" i="5"/>
  <c r="B34" i="5"/>
  <c r="K33" i="5"/>
  <c r="J33" i="5"/>
  <c r="C33" i="5"/>
  <c r="B33" i="5"/>
  <c r="K32" i="5"/>
  <c r="C32" i="5"/>
  <c r="B32" i="5"/>
  <c r="K31" i="5"/>
  <c r="C31" i="5"/>
  <c r="B31" i="5"/>
  <c r="K30" i="5"/>
  <c r="J30" i="5"/>
  <c r="C30" i="5"/>
  <c r="B30" i="5"/>
  <c r="K29" i="5"/>
  <c r="C29" i="5"/>
  <c r="B29" i="5"/>
  <c r="C28" i="5"/>
  <c r="B28" i="5"/>
  <c r="K26" i="5"/>
  <c r="K25" i="5"/>
  <c r="K24" i="5"/>
  <c r="I24" i="5"/>
  <c r="H24" i="5"/>
  <c r="G24" i="5"/>
  <c r="G39" i="5" s="1"/>
  <c r="F24" i="5"/>
  <c r="F39" i="5" s="1"/>
  <c r="E24" i="5"/>
  <c r="E39" i="5" s="1"/>
  <c r="E49" i="5" s="1"/>
  <c r="D24" i="5"/>
  <c r="K23" i="5"/>
  <c r="J22" i="5"/>
  <c r="J21" i="5"/>
  <c r="K20" i="5"/>
  <c r="J20" i="5"/>
  <c r="K19" i="5"/>
  <c r="J19" i="5"/>
  <c r="K18" i="5"/>
  <c r="J18" i="5"/>
  <c r="K17" i="5"/>
  <c r="J17" i="5"/>
  <c r="K16" i="5"/>
  <c r="J16" i="5"/>
  <c r="K15" i="5"/>
  <c r="J15" i="5"/>
  <c r="J14" i="5"/>
  <c r="K13" i="5"/>
  <c r="K12" i="5"/>
  <c r="K10" i="5"/>
  <c r="K6" i="5"/>
  <c r="D6" i="5"/>
  <c r="F109" i="5" l="1"/>
  <c r="F110" i="5" s="1"/>
  <c r="J109" i="5"/>
  <c r="J110" i="5" s="1"/>
  <c r="F104" i="5"/>
  <c r="J104" i="5"/>
  <c r="E109" i="5"/>
  <c r="E110" i="5" s="1"/>
  <c r="I109" i="5"/>
  <c r="I110" i="5" s="1"/>
  <c r="E104" i="5"/>
  <c r="I104" i="5"/>
  <c r="G109" i="5"/>
  <c r="G110" i="5" s="1"/>
  <c r="G104" i="5"/>
  <c r="D109" i="5"/>
  <c r="D110" i="5" s="1"/>
  <c r="H109" i="5"/>
  <c r="H110" i="5" s="1"/>
  <c r="D104" i="5"/>
  <c r="K63" i="5"/>
  <c r="H57" i="5"/>
  <c r="J24" i="5"/>
  <c r="G25" i="5" s="1"/>
  <c r="J52" i="5"/>
  <c r="G57" i="5"/>
  <c r="G62" i="5" s="1" a="1"/>
  <c r="G62" i="5" s="1"/>
  <c r="B203" i="5"/>
  <c r="B212" i="5" s="1"/>
  <c r="B219" i="5"/>
  <c r="B140" i="5"/>
  <c r="B124" i="5"/>
  <c r="F49" i="5"/>
  <c r="G38" i="5"/>
  <c r="J32" i="5"/>
  <c r="E57" i="5"/>
  <c r="E62" i="5" s="1" a="1"/>
  <c r="E62" i="5" s="1"/>
  <c r="F68" i="5"/>
  <c r="B143" i="5" s="1"/>
  <c r="B80" i="5"/>
  <c r="B82" i="5"/>
  <c r="B84" i="5"/>
  <c r="K7" i="5"/>
  <c r="D39" i="5"/>
  <c r="G49" i="5"/>
  <c r="F57" i="5"/>
  <c r="F62" i="5" s="1" a="1"/>
  <c r="F62" i="5" s="1"/>
  <c r="G68" i="5"/>
  <c r="B165" i="5" s="1"/>
  <c r="B72" i="5"/>
  <c r="B74" i="5"/>
  <c r="B76" i="5"/>
  <c r="D68" i="5"/>
  <c r="B99" i="5" s="1"/>
  <c r="H68" i="5"/>
  <c r="B187" i="5" s="1"/>
  <c r="B81" i="5"/>
  <c r="B85" i="5"/>
  <c r="K8" i="5"/>
  <c r="F25" i="5" l="1"/>
  <c r="F95" i="5"/>
  <c r="F101" i="5" s="1"/>
  <c r="G95" i="5"/>
  <c r="G101" i="5" s="1"/>
  <c r="I126" i="5"/>
  <c r="E126" i="5"/>
  <c r="I131" i="5"/>
  <c r="I132" i="5" s="1"/>
  <c r="E131" i="5"/>
  <c r="E132" i="5" s="1"/>
  <c r="H126" i="5"/>
  <c r="D126" i="5"/>
  <c r="H131" i="5"/>
  <c r="H132" i="5" s="1"/>
  <c r="D131" i="5"/>
  <c r="D132" i="5" s="1"/>
  <c r="G126" i="5"/>
  <c r="G131" i="5"/>
  <c r="G132" i="5" s="1"/>
  <c r="J126" i="5"/>
  <c r="F126" i="5"/>
  <c r="J131" i="5"/>
  <c r="J132" i="5" s="1"/>
  <c r="F131" i="5"/>
  <c r="F132" i="5" s="1"/>
  <c r="G170" i="5"/>
  <c r="G175" i="5"/>
  <c r="G176" i="5" s="1"/>
  <c r="J170" i="5"/>
  <c r="F170" i="5"/>
  <c r="D170" i="5"/>
  <c r="J175" i="5"/>
  <c r="J176" i="5" s="1"/>
  <c r="F175" i="5"/>
  <c r="F176" i="5" s="1"/>
  <c r="I170" i="5"/>
  <c r="E170" i="5"/>
  <c r="I175" i="5"/>
  <c r="I176" i="5" s="1"/>
  <c r="E175" i="5"/>
  <c r="E176" i="5" s="1"/>
  <c r="H170" i="5"/>
  <c r="H175" i="5"/>
  <c r="H176" i="5" s="1"/>
  <c r="D175" i="5"/>
  <c r="D176" i="5" s="1"/>
  <c r="I148" i="5"/>
  <c r="E148" i="5"/>
  <c r="J153" i="5"/>
  <c r="J154" i="5" s="1"/>
  <c r="F153" i="5"/>
  <c r="F154" i="5" s="1"/>
  <c r="H148" i="5"/>
  <c r="I153" i="5"/>
  <c r="I154" i="5" s="1"/>
  <c r="E153" i="5"/>
  <c r="E154" i="5" s="1"/>
  <c r="G148" i="5"/>
  <c r="D148" i="5"/>
  <c r="H153" i="5"/>
  <c r="H154" i="5" s="1"/>
  <c r="D153" i="5"/>
  <c r="D154" i="5" s="1"/>
  <c r="J148" i="5"/>
  <c r="F148" i="5"/>
  <c r="G153" i="5"/>
  <c r="G154" i="5" s="1"/>
  <c r="K64" i="5"/>
  <c r="D25" i="5"/>
  <c r="I25" i="5"/>
  <c r="G91" i="5"/>
  <c r="F91" i="5" s="1"/>
  <c r="F94" i="5" s="1"/>
  <c r="E95" i="5"/>
  <c r="E101" i="5" s="1"/>
  <c r="H95" i="5"/>
  <c r="H101" i="5" s="1"/>
  <c r="I95" i="5"/>
  <c r="I101" i="5" s="1"/>
  <c r="J25" i="5"/>
  <c r="D95" i="5"/>
  <c r="D101" i="5" s="1"/>
  <c r="J95" i="5"/>
  <c r="J101" i="5" s="1"/>
  <c r="G59" i="5" a="1"/>
  <c r="G59" i="5" s="1"/>
  <c r="G63" i="5" s="1" a="1"/>
  <c r="G63" i="5" s="1"/>
  <c r="H25" i="5"/>
  <c r="H59" i="5" a="1"/>
  <c r="H59" i="5" s="1"/>
  <c r="I57" i="5"/>
  <c r="I62" i="5" s="1" a="1"/>
  <c r="I62" i="5" s="1"/>
  <c r="H62" i="5" a="1"/>
  <c r="H62" i="5" s="1"/>
  <c r="E25" i="5"/>
  <c r="B218" i="5"/>
  <c r="B202" i="5"/>
  <c r="B211" i="5" s="1"/>
  <c r="B118" i="5"/>
  <c r="B102" i="5"/>
  <c r="I60" i="5" a="1"/>
  <c r="I60" i="5" s="1"/>
  <c r="G60" i="5" a="1"/>
  <c r="G60" i="5" s="1"/>
  <c r="E60" i="5" a="1"/>
  <c r="E60" i="5" s="1"/>
  <c r="J39" i="5"/>
  <c r="D49" i="5"/>
  <c r="H60" i="5" a="1"/>
  <c r="H60" i="5" s="1"/>
  <c r="F60" i="5" a="1"/>
  <c r="F60" i="5" s="1"/>
  <c r="D60" i="5" a="1"/>
  <c r="D60" i="5" s="1"/>
  <c r="K9" i="5"/>
  <c r="B205" i="5"/>
  <c r="B214" i="5" s="1"/>
  <c r="B184" i="5"/>
  <c r="B221" i="5"/>
  <c r="B168" i="5"/>
  <c r="J29" i="5"/>
  <c r="E38" i="5"/>
  <c r="B220" i="5"/>
  <c r="B204" i="5"/>
  <c r="B213" i="5" s="1"/>
  <c r="B162" i="5"/>
  <c r="B146" i="5"/>
  <c r="J31" i="5"/>
  <c r="F38" i="5"/>
  <c r="B222" i="5"/>
  <c r="B206" i="5"/>
  <c r="B215" i="5" s="1"/>
  <c r="B195" i="5"/>
  <c r="H67" i="5" l="1" a="1"/>
  <c r="H67" i="5" s="1"/>
  <c r="H66" i="5" a="1"/>
  <c r="H66" i="5" s="1"/>
  <c r="H64" i="5" a="1"/>
  <c r="H64" i="5" s="1"/>
  <c r="H63" i="5" a="1"/>
  <c r="H63" i="5" s="1"/>
  <c r="G67" i="5" a="1"/>
  <c r="G67" i="5" s="1"/>
  <c r="G64" i="5" a="1"/>
  <c r="G64" i="5" s="1"/>
  <c r="G66" i="5" a="1"/>
  <c r="G66" i="5" s="1"/>
  <c r="H191" i="5"/>
  <c r="E191" i="5"/>
  <c r="F191" i="5"/>
  <c r="D191" i="5"/>
  <c r="I191" i="5"/>
  <c r="J191" i="5"/>
  <c r="G191" i="5"/>
  <c r="E91" i="5"/>
  <c r="E94" i="5" s="1"/>
  <c r="G94" i="5"/>
  <c r="H91" i="5"/>
  <c r="H76" i="5" a="1"/>
  <c r="H76" i="5" s="1"/>
  <c r="G76" i="5" a="1"/>
  <c r="G76" i="5" s="1"/>
  <c r="H75" i="5" a="1"/>
  <c r="H75" i="5" s="1"/>
  <c r="E59" i="5" a="1"/>
  <c r="E59" i="5" s="1"/>
  <c r="F59" i="5" a="1"/>
  <c r="F59" i="5" s="1"/>
  <c r="F75" i="5" s="1" a="1"/>
  <c r="F75" i="5" s="1"/>
  <c r="D59" i="5" a="1"/>
  <c r="D59" i="5" s="1"/>
  <c r="H74" i="5" a="1"/>
  <c r="H74" i="5" s="1"/>
  <c r="H73" i="5" a="1"/>
  <c r="H73" i="5" s="1"/>
  <c r="H71" i="5" a="1"/>
  <c r="H71" i="5" s="1"/>
  <c r="H72" i="5" a="1"/>
  <c r="H72" i="5" s="1"/>
  <c r="I59" i="5" a="1"/>
  <c r="I59" i="5" s="1"/>
  <c r="I63" i="5" s="1" a="1"/>
  <c r="I63" i="5" s="1"/>
  <c r="G74" i="5" a="1"/>
  <c r="G74" i="5" s="1"/>
  <c r="J146" i="5"/>
  <c r="D38" i="5"/>
  <c r="J38" i="5" s="1"/>
  <c r="J28" i="5"/>
  <c r="K11" i="5"/>
  <c r="J60" i="5"/>
  <c r="G61" i="5" a="1"/>
  <c r="G61" i="5" s="1"/>
  <c r="G83" i="5" s="1" a="1"/>
  <c r="G83" i="5" s="1"/>
  <c r="I61" i="5" a="1"/>
  <c r="I61" i="5" s="1"/>
  <c r="E61" i="5" a="1"/>
  <c r="E61" i="5" s="1"/>
  <c r="J49" i="5"/>
  <c r="F61" i="5" a="1"/>
  <c r="F61" i="5" s="1"/>
  <c r="F82" i="5" s="1" a="1"/>
  <c r="F82" i="5" s="1"/>
  <c r="H61" i="5" a="1"/>
  <c r="H61" i="5" s="1"/>
  <c r="H85" i="5" s="1" a="1"/>
  <c r="H85" i="5" s="1"/>
  <c r="D61" i="5" a="1"/>
  <c r="D61" i="5" s="1"/>
  <c r="D103" i="5" s="1"/>
  <c r="I168" i="5"/>
  <c r="E168" i="5"/>
  <c r="H168" i="5"/>
  <c r="D168" i="5"/>
  <c r="G168" i="5"/>
  <c r="J168" i="5"/>
  <c r="F168" i="5"/>
  <c r="G71" i="5" a="1"/>
  <c r="G71" i="5" s="1"/>
  <c r="G73" i="5" a="1"/>
  <c r="G73" i="5" s="1"/>
  <c r="G75" i="5" a="1"/>
  <c r="G75" i="5" s="1"/>
  <c r="F72" i="5" a="1"/>
  <c r="F72" i="5" s="1"/>
  <c r="F96" i="5"/>
  <c r="F100" i="5"/>
  <c r="F97" i="5"/>
  <c r="G72" i="5" a="1"/>
  <c r="G72" i="5" s="1"/>
  <c r="F174" i="5" l="1"/>
  <c r="E66" i="5" a="1"/>
  <c r="E66" i="5" s="1"/>
  <c r="E64" i="5" a="1"/>
  <c r="E64" i="5" s="1"/>
  <c r="E67" i="5" a="1"/>
  <c r="E67" i="5" s="1"/>
  <c r="E63" i="5" a="1"/>
  <c r="E63" i="5" s="1"/>
  <c r="F76" i="5" a="1"/>
  <c r="F76" i="5" s="1"/>
  <c r="F190" i="5"/>
  <c r="I66" i="5" a="1"/>
  <c r="I66" i="5" s="1"/>
  <c r="I64" i="5" a="1"/>
  <c r="I64" i="5" s="1"/>
  <c r="I67" i="5" a="1"/>
  <c r="I67" i="5" s="1"/>
  <c r="I146" i="5"/>
  <c r="F64" i="5" a="1"/>
  <c r="F64" i="5" s="1"/>
  <c r="F67" i="5" a="1"/>
  <c r="F67" i="5" s="1"/>
  <c r="F66" i="5" a="1"/>
  <c r="F66" i="5" s="1"/>
  <c r="F63" i="5" a="1"/>
  <c r="F63" i="5" s="1"/>
  <c r="F74" i="5" a="1"/>
  <c r="F74" i="5" s="1"/>
  <c r="D146" i="5"/>
  <c r="D66" i="5" a="1"/>
  <c r="D66" i="5" s="1"/>
  <c r="D64" i="5" a="1"/>
  <c r="D64" i="5" s="1"/>
  <c r="D63" i="5" a="1"/>
  <c r="D63" i="5" s="1"/>
  <c r="D67" i="5" a="1"/>
  <c r="D67" i="5" s="1"/>
  <c r="G174" i="5"/>
  <c r="E174" i="5"/>
  <c r="D91" i="5"/>
  <c r="D94" i="5" s="1"/>
  <c r="D100" i="5" s="1"/>
  <c r="H94" i="5"/>
  <c r="I91" i="5"/>
  <c r="G97" i="5"/>
  <c r="G100" i="5"/>
  <c r="G96" i="5"/>
  <c r="F71" i="5" a="1"/>
  <c r="F71" i="5" s="1"/>
  <c r="E146" i="5"/>
  <c r="H146" i="5"/>
  <c r="H77" i="5"/>
  <c r="I73" i="5" a="1"/>
  <c r="I73" i="5" s="1"/>
  <c r="F73" i="5" a="1"/>
  <c r="F73" i="5" s="1"/>
  <c r="G146" i="5"/>
  <c r="G152" i="5" s="1"/>
  <c r="F146" i="5"/>
  <c r="H190" i="5"/>
  <c r="D124" i="5"/>
  <c r="E73" i="5" a="1"/>
  <c r="E73" i="5" s="1"/>
  <c r="I124" i="5"/>
  <c r="E124" i="5"/>
  <c r="J124" i="5"/>
  <c r="E71" i="5" a="1"/>
  <c r="E71" i="5" s="1"/>
  <c r="E75" i="5" a="1"/>
  <c r="E75" i="5" s="1"/>
  <c r="G124" i="5"/>
  <c r="E76" i="5" a="1"/>
  <c r="E76" i="5" s="1"/>
  <c r="E72" i="5" a="1"/>
  <c r="E72" i="5" s="1"/>
  <c r="H124" i="5"/>
  <c r="F124" i="5"/>
  <c r="E74" i="5" a="1"/>
  <c r="E74" i="5" s="1"/>
  <c r="I71" i="5" a="1"/>
  <c r="I71" i="5" s="1"/>
  <c r="I76" i="5" a="1"/>
  <c r="I76" i="5" s="1"/>
  <c r="I72" i="5" a="1"/>
  <c r="I72" i="5" s="1"/>
  <c r="I74" i="5" a="1"/>
  <c r="I74" i="5" s="1"/>
  <c r="D190" i="5"/>
  <c r="J190" i="5"/>
  <c r="I75" i="5" a="1"/>
  <c r="I75" i="5" s="1"/>
  <c r="I190" i="5"/>
  <c r="J59" i="5"/>
  <c r="E102" i="5"/>
  <c r="D76" i="5" a="1"/>
  <c r="D76" i="5" s="1"/>
  <c r="D74" i="5" a="1"/>
  <c r="D74" i="5" s="1"/>
  <c r="D102" i="5"/>
  <c r="G102" i="5"/>
  <c r="D71" i="5" a="1"/>
  <c r="D71" i="5" s="1"/>
  <c r="I102" i="5"/>
  <c r="J102" i="5"/>
  <c r="F102" i="5"/>
  <c r="D75" i="5" a="1"/>
  <c r="D75" i="5" s="1"/>
  <c r="H102" i="5"/>
  <c r="D72" i="5" a="1"/>
  <c r="D72" i="5" s="1"/>
  <c r="D73" i="5" a="1"/>
  <c r="D73" i="5" s="1"/>
  <c r="E190" i="5"/>
  <c r="G190" i="5"/>
  <c r="H83" i="5" a="1"/>
  <c r="H83" i="5" s="1"/>
  <c r="H82" i="5" a="1"/>
  <c r="H82" i="5" s="1"/>
  <c r="H80" i="5" a="1"/>
  <c r="H80" i="5" s="1"/>
  <c r="H81" i="5" a="1"/>
  <c r="H81" i="5" s="1"/>
  <c r="H84" i="5" a="1"/>
  <c r="H84" i="5" s="1"/>
  <c r="I83" i="5" a="1"/>
  <c r="I83" i="5" s="1"/>
  <c r="I85" i="5" a="1"/>
  <c r="I85" i="5" s="1"/>
  <c r="I81" i="5" a="1"/>
  <c r="I81" i="5" s="1"/>
  <c r="I82" i="5" a="1"/>
  <c r="I82" i="5" s="1"/>
  <c r="I84" i="5" a="1"/>
  <c r="I84" i="5" s="1"/>
  <c r="I80" i="5" a="1"/>
  <c r="I80" i="5" s="1"/>
  <c r="H103" i="5"/>
  <c r="G103" i="5"/>
  <c r="F103" i="5"/>
  <c r="F105" i="5" s="1"/>
  <c r="E103" i="5"/>
  <c r="J103" i="5"/>
  <c r="I103" i="5"/>
  <c r="J61" i="5"/>
  <c r="D83" i="5" a="1"/>
  <c r="D83" i="5" s="1"/>
  <c r="D80" i="5" a="1"/>
  <c r="D80" i="5" s="1"/>
  <c r="D82" i="5" a="1"/>
  <c r="D82" i="5" s="1"/>
  <c r="D85" i="5" a="1"/>
  <c r="D85" i="5" s="1"/>
  <c r="D81" i="5" a="1"/>
  <c r="D81" i="5" s="1"/>
  <c r="D84" i="5" a="1"/>
  <c r="D84" i="5" s="1"/>
  <c r="H125" i="5"/>
  <c r="D125" i="5"/>
  <c r="G125" i="5"/>
  <c r="J125" i="5"/>
  <c r="F125" i="5"/>
  <c r="I125" i="5"/>
  <c r="E125" i="5"/>
  <c r="E83" i="5" a="1"/>
  <c r="E83" i="5" s="1"/>
  <c r="E84" i="5" a="1"/>
  <c r="E84" i="5" s="1"/>
  <c r="E80" i="5" a="1"/>
  <c r="E80" i="5" s="1"/>
  <c r="E85" i="5" a="1"/>
  <c r="E85" i="5" s="1"/>
  <c r="E81" i="5" a="1"/>
  <c r="E81" i="5" s="1"/>
  <c r="E82" i="5" a="1"/>
  <c r="E82" i="5" s="1"/>
  <c r="K14" i="5"/>
  <c r="K21" i="5" s="1"/>
  <c r="G77" i="5"/>
  <c r="H147" i="5"/>
  <c r="D147" i="5"/>
  <c r="G147" i="5"/>
  <c r="F147" i="5"/>
  <c r="J147" i="5"/>
  <c r="E147" i="5"/>
  <c r="I147" i="5"/>
  <c r="F83" i="5" a="1"/>
  <c r="F83" i="5" s="1"/>
  <c r="F80" i="5" a="1"/>
  <c r="F80" i="5" s="1"/>
  <c r="F85" i="5" a="1"/>
  <c r="F85" i="5" s="1"/>
  <c r="F81" i="5" a="1"/>
  <c r="F81" i="5" s="1"/>
  <c r="F84" i="5" a="1"/>
  <c r="F84" i="5" s="1"/>
  <c r="H169" i="5"/>
  <c r="D169" i="5"/>
  <c r="G169" i="5"/>
  <c r="J169" i="5"/>
  <c r="F169" i="5"/>
  <c r="I169" i="5"/>
  <c r="E169" i="5"/>
  <c r="G80" i="5" a="1"/>
  <c r="G80" i="5" s="1"/>
  <c r="G85" i="5" a="1"/>
  <c r="G85" i="5" s="1"/>
  <c r="G81" i="5" a="1"/>
  <c r="G81" i="5" s="1"/>
  <c r="G82" i="5" a="1"/>
  <c r="G82" i="5" s="1"/>
  <c r="G84" i="5" a="1"/>
  <c r="G84" i="5" s="1"/>
  <c r="E100" i="5"/>
  <c r="E97" i="5"/>
  <c r="E96" i="5"/>
  <c r="F130" i="5" l="1"/>
  <c r="G130" i="5"/>
  <c r="G108" i="5"/>
  <c r="G218" i="5" s="1"/>
  <c r="E130" i="5"/>
  <c r="E108" i="5"/>
  <c r="E152" i="5"/>
  <c r="E105" i="5"/>
  <c r="E111" i="5" s="1"/>
  <c r="F108" i="5"/>
  <c r="F106" i="5"/>
  <c r="F152" i="5"/>
  <c r="G106" i="5"/>
  <c r="G112" i="5" s="1"/>
  <c r="D130" i="5"/>
  <c r="D108" i="5"/>
  <c r="D218" i="5" s="1"/>
  <c r="D152" i="5"/>
  <c r="D174" i="5"/>
  <c r="D106" i="5"/>
  <c r="D112" i="5" s="1"/>
  <c r="D97" i="5"/>
  <c r="E106" i="5"/>
  <c r="E112" i="5" s="1"/>
  <c r="D96" i="5"/>
  <c r="F114" i="5"/>
  <c r="F117" i="5" s="1"/>
  <c r="H130" i="5"/>
  <c r="H108" i="5"/>
  <c r="H152" i="5"/>
  <c r="H174" i="5"/>
  <c r="F77" i="5"/>
  <c r="I94" i="5"/>
  <c r="J91" i="5"/>
  <c r="J94" i="5" s="1"/>
  <c r="H97" i="5"/>
  <c r="H100" i="5"/>
  <c r="H106" i="5" s="1"/>
  <c r="H96" i="5"/>
  <c r="H105" i="5"/>
  <c r="H111" i="5" s="1"/>
  <c r="F218" i="5"/>
  <c r="I77" i="5"/>
  <c r="E77" i="5"/>
  <c r="F112" i="5"/>
  <c r="D77" i="5"/>
  <c r="K22" i="5"/>
  <c r="K27" i="5"/>
  <c r="K28" i="5" s="1"/>
  <c r="E218" i="5"/>
  <c r="F111" i="5"/>
  <c r="D105" i="5"/>
  <c r="E86" i="5"/>
  <c r="F86" i="5"/>
  <c r="G105" i="5"/>
  <c r="G86" i="5"/>
  <c r="D86" i="5"/>
  <c r="I86" i="5"/>
  <c r="H86" i="5"/>
  <c r="H218" i="5" l="1"/>
  <c r="G114" i="5"/>
  <c r="G117" i="5" s="1"/>
  <c r="E114" i="5"/>
  <c r="E117" i="5" s="1"/>
  <c r="D114" i="5"/>
  <c r="D117" i="5" s="1"/>
  <c r="F115" i="5"/>
  <c r="J152" i="5"/>
  <c r="J174" i="5"/>
  <c r="J130" i="5"/>
  <c r="J108" i="5"/>
  <c r="H114" i="5"/>
  <c r="H117" i="5" s="1"/>
  <c r="I108" i="5"/>
  <c r="I152" i="5"/>
  <c r="I174" i="5"/>
  <c r="I130" i="5"/>
  <c r="G115" i="5"/>
  <c r="H112" i="5"/>
  <c r="I97" i="5"/>
  <c r="I96" i="5"/>
  <c r="I100" i="5"/>
  <c r="I106" i="5" s="1"/>
  <c r="J100" i="5"/>
  <c r="J105" i="5" s="1"/>
  <c r="J97" i="5"/>
  <c r="J96" i="5"/>
  <c r="K38" i="5"/>
  <c r="K39" i="5" s="1"/>
  <c r="G111" i="5"/>
  <c r="D111" i="5"/>
  <c r="J106" i="5" l="1"/>
  <c r="J112" i="5" s="1"/>
  <c r="E115" i="5"/>
  <c r="E123" i="5" s="1"/>
  <c r="J114" i="5"/>
  <c r="J117" i="5" s="1"/>
  <c r="D115" i="5"/>
  <c r="H115" i="5"/>
  <c r="H123" i="5" s="1"/>
  <c r="J218" i="5"/>
  <c r="I112" i="5"/>
  <c r="I105" i="5"/>
  <c r="I114" i="5" s="1"/>
  <c r="I117" i="5" s="1"/>
  <c r="J111" i="5"/>
  <c r="I218" i="5"/>
  <c r="F116" i="5"/>
  <c r="F122" i="5" s="1"/>
  <c r="F123" i="5"/>
  <c r="K40" i="5"/>
  <c r="K41" i="5" s="1"/>
  <c r="K43" i="5" s="1"/>
  <c r="K44" i="5" s="1"/>
  <c r="H116" i="5" l="1"/>
  <c r="H122" i="5" s="1"/>
  <c r="H128" i="5" s="1"/>
  <c r="H134" i="5" s="1"/>
  <c r="E116" i="5"/>
  <c r="E122" i="5" s="1"/>
  <c r="E127" i="5" s="1"/>
  <c r="J115" i="5"/>
  <c r="I115" i="5"/>
  <c r="F128" i="5"/>
  <c r="F134" i="5" s="1"/>
  <c r="F118" i="5"/>
  <c r="I111" i="5"/>
  <c r="D116" i="5"/>
  <c r="D118" i="5" s="1"/>
  <c r="D123" i="5"/>
  <c r="G116" i="5"/>
  <c r="G122" i="5" s="1"/>
  <c r="G123" i="5"/>
  <c r="K45" i="5"/>
  <c r="K47" i="5" s="1"/>
  <c r="K49" i="5" s="1"/>
  <c r="K50" i="5" s="1"/>
  <c r="K51" i="5" s="1"/>
  <c r="K55" i="5" s="1"/>
  <c r="K56" i="5" s="1"/>
  <c r="K57" i="5" s="1"/>
  <c r="F127" i="5"/>
  <c r="F219" i="5"/>
  <c r="H127" i="5" l="1"/>
  <c r="H118" i="5"/>
  <c r="H119" i="5" s="1"/>
  <c r="H219" i="5"/>
  <c r="E219" i="5"/>
  <c r="E128" i="5"/>
  <c r="E134" i="5" s="1"/>
  <c r="E118" i="5"/>
  <c r="E119" i="5" s="1"/>
  <c r="G128" i="5"/>
  <c r="G134" i="5" s="1"/>
  <c r="G118" i="5"/>
  <c r="G119" i="5" s="1"/>
  <c r="E136" i="5"/>
  <c r="E139" i="5" s="1"/>
  <c r="H136" i="5"/>
  <c r="H139" i="5" s="1"/>
  <c r="D122" i="5"/>
  <c r="D127" i="5" s="1"/>
  <c r="F136" i="5"/>
  <c r="F139" i="5" s="1"/>
  <c r="J116" i="5"/>
  <c r="J123" i="5"/>
  <c r="K59" i="5"/>
  <c r="K60" i="5" s="1"/>
  <c r="K79" i="5" s="1"/>
  <c r="D119" i="5"/>
  <c r="G127" i="5"/>
  <c r="G219" i="5"/>
  <c r="F133" i="5"/>
  <c r="F119" i="5"/>
  <c r="H133" i="5"/>
  <c r="E133" i="5"/>
  <c r="K91" i="5" l="1"/>
  <c r="K92" i="5" s="1"/>
  <c r="K93" i="5" s="1"/>
  <c r="K94" i="5" s="1"/>
  <c r="K95" i="5" s="1"/>
  <c r="K96" i="5" s="1"/>
  <c r="K97"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J118" i="5"/>
  <c r="J119" i="5" s="1"/>
  <c r="J122" i="5"/>
  <c r="J128" i="5" s="1"/>
  <c r="H137" i="5"/>
  <c r="E137" i="5"/>
  <c r="F137" i="5"/>
  <c r="D128" i="5"/>
  <c r="D134" i="5" s="1"/>
  <c r="D136" i="5"/>
  <c r="D139" i="5" s="1"/>
  <c r="D219" i="5"/>
  <c r="G136" i="5"/>
  <c r="G139" i="5" s="1"/>
  <c r="I123" i="5"/>
  <c r="I116" i="5"/>
  <c r="G133" i="5"/>
  <c r="D133" i="5"/>
  <c r="K198" i="5" l="1"/>
  <c r="K199" i="5" s="1"/>
  <c r="I122" i="5"/>
  <c r="I128" i="5" s="1"/>
  <c r="I134" i="5" s="1"/>
  <c r="G137" i="5"/>
  <c r="D137" i="5"/>
  <c r="I118" i="5"/>
  <c r="I119" i="5" s="1"/>
  <c r="J134" i="5"/>
  <c r="J127" i="5"/>
  <c r="J219" i="5"/>
  <c r="H138" i="5"/>
  <c r="H145" i="5"/>
  <c r="F138" i="5"/>
  <c r="F145" i="5"/>
  <c r="E138" i="5"/>
  <c r="E145" i="5"/>
  <c r="E144" i="5" l="1"/>
  <c r="E140" i="5"/>
  <c r="H144" i="5"/>
  <c r="H140" i="5"/>
  <c r="F144" i="5"/>
  <c r="F140" i="5"/>
  <c r="K208" i="5"/>
  <c r="K207" i="5"/>
  <c r="I127" i="5"/>
  <c r="I136" i="5" s="1"/>
  <c r="I139" i="5" s="1"/>
  <c r="I219" i="5"/>
  <c r="J136" i="5"/>
  <c r="J139" i="5" s="1"/>
  <c r="J133" i="5"/>
  <c r="G138" i="5"/>
  <c r="G145" i="5"/>
  <c r="D138" i="5"/>
  <c r="D145" i="5"/>
  <c r="G144" i="5" l="1"/>
  <c r="G140" i="5"/>
  <c r="D144" i="5"/>
  <c r="D140" i="5"/>
  <c r="I133" i="5"/>
  <c r="K218" i="5"/>
  <c r="K225" i="5" s="1"/>
  <c r="K226" i="5"/>
  <c r="K237" i="5" s="1"/>
  <c r="I137" i="5"/>
  <c r="J137" i="5"/>
  <c r="E150" i="5"/>
  <c r="E156" i="5" s="1"/>
  <c r="H150" i="5"/>
  <c r="H156" i="5" s="1"/>
  <c r="F150" i="5"/>
  <c r="F156" i="5" s="1"/>
  <c r="E141" i="5"/>
  <c r="H149" i="5"/>
  <c r="H220" i="5"/>
  <c r="H141" i="5"/>
  <c r="E149" i="5"/>
  <c r="E220" i="5"/>
  <c r="F149" i="5"/>
  <c r="F220" i="5"/>
  <c r="F141" i="5"/>
  <c r="K238" i="5" l="1"/>
  <c r="K252" i="5" s="1"/>
  <c r="D150" i="5"/>
  <c r="D156" i="5" s="1"/>
  <c r="G150" i="5"/>
  <c r="G156" i="5" s="1"/>
  <c r="F158" i="5"/>
  <c r="F161" i="5" s="1"/>
  <c r="H158" i="5"/>
  <c r="H161" i="5" s="1"/>
  <c r="E158" i="5"/>
  <c r="E161" i="5" s="1"/>
  <c r="I138" i="5"/>
  <c r="I145" i="5"/>
  <c r="J138" i="5"/>
  <c r="J145" i="5"/>
  <c r="F155" i="5"/>
  <c r="D149" i="5"/>
  <c r="D220" i="5"/>
  <c r="D141" i="5"/>
  <c r="E155" i="5"/>
  <c r="H155" i="5"/>
  <c r="G149" i="5"/>
  <c r="G220" i="5"/>
  <c r="G141" i="5"/>
  <c r="I144" i="5" l="1"/>
  <c r="I140" i="5"/>
  <c r="I141" i="5" s="1"/>
  <c r="J144" i="5"/>
  <c r="J140" i="5"/>
  <c r="J141" i="5" s="1"/>
  <c r="K264" i="5"/>
  <c r="K293" i="5" s="1"/>
  <c r="K324" i="5" s="1"/>
  <c r="K325" i="5" s="1"/>
  <c r="K330" i="5" s="1"/>
  <c r="H159" i="5"/>
  <c r="F159" i="5"/>
  <c r="E159" i="5"/>
  <c r="D158" i="5"/>
  <c r="D161" i="5" s="1"/>
  <c r="G158" i="5"/>
  <c r="G161" i="5" s="1"/>
  <c r="J150" i="5"/>
  <c r="I150" i="5"/>
  <c r="G155" i="5"/>
  <c r="D155" i="5"/>
  <c r="G159" i="5" l="1"/>
  <c r="D159" i="5"/>
  <c r="I156" i="5"/>
  <c r="I149" i="5"/>
  <c r="I220" i="5"/>
  <c r="J156" i="5"/>
  <c r="J149" i="5"/>
  <c r="J220" i="5"/>
  <c r="H160" i="5"/>
  <c r="H162" i="5" s="1"/>
  <c r="H167" i="5"/>
  <c r="E160" i="5"/>
  <c r="E162" i="5" s="1"/>
  <c r="E167" i="5"/>
  <c r="F160" i="5"/>
  <c r="F162" i="5" s="1"/>
  <c r="F167" i="5"/>
  <c r="H166" i="5" l="1"/>
  <c r="E166" i="5"/>
  <c r="F166" i="5"/>
  <c r="I158" i="5"/>
  <c r="I161" i="5" s="1"/>
  <c r="J158" i="5"/>
  <c r="J161" i="5" s="1"/>
  <c r="I155" i="5"/>
  <c r="J155" i="5"/>
  <c r="G160" i="5"/>
  <c r="G162" i="5" s="1"/>
  <c r="G167" i="5"/>
  <c r="D160" i="5"/>
  <c r="D162" i="5" s="1"/>
  <c r="D167" i="5"/>
  <c r="G166" i="5" l="1"/>
  <c r="D166" i="5"/>
  <c r="J159" i="5"/>
  <c r="I159" i="5"/>
  <c r="H172" i="5"/>
  <c r="H178" i="5" s="1"/>
  <c r="E172" i="5"/>
  <c r="E178" i="5" s="1"/>
  <c r="F172" i="5"/>
  <c r="F178" i="5" s="1"/>
  <c r="H163" i="5"/>
  <c r="E171" i="5"/>
  <c r="E221" i="5"/>
  <c r="E223" i="5" s="1"/>
  <c r="H171" i="5"/>
  <c r="H221" i="5"/>
  <c r="H223" i="5" s="1"/>
  <c r="E163" i="5"/>
  <c r="F171" i="5"/>
  <c r="F221" i="5"/>
  <c r="F223" i="5" s="1"/>
  <c r="F163" i="5"/>
  <c r="D172" i="5" l="1"/>
  <c r="D178" i="5" s="1"/>
  <c r="G172" i="5"/>
  <c r="G178" i="5" s="1"/>
  <c r="E180" i="5"/>
  <c r="E183" i="5" s="1"/>
  <c r="F180" i="5"/>
  <c r="F183" i="5" s="1"/>
  <c r="H180" i="5"/>
  <c r="H183" i="5" s="1"/>
  <c r="I160" i="5"/>
  <c r="I162" i="5" s="1"/>
  <c r="I167" i="5"/>
  <c r="J160" i="5"/>
  <c r="J162" i="5" s="1"/>
  <c r="J167" i="5"/>
  <c r="D163" i="5"/>
  <c r="F177" i="5"/>
  <c r="H177" i="5"/>
  <c r="E177" i="5"/>
  <c r="D171" i="5"/>
  <c r="D221" i="5"/>
  <c r="D223" i="5" s="1"/>
  <c r="G171" i="5"/>
  <c r="G221" i="5"/>
  <c r="G223" i="5" s="1"/>
  <c r="G163" i="5"/>
  <c r="J163" i="5" l="1"/>
  <c r="J166" i="5"/>
  <c r="J172" i="5" s="1"/>
  <c r="I163" i="5"/>
  <c r="I166" i="5"/>
  <c r="I172" i="5" s="1"/>
  <c r="F181" i="5"/>
  <c r="E181" i="5"/>
  <c r="H181" i="5"/>
  <c r="D180" i="5"/>
  <c r="D183" i="5" s="1"/>
  <c r="G180" i="5"/>
  <c r="G183" i="5" s="1"/>
  <c r="D177" i="5"/>
  <c r="G177" i="5"/>
  <c r="G181" i="5" l="1"/>
  <c r="D181" i="5"/>
  <c r="I178" i="5"/>
  <c r="I171" i="5"/>
  <c r="I221" i="5"/>
  <c r="I223" i="5" s="1"/>
  <c r="J178" i="5"/>
  <c r="J221" i="5"/>
  <c r="J223" i="5" s="1"/>
  <c r="J171" i="5"/>
  <c r="F182" i="5"/>
  <c r="F184" i="5" s="1"/>
  <c r="F192" i="5"/>
  <c r="F193" i="5" s="1"/>
  <c r="F189" i="5"/>
  <c r="E182" i="5"/>
  <c r="E184" i="5" s="1"/>
  <c r="E192" i="5"/>
  <c r="E193" i="5" s="1"/>
  <c r="E189" i="5"/>
  <c r="H182" i="5"/>
  <c r="H184" i="5" s="1"/>
  <c r="H192" i="5"/>
  <c r="H193" i="5" s="1"/>
  <c r="H189" i="5"/>
  <c r="J180" i="5" l="1"/>
  <c r="J183" i="5" s="1"/>
  <c r="I180" i="5"/>
  <c r="I183" i="5" s="1"/>
  <c r="J177" i="5"/>
  <c r="I177" i="5"/>
  <c r="F188" i="5"/>
  <c r="F194" i="5" s="1"/>
  <c r="F196" i="5" s="1"/>
  <c r="G182" i="5"/>
  <c r="G184" i="5" s="1"/>
  <c r="G192" i="5"/>
  <c r="G193" i="5" s="1"/>
  <c r="G189" i="5"/>
  <c r="H188" i="5"/>
  <c r="H194" i="5" s="1"/>
  <c r="H196" i="5" s="1"/>
  <c r="E188" i="5"/>
  <c r="E194" i="5" s="1"/>
  <c r="E196" i="5" s="1"/>
  <c r="D182" i="5"/>
  <c r="D184" i="5" s="1"/>
  <c r="D192" i="5"/>
  <c r="D193" i="5" s="1"/>
  <c r="D189" i="5"/>
  <c r="I181" i="5" l="1"/>
  <c r="J181" i="5"/>
  <c r="E185" i="5"/>
  <c r="H173" i="5"/>
  <c r="H179" i="5" s="1"/>
  <c r="H151" i="5"/>
  <c r="H157" i="5" s="1"/>
  <c r="H195" i="5"/>
  <c r="H198" i="5" s="1"/>
  <c r="H199" i="5" s="1"/>
  <c r="H129" i="5"/>
  <c r="H135" i="5" s="1"/>
  <c r="H107" i="5"/>
  <c r="H113" i="5" s="1"/>
  <c r="D188" i="5"/>
  <c r="D194" i="5" s="1"/>
  <c r="D196" i="5" s="1"/>
  <c r="H185" i="5"/>
  <c r="F195" i="5"/>
  <c r="F198" i="5" s="1"/>
  <c r="F199" i="5" s="1"/>
  <c r="F173" i="5"/>
  <c r="F179" i="5" s="1"/>
  <c r="F151" i="5"/>
  <c r="F157" i="5" s="1"/>
  <c r="F129" i="5"/>
  <c r="F135" i="5" s="1"/>
  <c r="F107" i="5"/>
  <c r="F113" i="5" s="1"/>
  <c r="E195" i="5"/>
  <c r="E198" i="5" s="1"/>
  <c r="E199" i="5" s="1"/>
  <c r="E173" i="5"/>
  <c r="E179" i="5" s="1"/>
  <c r="E151" i="5"/>
  <c r="E157" i="5" s="1"/>
  <c r="E129" i="5"/>
  <c r="E135" i="5" s="1"/>
  <c r="E107" i="5"/>
  <c r="E113" i="5" s="1"/>
  <c r="G188" i="5"/>
  <c r="G194" i="5" s="1"/>
  <c r="G196" i="5" s="1"/>
  <c r="F185" i="5"/>
  <c r="H204" i="5" l="1"/>
  <c r="H213" i="5" s="1"/>
  <c r="J182" i="5"/>
  <c r="J184" i="5" s="1"/>
  <c r="J192" i="5"/>
  <c r="J193" i="5" s="1"/>
  <c r="J189" i="5"/>
  <c r="I189" i="5"/>
  <c r="I182" i="5"/>
  <c r="I184" i="5" s="1"/>
  <c r="I192" i="5"/>
  <c r="I193" i="5" s="1"/>
  <c r="H206" i="5"/>
  <c r="H215" i="5" s="1"/>
  <c r="H202" i="5"/>
  <c r="H205" i="5"/>
  <c r="H214" i="5" s="1"/>
  <c r="H203" i="5"/>
  <c r="H212" i="5" s="1"/>
  <c r="F205" i="5"/>
  <c r="F214" i="5" s="1"/>
  <c r="G173" i="5"/>
  <c r="G179" i="5" s="1"/>
  <c r="G195" i="5"/>
  <c r="G198" i="5" s="1"/>
  <c r="G199" i="5" s="1"/>
  <c r="G151" i="5"/>
  <c r="G157" i="5" s="1"/>
  <c r="G129" i="5"/>
  <c r="G135" i="5" s="1"/>
  <c r="G107" i="5"/>
  <c r="G113" i="5" s="1"/>
  <c r="E204" i="5"/>
  <c r="E213" i="5" s="1"/>
  <c r="G185" i="5"/>
  <c r="F204" i="5"/>
  <c r="F213" i="5" s="1"/>
  <c r="E206" i="5"/>
  <c r="E215" i="5" s="1"/>
  <c r="F203" i="5"/>
  <c r="F212" i="5" s="1"/>
  <c r="F206" i="5"/>
  <c r="F215" i="5" s="1"/>
  <c r="F202" i="5"/>
  <c r="D195" i="5"/>
  <c r="D198" i="5" s="1"/>
  <c r="D199" i="5" s="1"/>
  <c r="D173" i="5"/>
  <c r="D179" i="5" s="1"/>
  <c r="D151" i="5"/>
  <c r="D157" i="5" s="1"/>
  <c r="D129" i="5"/>
  <c r="D135" i="5" s="1"/>
  <c r="D107" i="5"/>
  <c r="D113" i="5" s="1"/>
  <c r="E205" i="5"/>
  <c r="E214" i="5" s="1"/>
  <c r="E202" i="5"/>
  <c r="D185" i="5"/>
  <c r="D203" i="5"/>
  <c r="D212" i="5" s="1"/>
  <c r="E203" i="5"/>
  <c r="E212" i="5" s="1"/>
  <c r="G203" i="5" l="1"/>
  <c r="G212" i="5" s="1"/>
  <c r="D202" i="5"/>
  <c r="D211" i="5" s="1"/>
  <c r="G206" i="5"/>
  <c r="G215" i="5" s="1"/>
  <c r="H207" i="5"/>
  <c r="H208" i="5" s="1"/>
  <c r="H211" i="5"/>
  <c r="H241" i="5" s="1"/>
  <c r="H254" i="5" s="1"/>
  <c r="I188" i="5"/>
  <c r="I194" i="5" s="1"/>
  <c r="I196" i="5" s="1"/>
  <c r="J188" i="5"/>
  <c r="J194" i="5" s="1"/>
  <c r="J196" i="5" s="1"/>
  <c r="D204" i="5"/>
  <c r="D213" i="5" s="1"/>
  <c r="D206" i="5"/>
  <c r="D215" i="5" s="1"/>
  <c r="D205" i="5"/>
  <c r="D214" i="5" s="1"/>
  <c r="G202" i="5"/>
  <c r="G211" i="5" s="1"/>
  <c r="E211" i="5"/>
  <c r="E207" i="5"/>
  <c r="E208" i="5" s="1"/>
  <c r="F211" i="5"/>
  <c r="F207" i="5"/>
  <c r="F208" i="5" s="1"/>
  <c r="G205" i="5"/>
  <c r="G214" i="5" s="1"/>
  <c r="G204" i="5"/>
  <c r="G213" i="5" s="1"/>
  <c r="H246" i="5" l="1"/>
  <c r="H259" i="5" s="1"/>
  <c r="H239" i="5"/>
  <c r="H252" i="5" s="1"/>
  <c r="H240" i="5"/>
  <c r="H253" i="5" s="1"/>
  <c r="H243" i="5"/>
  <c r="H256" i="5" s="1"/>
  <c r="H244" i="5"/>
  <c r="H257" i="5" s="1"/>
  <c r="H245" i="5"/>
  <c r="H258" i="5" s="1"/>
  <c r="H242" i="5"/>
  <c r="H255" i="5" s="1"/>
  <c r="D207" i="5"/>
  <c r="D208" i="5" s="1"/>
  <c r="I185" i="5"/>
  <c r="I173" i="5"/>
  <c r="I179" i="5" s="1"/>
  <c r="I151" i="5"/>
  <c r="I157" i="5" s="1"/>
  <c r="I195" i="5"/>
  <c r="I198" i="5" s="1"/>
  <c r="I199" i="5" s="1"/>
  <c r="I107" i="5"/>
  <c r="I113" i="5" s="1"/>
  <c r="I129" i="5"/>
  <c r="I135" i="5" s="1"/>
  <c r="J195" i="5"/>
  <c r="J198" i="5" s="1"/>
  <c r="J199" i="5" s="1"/>
  <c r="J107" i="5"/>
  <c r="J113" i="5" s="1"/>
  <c r="J129" i="5"/>
  <c r="J135" i="5" s="1"/>
  <c r="J173" i="5"/>
  <c r="J179" i="5" s="1"/>
  <c r="J151" i="5"/>
  <c r="J157" i="5" s="1"/>
  <c r="J185" i="5"/>
  <c r="F246" i="5"/>
  <c r="F259" i="5" s="1"/>
  <c r="F244" i="5"/>
  <c r="F257" i="5" s="1"/>
  <c r="F242" i="5"/>
  <c r="F255" i="5" s="1"/>
  <c r="F240" i="5"/>
  <c r="F253" i="5" s="1"/>
  <c r="F245" i="5"/>
  <c r="F258" i="5" s="1"/>
  <c r="F243" i="5"/>
  <c r="F256" i="5" s="1"/>
  <c r="F241" i="5"/>
  <c r="F254" i="5" s="1"/>
  <c r="F239" i="5"/>
  <c r="D245" i="5"/>
  <c r="D258" i="5" s="1"/>
  <c r="D243" i="5"/>
  <c r="D256" i="5" s="1"/>
  <c r="D241" i="5"/>
  <c r="D254" i="5" s="1"/>
  <c r="D239" i="5"/>
  <c r="D246" i="5"/>
  <c r="D259" i="5" s="1"/>
  <c r="D244" i="5"/>
  <c r="D257" i="5" s="1"/>
  <c r="D242" i="5"/>
  <c r="D255" i="5" s="1"/>
  <c r="D240" i="5"/>
  <c r="D253" i="5" s="1"/>
  <c r="G207" i="5"/>
  <c r="G208" i="5" s="1"/>
  <c r="G245" i="5"/>
  <c r="G258" i="5" s="1"/>
  <c r="G243" i="5"/>
  <c r="G256" i="5" s="1"/>
  <c r="G241" i="5"/>
  <c r="G254" i="5" s="1"/>
  <c r="G239" i="5"/>
  <c r="G246" i="5"/>
  <c r="G259" i="5" s="1"/>
  <c r="G244" i="5"/>
  <c r="G257" i="5" s="1"/>
  <c r="G242" i="5"/>
  <c r="G255" i="5" s="1"/>
  <c r="G240" i="5"/>
  <c r="G253" i="5" s="1"/>
  <c r="E246" i="5"/>
  <c r="E259" i="5" s="1"/>
  <c r="E244" i="5"/>
  <c r="E257" i="5" s="1"/>
  <c r="E242" i="5"/>
  <c r="E255" i="5" s="1"/>
  <c r="E240" i="5"/>
  <c r="E253" i="5" s="1"/>
  <c r="E245" i="5"/>
  <c r="E258" i="5" s="1"/>
  <c r="E243" i="5"/>
  <c r="E256" i="5" s="1"/>
  <c r="E241" i="5"/>
  <c r="E254" i="5" s="1"/>
  <c r="E239" i="5"/>
  <c r="H247" i="5" l="1"/>
  <c r="H260" i="5" s="1"/>
  <c r="J202" i="5"/>
  <c r="J211" i="5" s="1"/>
  <c r="J204" i="5"/>
  <c r="J213" i="5" s="1"/>
  <c r="J206" i="5"/>
  <c r="J215" i="5" s="1"/>
  <c r="I206" i="5"/>
  <c r="I215" i="5" s="1"/>
  <c r="I202" i="5"/>
  <c r="I211" i="5" s="1"/>
  <c r="I203" i="5"/>
  <c r="I212" i="5" s="1"/>
  <c r="J203" i="5"/>
  <c r="J212" i="5" s="1"/>
  <c r="I204" i="5"/>
  <c r="I213" i="5" s="1"/>
  <c r="J205" i="5"/>
  <c r="J214" i="5" s="1"/>
  <c r="D9" i="5"/>
  <c r="I205" i="5"/>
  <c r="I214" i="5" s="1"/>
  <c r="D252" i="5"/>
  <c r="D247" i="5"/>
  <c r="F252" i="5"/>
  <c r="F247" i="5"/>
  <c r="E247" i="5"/>
  <c r="E252" i="5"/>
  <c r="G252" i="5"/>
  <c r="G247" i="5"/>
  <c r="H248" i="5" l="1"/>
  <c r="I207" i="5"/>
  <c r="I208" i="5" s="1"/>
  <c r="I244" i="5"/>
  <c r="I257" i="5" s="1"/>
  <c r="I243" i="5"/>
  <c r="I256" i="5" s="1"/>
  <c r="I242" i="5"/>
  <c r="I255" i="5" s="1"/>
  <c r="I241" i="5"/>
  <c r="I254" i="5" s="1"/>
  <c r="I240" i="5"/>
  <c r="I253" i="5" s="1"/>
  <c r="I239" i="5"/>
  <c r="I246" i="5"/>
  <c r="I259" i="5" s="1"/>
  <c r="I245" i="5"/>
  <c r="I258" i="5" s="1"/>
  <c r="J246" i="5"/>
  <c r="J259" i="5" s="1"/>
  <c r="J245" i="5"/>
  <c r="J258" i="5" s="1"/>
  <c r="J244" i="5"/>
  <c r="J257" i="5" s="1"/>
  <c r="J242" i="5"/>
  <c r="J255" i="5" s="1"/>
  <c r="J241" i="5"/>
  <c r="J254" i="5" s="1"/>
  <c r="J240" i="5"/>
  <c r="J253" i="5" s="1"/>
  <c r="J239" i="5"/>
  <c r="J243" i="5"/>
  <c r="J256" i="5" s="1"/>
  <c r="J207" i="5"/>
  <c r="J208" i="5" s="1"/>
  <c r="G248" i="5"/>
  <c r="G260" i="5"/>
  <c r="D248" i="5"/>
  <c r="D260" i="5"/>
  <c r="F248" i="5"/>
  <c r="F260" i="5"/>
  <c r="E260" i="5"/>
  <c r="E248" i="5"/>
  <c r="J252" i="5" l="1"/>
  <c r="J247" i="5"/>
  <c r="I247" i="5"/>
  <c r="I252" i="5"/>
  <c r="J260" i="5" l="1"/>
  <c r="J248" i="5"/>
  <c r="I248" i="5"/>
  <c r="I26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<sst xmlns="http://schemas.openxmlformats.org/spreadsheetml/2006/main" count="379" uniqueCount="221">
  <si>
    <t>This is an example waterfall distribution, primarily created to show how different preference structures impacts distribution of proceeds</t>
  </si>
  <si>
    <t>Exit Valuation</t>
  </si>
  <si>
    <t>$</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</si>
  <si>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</si>
  <si>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Distribution to equity shareholders</t>
  </si>
  <si>
    <t>#</t>
  </si>
  <si>
    <t>Price per Share</t>
  </si>
  <si>
    <t>average; distribution to shareholders may vary based on the waterfall and distributions to different classes of shareholders</t>
  </si>
  <si>
    <t>Exit Date</t>
  </si>
  <si>
    <t>-</t>
  </si>
  <si>
    <t>Assumed 2 years in future from today (which will also be two years from the last investment round on the cap table if the dates are unchanged). Change for your specific situation or expectation</t>
  </si>
  <si>
    <t>Waterfall Analysis</t>
  </si>
  <si>
    <t>%</t>
  </si>
  <si>
    <t>Increase and decrease of enterprise values examined in waterfall, per step. You can also overwrite the exit valuations directly and use whatever values you want.</t>
  </si>
  <si>
    <t>Use iterations / resolve circulars?</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</si>
  <si>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</si>
  <si>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</si>
  <si>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</si>
  <si>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</si>
  <si>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</si>
  <si>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</si>
  <si>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</si>
  <si>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C</t>
  </si>
  <si>
    <t>B</t>
  </si>
  <si>
    <t>A</t>
  </si>
  <si>
    <t>Seed</t>
  </si>
  <si>
    <t>Common</t>
  </si>
  <si>
    <t>Options</t>
  </si>
  <si>
    <t>Total</t>
  </si>
  <si>
    <t>Options Exercised</t>
  </si>
  <si>
    <t>Option Pool</t>
  </si>
  <si>
    <t>Note that the ungranted and unexercised options are cancelled, and not included in the fully-diluted shares at exit.</t>
  </si>
  <si>
    <t>Total Fully-Diluted Shares</t>
  </si>
  <si>
    <t>% of Fully-Diluted Shares</t>
  </si>
  <si>
    <t>Invested and Converted Capital</t>
  </si>
  <si>
    <t xml:space="preserve">This detail is important and gets used in defining the liquidation preferences. By default it is calculated </t>
  </si>
  <si>
    <t>Share Price per Round</t>
  </si>
  <si>
    <t>na</t>
  </si>
  <si>
    <t>This detail is important and gets used in defining the liquidation preferences</t>
  </si>
  <si>
    <t>Investment Date</t>
  </si>
  <si>
    <t>Assumes all investments in the same share class have the same date, feel free to adjust, or assume an "average" investment date</t>
  </si>
  <si>
    <t>Dividends</t>
  </si>
  <si>
    <t>Type of Dividends / Interest</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</si>
  <si>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</si>
  <si>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</si>
  <si>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</si>
  <si>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</si>
  <si>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</si>
  <si>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</si>
  <si>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</si>
  <si>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</si>
  <si>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</si>
  <si>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</si>
  <si>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Exit Waterfall, showing distribution to shares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</si>
  <si>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</si>
  <si>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</si>
  <si>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</si>
  <si>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</si>
  <si>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</si>
  <si>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</si>
  <si>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</si>
  <si>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</si>
  <si>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</si>
  <si>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</si>
  <si>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</si>
  <si>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</si>
  <si>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</si>
  <si>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</si>
  <si>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</si>
  <si>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</si>
  <si>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</si>
  <si>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</si>
  <si>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</si>
  <si>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</si>
  <si>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</si>
  <si>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</si>
  <si>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</si>
  <si>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</si>
  <si>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</si>
  <si>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</si>
  <si>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</si>
  <si>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</si>
  <si>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</si>
  <si>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</si>
  <si>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</si>
  <si>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</si>
  <si>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</si>
  <si>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</si>
  <si>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</si>
  <si>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</si>
  <si>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</si>
  <si>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</si>
  <si>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</si>
  <si>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</si>
  <si>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</si>
  <si>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</si>
  <si>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</si>
  <si>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Exit Waterfall, showing ROI to shareholders</t>
  </si>
  <si>
    <t>The formula calculates the return (proceeds - invested capital) in aggregate for all classes of shares each shareholder owns.</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</si>
  <si>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</si>
  <si>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</si>
  <si>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</si>
  <si>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</si>
  <si>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</si>
  <si>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</si>
  <si>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</si>
  <si>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</si>
  <si>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</si>
  <si>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Investor</t>
  </si>
  <si>
    <t>This is a reference calculation that I use when calculating the participation for the full participating and participating with a cap options, if iterative calculations are turned off.</t>
  </si>
  <si>
    <t>This is used if dividends are declared to preferred shareholders and paid at exit</t>
  </si>
  <si>
    <t>Waterfall Distribution of Proceeds</t>
  </si>
  <si>
    <t>Assuming all issued and outstanding options are vested and exercised</t>
  </si>
  <si>
    <t>Investments through convertible instruments should be tracked under the share class that they own, not the round they invested in</t>
  </si>
  <si>
    <t>not including costs to purchase options in the invested capital</t>
  </si>
  <si>
    <t>this is a check of the invested capital from above matches the share price * issued and outstanding shares</t>
  </si>
  <si>
    <t>For dividends that are paid at exit, as a distribution to shareholders.</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</si>
  <si>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</si>
  <si>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</si>
  <si>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</si>
  <si>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</si>
  <si>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</si>
  <si>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</si>
  <si>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</si>
  <si>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</si>
  <si>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</si>
  <si>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</si>
  <si>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</si>
  <si>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A chart that shows the % of proceeds distributed to each shareholder class. Helpful as a quick visualization</t>
  </si>
  <si>
    <t>A chart that shows the total proceeds distributed to each shareholder class. Helpful as a quick visualization</t>
  </si>
  <si>
    <t>Seniority of Shareholder Classes</t>
  </si>
  <si>
    <t>Invested Capital (Shares * Share Price)</t>
  </si>
  <si>
    <t>Invested Capital (Sum of above)</t>
  </si>
  <si>
    <t>Shareholder Class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</si>
  <si>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</si>
  <si>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Shares per Calculation Block</t>
  </si>
  <si>
    <t>Name for Calculation Block</t>
  </si>
  <si>
    <t>from the shareholder classes above</t>
  </si>
  <si>
    <t>in case you want to rename the calculation blocks, if you move around the seniority of the shareholder classes.</t>
  </si>
  <si>
    <t>set which round is senior to, or pari-passu to, the other rounds. By default it assumes each subsequent round is senior to the previous, but this structure allows you to determine the seniority or pari-passu treatment completely flexibly</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</si>
  <si>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</si>
  <si>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Total per Calculation Block</t>
  </si>
  <si>
    <t>Liquidation Preferences per Calculation Block</t>
  </si>
  <si>
    <t>Liquidation Preferences Allocation, % of Calculation Blocks per Shareholder Class</t>
  </si>
  <si>
    <t>Share Allocation, % of Calculation Blocks per Shareholder Class</t>
  </si>
  <si>
    <t>Invested Capital per Calculation Block</t>
  </si>
  <si>
    <t>Check: Proceeds to Calculation Blocks = Proceeds to Shareholder Classes?</t>
  </si>
  <si>
    <t>A check to make sure total proceeds to the calculation blocks = total proceeds to the shareholder classes. Should equal zero in all cells in this row</t>
  </si>
  <si>
    <t>Summary - Proceeds per share</t>
  </si>
  <si>
    <t>Check, proceeds to individual shareholders = proceeds to shareholder classes?</t>
  </si>
  <si>
    <t>Options for Dropdowns</t>
  </si>
  <si>
    <t>Do not delete</t>
  </si>
  <si>
    <t>this section allocates the shareholder classes to the calculation blocks. This is used to calculate the proceeds to shareholders after the proceeds to each calculation block has happened.</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</si>
  <si>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</si>
  <si>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this is a helper calc to show more detailed information; if it was nonparticipating, what would the proceeds be?</t>
  </si>
  <si>
    <t>this is a helper calc to show more detailed information; if it was participating with a cap, what would the proceeds be?</t>
  </si>
  <si>
    <t>this is a helper calc to show more detailed information; if it was full participating, what would the proceeds be?</t>
  </si>
  <si>
    <t>"yes" means the shares have participation rights, "no" means they do not, or that they are not exercising those rights and are converting to common</t>
  </si>
  <si>
    <t>no</t>
  </si>
  <si>
    <t>Per Share Class above, treat as Senior or Pari-Passu to</t>
  </si>
  <si>
    <t>by default, the model assumes each shareholder class is senior to the round before it. This section allows you to break from that assumption, and create groups to treat some shareholder classes as pari-passu, or to re-order the seniority</t>
  </si>
  <si>
    <t>Average Cap on Participation</t>
  </si>
  <si>
    <t>Average Conversion Ratio, 1 Preferred Share to N Common Shares</t>
  </si>
  <si>
    <t>Participating Rights assumed per Calculation Block</t>
  </si>
  <si>
    <t>calculated per calculation block from the shares allocated to each block</t>
  </si>
  <si>
    <t>calculated using the weighted average of shares allocated to each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</si>
  <si>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</si>
  <si>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</si>
  <si>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of conversion ratio for shares allocated to this calculation block</t>
  </si>
  <si>
    <t>weighted average for all shares allocated to this calculation block</t>
  </si>
  <si>
    <t>Average Investment Date, per Calculation Block</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</si>
  <si>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</si>
  <si>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</si>
  <si>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</si>
  <si>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</si>
  <si>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</si>
  <si>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</si>
  <si>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</si>
  <si>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</si>
  <si>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</si>
  <si>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</si>
  <si>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</si>
  <si>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</si>
  <si>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</si>
  <si>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</si>
  <si>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</si>
  <si>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</si>
  <si>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</si>
  <si>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</si>
  <si>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</si>
  <si>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</si>
  <si>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</si>
  <si>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CHANGELOG</t>
  </si>
  <si>
    <t>v1.0.0 - April 7, 2020</t>
  </si>
  <si>
    <t>Questions, ask hello@foresight.is anytime.</t>
  </si>
  <si>
    <t>Creating Changelog in the first version of the Exit Waterfall Tool distributed as a stand alone model.</t>
  </si>
  <si>
    <t>v1.0.1 - April 9, 2020</t>
  </si>
  <si>
    <t>Edited row 44 - dividends selection for the data validation to draw from the correct set of cells across the entire row</t>
  </si>
  <si>
    <t>Edited proceeds per share class to included dividends (not included in the default B, A, and Seed rounds)</t>
  </si>
  <si>
    <t>Edited dividends calculation for each round, to correct for the noncumulative option</t>
  </si>
  <si>
    <t>by Foresight</t>
  </si>
  <si>
    <t>Copyright 2020 Unstructured Ventures, LLC</t>
  </si>
  <si>
    <t>LICENSE</t>
  </si>
  <si>
    <t>SUPPORT</t>
  </si>
  <si>
    <t>Support independent entrepreneurs.</t>
  </si>
  <si>
    <t>Use of this model signifies acceptance of license</t>
  </si>
  <si>
    <t>GOAL</t>
  </si>
  <si>
    <t>UPDATES</t>
  </si>
  <si>
    <t>Goal of this model is to create an easy way for anyone to model a startup business. The model uses external market data where applicable and estimates by Taylor when necessary. You should adjust all metrics and inputs to fit your business.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</si>
  <si>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</si>
  <si>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HOW TO USE</t>
  </si>
  <si>
    <t>DOCUMENTATION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</si>
  <si>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</si>
  <si>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</si>
  <si>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</si>
  <si>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SKU</t>
  </si>
  <si>
    <t>tool</t>
  </si>
  <si>
    <t>foresight.is</t>
  </si>
  <si>
    <t>hello</t>
  </si>
  <si>
    <t>exit</t>
  </si>
  <si>
    <t>waterfall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</si>
</sst>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quot;]&quot;"/>
    <numFmt numFmtId="165" formatCode="_(* #,##0_);_(* \(#,##0\);_(* &quot;-&quot;??_);_(@_)"/>
    <numFmt numFmtId="166" formatCode="_(* #,##0.0000_);_(* \(#,##0.0000\);_(* &quot;-&quot;??_);_(@_)"/>
    <numFmt numFmtId="167" formatCode="_(* #,##0.0_);_(* \(#,##0.0\);_(* &quot;-&quot;??_);_(@_)"/>
    <numFmt numFmtId="168" formatCode="_(* #,##0.00000_);_(* \(#,##0.00000\);_(* &quot;-&quot;??_);_(@_)"/>
    <numFmt numFmtId="169" formatCode="_(* #,##0.000_);_(* \(#,##0.000\);_(* &quot;-&quot;??_);_(@_)"/>
    <numFmt numFmtId="170" formatCode="_-* #,##0.00_-;\-* #,##0.00_-;_-* &quot;-&quot;??_-;_-@_-"/>
    <numFmt numFmtId="171" formatCode="_-* #,##0_-;\-* #,##0_-;_-* &quot;-&quot;??_-;_-@_-"/>
  </numFmts>
  <fonts count="12">
    <font>
      <sz val="12"/>
      <color theme="1"/>
      <name val="Calibri"/>
      <family val="2"/>
      <scheme val="minor"/>
    </font>
    <font>
      <sz val="12"/>
      <color theme="1"/>
      <name val="Calibri"/>
      <family val="2"/>
      <scheme val="minor"/>
    </font>
    <font>
      <b/>
      <sz val="14"/>
      <color theme="1"/>
      <name val="Open Sans Regular"/>
    </font>
    <font>
      <sz val="14"/>
      <color theme="1"/>
      <name val="Open Sans Regular"/>
    </font>
    <font>
      <i/>
      <sz val="14"/>
      <color theme="1"/>
      <name val="Open Sans Regular"/>
    </font>
    <font>
      <sz val="14"/>
      <color rgb="FF0000FF"/>
      <name val="Open Sans Regular"/>
    </font>
    <font>
      <sz val="14"/>
      <name val="Open Sans Regular"/>
    </font>
    <font>
      <b/>
      <i/>
      <sz val="14"/>
      <color theme="1"/>
      <name val="Open Sans Regular"/>
    </font>
    <font>
      <sz val="11"/>
      <name val="Arial"/>
      <family val="1"/>
    </font>
    <font>
      <sz val="12"/>
      <color theme="1"/>
      <name val="Arial Narrow"/>
      <family val="2"/>
    </font>
    <font>
      <sz val="14"/>
      <color rgb="FF000000"/>
      <name val="Open Sans Regular"/>
    </font>
    <font>
      <b/>
      <u/>
      <sz val="14"/>
      <color theme="1"/>
      <name val="Open Sans Regula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auto="1"/>
      </bottom>
      <diagonal/>
    </border>
    <border>
      <left/>
      <right/>
      <top style="thin">
        <color auto="1"/>
      </top>
      <bottom/>
      <diagonal/>
    </border>
  </borders>
  <cellStyleXfs count="11">
    <xf numFmtId="0" fontId="0" fillId="0" borderId="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 fillId="0" borderId="0"/>
    <xf numFmtId="43" fontId="8" fillId="0" borderId="0" applyFont="0" applyFill="0" applyBorder="0" applyAlignment="0" applyProtection="0"/>
    <xf numFmtId="9" fontId="1" fillId="0" borderId="0" applyFont="0" applyFill="0" applyBorder="0" applyAlignment="0" applyProtection="0"/>
    <xf numFmtId="0" fontId="9" fillId="0" borderId="0"/>
    <xf numFmtId="170" fontId="9" fillId="0" borderId="0" applyFont="0" applyFill="0" applyBorder="0" applyAlignment="0" applyProtection="0"/>
    <xf numFmtId="0" fontId="1" fillId="0" borderId="0"/>
    <xf numFmtId="0" fontId="1" fillId="0" borderId="0"/>
  </cellStyleXfs>
  <cellXfs count="110">
    <xf numFmtId="0" fontId="0" fillId="0" borderId="0" xfId="0"/>
    <xf numFmtId="43" fontId="2" fillId="0" borderId="0" xfId="2" applyFont="1"/>
    <xf numFmtId="43" fontId="3" fillId="0" borderId="0" xfId="2" applyFont="1" applyAlignment="1">
      <alignment horizontal="center"/>
    </xf>
    <xf numFmtId="164" fontId="3" fillId="0" borderId="0" xfId="2" applyNumberFormat="1" applyFont="1" applyFill="1" applyAlignment="1">
      <alignment horizontal="center"/>
    </xf>
    <xf numFmtId="0" fontId="3" fillId="0" borderId="0" xfId="2" applyNumberFormat="1" applyFont="1" applyAlignment="1">
      <alignment horizontal="left"/>
    </xf>
    <xf numFmtId="43" fontId="3" fillId="0" borderId="0" xfId="2" applyFont="1"/>
    <xf numFmtId="43" fontId="4" fillId="0" borderId="0" xfId="1" applyFont="1"/>
    <xf numFmtId="43" fontId="5" fillId="2" borderId="0" xfId="2" applyFont="1" applyFill="1" applyAlignment="1">
      <alignment horizontal="center"/>
    </xf>
    <xf numFmtId="165" fontId="5" fillId="2" borderId="0" xfId="2" applyNumberFormat="1" applyFont="1" applyFill="1"/>
    <xf numFmtId="14" fontId="5" fillId="2" borderId="0" xfId="2" applyNumberFormat="1" applyFont="1" applyFill="1" applyAlignment="1">
      <alignment horizontal="right"/>
    </xf>
    <xf numFmtId="9" fontId="5" fillId="2" borderId="0" xfId="3" applyFont="1" applyFill="1"/>
    <xf numFmtId="165" fontId="5" fillId="2" borderId="0" xfId="2" applyNumberFormat="1" applyFont="1" applyFill="1" applyAlignment="1">
      <alignment horizontal="right"/>
    </xf>
    <xf numFmtId="0" fontId="3" fillId="0" borderId="0" xfId="2" applyNumberFormat="1" applyFont="1"/>
    <xf numFmtId="43" fontId="4" fillId="0" borderId="0" xfId="2" applyFont="1"/>
    <xf numFmtId="165" fontId="3" fillId="0" borderId="0" xfId="2" applyNumberFormat="1" applyFont="1" applyAlignment="1">
      <alignment horizontal="center"/>
    </xf>
    <xf numFmtId="165" fontId="3" fillId="0" borderId="2" xfId="2" applyNumberFormat="1" applyFont="1" applyBorder="1" applyAlignment="1">
      <alignment horizontal="center"/>
    </xf>
    <xf numFmtId="9" fontId="3" fillId="0" borderId="0" xfId="3" applyFont="1" applyBorder="1" applyAlignment="1">
      <alignment horizontal="right"/>
    </xf>
    <xf numFmtId="165" fontId="6" fillId="0" borderId="0" xfId="2" applyNumberFormat="1" applyFont="1" applyFill="1" applyAlignment="1">
      <alignment horizontal="center"/>
    </xf>
    <xf numFmtId="166" fontId="5" fillId="2" borderId="0" xfId="2" applyNumberFormat="1" applyFont="1" applyFill="1"/>
    <xf numFmtId="165" fontId="6" fillId="0" borderId="0" xfId="2" applyNumberFormat="1" applyFont="1" applyFill="1" applyAlignment="1">
      <alignment horizontal="right"/>
    </xf>
    <xf numFmtId="43" fontId="3" fillId="0" borderId="0" xfId="2" applyFont="1" applyAlignment="1">
      <alignment horizontal="right"/>
    </xf>
    <xf numFmtId="167" fontId="5" fillId="2" borderId="0" xfId="2" applyNumberFormat="1" applyFont="1" applyFill="1"/>
    <xf numFmtId="168" fontId="3" fillId="0" borderId="0" xfId="2" applyNumberFormat="1" applyFont="1"/>
    <xf numFmtId="43" fontId="4" fillId="0" borderId="0" xfId="2" applyFont="1" applyAlignment="1">
      <alignment horizontal="center"/>
    </xf>
    <xf numFmtId="167" fontId="5" fillId="2" borderId="0" xfId="2" applyNumberFormat="1" applyFont="1" applyFill="1" applyAlignment="1">
      <alignment horizontal="left"/>
    </xf>
    <xf numFmtId="167" fontId="6" fillId="0" borderId="0" xfId="2" applyNumberFormat="1" applyFont="1" applyFill="1"/>
    <xf numFmtId="43" fontId="3" fillId="0" borderId="0" xfId="2" applyFont="1" applyAlignment="1">
      <alignment horizontal="left"/>
    </xf>
    <xf numFmtId="43" fontId="3" fillId="0" borderId="0" xfId="2" applyFont="1" applyBorder="1" applyAlignment="1">
      <alignment horizontal="center"/>
    </xf>
    <xf numFmtId="43" fontId="3" fillId="0" borderId="0" xfId="2" applyFont="1" applyFill="1" applyAlignment="1">
      <alignment horizontal="left"/>
    </xf>
    <xf numFmtId="43" fontId="7" fillId="0" borderId="0" xfId="2" applyFont="1"/>
    <xf numFmtId="43" fontId="3" fillId="0" borderId="0" xfId="2" applyFont="1" applyFill="1" applyAlignment="1">
      <alignment horizontal="center"/>
    </xf>
    <xf numFmtId="43" fontId="3" fillId="0" borderId="0" xfId="2" applyFont="1" applyFill="1"/>
    <xf numFmtId="0" fontId="3" fillId="0" borderId="0" xfId="2" applyNumberFormat="1" applyFont="1" applyFill="1" applyAlignment="1">
      <alignment horizontal="left"/>
    </xf>
    <xf numFmtId="165" fontId="3" fillId="0" borderId="0" xfId="2" applyNumberFormat="1" applyFont="1" applyFill="1" applyAlignment="1">
      <alignment horizontal="right"/>
    </xf>
    <xf numFmtId="43" fontId="4" fillId="0" borderId="0" xfId="2" applyFont="1" applyFill="1"/>
    <xf numFmtId="165" fontId="3" fillId="0" borderId="0" xfId="2" applyNumberFormat="1" applyFont="1" applyFill="1"/>
    <xf numFmtId="168" fontId="3" fillId="0" borderId="0" xfId="2" applyNumberFormat="1" applyFont="1" applyFill="1"/>
    <xf numFmtId="43" fontId="4" fillId="0" borderId="0" xfId="2" applyFont="1" applyFill="1" applyAlignment="1">
      <alignment horizontal="center"/>
    </xf>
    <xf numFmtId="0" fontId="4" fillId="0" borderId="0" xfId="2" applyNumberFormat="1" applyFont="1" applyFill="1"/>
    <xf numFmtId="9" fontId="3" fillId="0" borderId="0" xfId="3" applyFont="1" applyFill="1" applyAlignment="1">
      <alignment horizontal="right"/>
    </xf>
    <xf numFmtId="9" fontId="3" fillId="0" borderId="2" xfId="3" applyFont="1" applyBorder="1"/>
    <xf numFmtId="0" fontId="3" fillId="0" borderId="0" xfId="4" applyFont="1"/>
    <xf numFmtId="0" fontId="3" fillId="0" borderId="0" xfId="4" applyFont="1" applyAlignment="1">
      <alignment horizontal="center"/>
    </xf>
    <xf numFmtId="165" fontId="3" fillId="0" borderId="0" xfId="5" applyNumberFormat="1" applyFont="1" applyAlignment="1">
      <alignment horizontal="center"/>
    </xf>
    <xf numFmtId="0" fontId="3" fillId="0" borderId="0" xfId="4" applyFont="1" applyAlignment="1">
      <alignment horizontal="left"/>
    </xf>
    <xf numFmtId="165" fontId="3" fillId="0" borderId="0" xfId="5" applyNumberFormat="1" applyFont="1" applyAlignment="1">
      <alignment horizontal="left"/>
    </xf>
    <xf numFmtId="165" fontId="3" fillId="0" borderId="0" xfId="2" applyNumberFormat="1" applyFont="1" applyFill="1" applyBorder="1" applyAlignment="1">
      <alignment horizontal="center"/>
    </xf>
    <xf numFmtId="165" fontId="3" fillId="0" borderId="0" xfId="4" applyNumberFormat="1" applyFont="1"/>
    <xf numFmtId="168" fontId="3" fillId="0" borderId="0" xfId="4" applyNumberFormat="1" applyFont="1"/>
    <xf numFmtId="43" fontId="3" fillId="0" borderId="0" xfId="4" applyNumberFormat="1" applyFont="1" applyAlignment="1">
      <alignment horizontal="center"/>
    </xf>
    <xf numFmtId="166" fontId="3" fillId="0" borderId="0" xfId="4" applyNumberFormat="1" applyFont="1"/>
    <xf numFmtId="165" fontId="3" fillId="0" borderId="0" xfId="4" applyNumberFormat="1" applyFont="1" applyAlignment="1">
      <alignment horizontal="right"/>
    </xf>
    <xf numFmtId="43" fontId="3" fillId="0" borderId="0" xfId="4" applyNumberFormat="1" applyFont="1"/>
    <xf numFmtId="43" fontId="3" fillId="0" borderId="0" xfId="4" applyNumberFormat="1" applyFont="1" applyAlignment="1">
      <alignment horizontal="left"/>
    </xf>
    <xf numFmtId="165" fontId="3" fillId="0" borderId="2" xfId="4" applyNumberFormat="1" applyFont="1" applyBorder="1"/>
    <xf numFmtId="165" fontId="4" fillId="0" borderId="0" xfId="4" applyNumberFormat="1" applyFont="1"/>
    <xf numFmtId="0" fontId="4" fillId="0" borderId="0" xfId="4" applyFont="1"/>
    <xf numFmtId="43" fontId="4" fillId="0" borderId="0" xfId="5" applyFont="1"/>
    <xf numFmtId="43" fontId="3" fillId="0" borderId="0" xfId="5" applyFont="1"/>
    <xf numFmtId="43" fontId="3" fillId="0" borderId="0" xfId="5" applyFont="1" applyFill="1"/>
    <xf numFmtId="0" fontId="7" fillId="0" borderId="0" xfId="4" applyFont="1"/>
    <xf numFmtId="164" fontId="3" fillId="0" borderId="0" xfId="4" applyNumberFormat="1" applyFont="1"/>
    <xf numFmtId="43" fontId="3" fillId="0" borderId="0" xfId="1" applyFont="1" applyAlignment="1">
      <alignment horizontal="right"/>
    </xf>
    <xf numFmtId="165" fontId="5" fillId="2" borderId="1" xfId="2" applyNumberFormat="1" applyFont="1" applyFill="1" applyBorder="1" applyAlignment="1">
      <alignment horizontal="right"/>
    </xf>
    <xf numFmtId="43" fontId="3" fillId="0" borderId="1" xfId="2" applyFont="1" applyBorder="1" applyAlignment="1">
      <alignment horizontal="right"/>
    </xf>
    <xf numFmtId="43" fontId="3" fillId="0" borderId="0" xfId="1" applyFont="1"/>
    <xf numFmtId="43" fontId="5" fillId="2" borderId="0" xfId="1" applyFont="1" applyFill="1" applyAlignment="1">
      <alignment horizontal="right"/>
    </xf>
    <xf numFmtId="43" fontId="6" fillId="0" borderId="0" xfId="1" applyFont="1" applyFill="1" applyAlignment="1">
      <alignment horizontal="left"/>
    </xf>
    <xf numFmtId="9" fontId="3" fillId="0" borderId="2" xfId="6" applyFont="1" applyBorder="1"/>
    <xf numFmtId="9" fontId="3" fillId="0" borderId="0" xfId="6" applyFont="1"/>
    <xf numFmtId="165" fontId="3" fillId="0" borderId="0" xfId="4" applyNumberFormat="1" applyFont="1" applyBorder="1"/>
    <xf numFmtId="43" fontId="5" fillId="2" borderId="0" xfId="1" applyFont="1" applyFill="1" applyBorder="1" applyAlignment="1">
      <alignment horizontal="right"/>
    </xf>
    <xf numFmtId="165" fontId="4" fillId="0" borderId="0" xfId="4" applyNumberFormat="1" applyFont="1" applyBorder="1"/>
    <xf numFmtId="169" fontId="3" fillId="0" borderId="0" xfId="1" applyNumberFormat="1" applyFont="1"/>
    <xf numFmtId="43" fontId="2" fillId="0" borderId="0" xfId="1" applyFont="1"/>
    <xf numFmtId="165" fontId="3" fillId="0" borderId="0" xfId="4" applyNumberFormat="1" applyFont="1" applyFill="1"/>
    <xf numFmtId="165" fontId="3" fillId="0" borderId="0" xfId="4" applyNumberFormat="1" applyFont="1" applyFill="1" applyAlignment="1">
      <alignment horizontal="right"/>
    </xf>
    <xf numFmtId="0" fontId="3" fillId="0" borderId="0" xfId="4" applyFont="1" applyFill="1"/>
    <xf numFmtId="43" fontId="4" fillId="0" borderId="0" xfId="1" applyFont="1" applyFill="1"/>
    <xf numFmtId="43" fontId="3" fillId="0" borderId="0" xfId="1" applyFont="1" applyFill="1"/>
    <xf numFmtId="165" fontId="3" fillId="0" borderId="0" xfId="4" applyNumberFormat="1" applyFont="1" applyBorder="1" applyAlignment="1">
      <alignment horizontal="right"/>
    </xf>
    <xf numFmtId="165" fontId="3" fillId="0" borderId="0" xfId="4" applyNumberFormat="1" applyFont="1" applyBorder="1" applyAlignment="1">
      <alignment horizontal="left"/>
    </xf>
    <xf numFmtId="43" fontId="5" fillId="0" borderId="0" xfId="1" applyFont="1" applyFill="1" applyAlignment="1">
      <alignment horizontal="right"/>
    </xf>
    <xf numFmtId="43" fontId="3" fillId="0" borderId="0" xfId="1" applyFont="1" applyFill="1" applyAlignment="1">
      <alignment horizontal="right"/>
    </xf>
    <xf numFmtId="43" fontId="3" fillId="0" borderId="0" xfId="1" applyFont="1" applyBorder="1"/>
    <xf numFmtId="9" fontId="3" fillId="0" borderId="0" xfId="6" applyFont="1" applyBorder="1"/>
    <xf numFmtId="14" fontId="6" fillId="0" borderId="0" xfId="2" applyNumberFormat="1" applyFont="1" applyFill="1" applyAlignment="1">
      <alignment horizontal="right"/>
    </xf>
    <xf numFmtId="0" fontId="2" fillId="0" borderId="0" xfId="7" applyFont="1" applyAlignment="1">
      <alignment wrapText="1"/>
    </xf>
    <xf numFmtId="0" fontId="3" fillId="0" borderId="0" xfId="7" applyFont="1"/>
    <xf numFmtId="0" fontId="4" fillId="0" borderId="0" xfId="7" applyFont="1" applyAlignment="1">
      <alignment wrapText="1"/>
    </xf>
    <xf numFmtId="0" fontId="3" fillId="0" borderId="0" xfId="7" applyFont="1" applyAlignment="1">
      <alignment wrapText="1"/>
    </xf>
    <xf numFmtId="171" fontId="3" fillId="0" borderId="0" xfId="8" applyNumberFormat="1" applyFont="1"/>
    <xf numFmtId="0" fontId="2" fillId="0" borderId="0" xfId="8" applyNumberFormat="1" applyFont="1"/>
    <xf numFmtId="0" fontId="3" fillId="0" borderId="0" xfId="8" applyNumberFormat="1" applyFont="1" applyAlignment="1">
      <alignment wrapText="1"/>
    </xf>
    <xf numFmtId="0" fontId="3" fillId="0" borderId="0" xfId="8" applyNumberFormat="1" applyFont="1"/>
    <xf numFmtId="0" fontId="2" fillId="0" borderId="0" xfId="9" applyFont="1"/>
    <xf numFmtId="0" fontId="3" fillId="0" borderId="0" xfId="10" applyFont="1"/>
    <xf numFmtId="0" fontId="3" fillId="0" borderId="0" xfId="9" applyFont="1"/>
    <xf numFmtId="0" fontId="3" fillId="0" borderId="0" xfId="9" applyFont="1" applyAlignment="1">
      <alignment wrapText="1"/>
    </xf>
    <xf numFmtId="0" fontId="3" fillId="0" borderId="0" xfId="7" applyFont="1" applyAlignment="1" applyProtection="1">
      <alignment wrapText="1"/>
      <protection hidden="1"/>
    </xf>
    <xf numFmtId="0" fontId="10" fillId="0" borderId="0" xfId="7" applyFont="1" applyAlignment="1" applyProtection="1">
      <alignment wrapText="1"/>
      <protection hidden="1"/>
    </xf>
    <xf numFmtId="0" fontId="2" fillId="0" borderId="0" xfId="10" applyFont="1"/>
    <xf numFmtId="0" fontId="3" fillId="0" borderId="0" xfId="9" applyFont="1" applyAlignment="1" applyProtection="1">
      <alignment wrapText="1"/>
      <protection hidden="1"/>
    </xf>
    <xf numFmtId="0" fontId="3" fillId="0" borderId="0" xfId="10" applyFont="1" applyAlignment="1">
      <alignment vertical="top" wrapText="1"/>
    </xf>
    <xf numFmtId="0" fontId="11" fillId="0" borderId="0" xfId="10" applyFont="1" applyAlignment="1">
      <alignment wrapText="1"/>
    </xf>
    <xf numFmtId="0" fontId="2" fillId="0" borderId="0" xfId="10" applyFont="1" applyAlignment="1">
      <alignment wrapText="1"/>
    </xf>
    <xf numFmtId="0" fontId="3" fillId="0" borderId="0" xfId="10" applyFont="1" applyAlignment="1">
      <alignment wrapText="1"/>
    </xf>
    <xf numFmtId="0" fontId="3" fillId="0" borderId="0" xfId="10" applyFont="1" applyAlignment="1">
      <alignment horizontal="left" vertical="top" wrapText="1"/>
    </xf>
    <xf numFmtId="0" fontId="11" fillId="0" borderId="0" xfId="10" applyFont="1"/>
    <xf numFmtId="0" fontId="11" fillId="0" borderId="0" xfId="10" applyFont="1" applyAlignment="1">
      <alignment vertical="top" wrapText="1"/>
    </xf>
  </cellXfs>
  <cellStyles count="11">
    <cellStyle name="Comma" xfId="1" builtinId="3"/>
    <cellStyle name="Comma 10 2 3" xfId="2" xr:uid="{0EFED501-CC13-C341-AE3E-E3E92CFCAF6D}"/>
    <cellStyle name="Comma 2" xfId="5" xr:uid="{30424F1B-ABEE-0A46-B457-A85571708E44}"/>
    <cellStyle name="Comma 2 2" xfId="8" xr:uid="{4FA122F3-AF6F-3F42-87F3-8A035629E1DC}"/>
    <cellStyle name="Normal" xfId="0" builtinId="0"/>
    <cellStyle name="Normal 2" xfId="4" xr:uid="{2DC41DED-75A1-5C43-9283-82506FF9A0F1}"/>
    <cellStyle name="Normal 2 2" xfId="7" xr:uid="{40B5D5E7-8A21-424A-90DF-E3646F386BE7}"/>
    <cellStyle name="Normal 8 2" xfId="9" xr:uid="{9D050445-8096-1C44-BF94-52E21EF35771}"/>
    <cellStyle name="Normal 8 2 3" xfId="10" xr:uid="{7927FD7F-B303-2845-9242-52E648488FAB}"/>
    <cellStyle name="Percent" xfId="6" builtinId="5"/>
    <cellStyle name="Percent 16 3" xfId="3" xr:uid="{EF94C47E-4314-6543-941B-7779A02D58CE}"/>
  </cellStyles>
  <dxfs count="1">
    <dxf>
      <font>
        <color rgb="FF9C0006"/>
      </font>
      <fill>
        <patternFill>
          <bgColor rgb="FFFFC7CE"/>
        </patternFill>
      </fill>
    </dxf>
  </dxfs>
  <tableStyles count="0" defaultTableStyle="TableStyleMedium2" defaultPivotStyle="PivotStyleLight16"/>
  <colors>
    <mruColors>
      <color rgb="FF63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'Exit Waterfall'!$B$202</c:f>
              <c:strCache>
                <c:ptCount val="1"/>
                <c:pt idx="0">
                  <c:v> Preferred, C </c:v>
                </c:pt>
              </c:strCache>
            </c:strRef>
          </c:tx>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Waterfall'!$D$202:$J$202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9FE-9C46-9707-7CAB351842EB}"/>
            </c:ext>
          </c:extLst>
        </c:ser>
        <c:ser>
          <c:idx val="1"/>
          <c:order val="1"/>
          <c:tx>
            <c:strRef>
              <c:f>'Exit Waterfall'!$B$203</c:f>
              <c:strCache>
                <c:ptCount val="1"/>
                <c:pt idx="0">
                  <c:v> Preferred, B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Waterfall'!$D$203:$J$203</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29FE-9C46-9707-7CAB351842EB}"/>
            </c:ext>
          </c:extLst>
        </c:ser>
        <c:ser>
          <c:idx val="2"/>
          <c:order val="2"/>
          <c:tx>
            <c:strRef>
              <c:f>'Exit Waterfall'!$B$204</c:f>
              <c:strCache>
                <c:ptCount val="1"/>
                <c:pt idx="0">
                  <c:v> Preferred, A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9FE-9C46-9707-7CAB351842EB}"/>
            </c:ext>
          </c:extLst>
        </c:ser>
        <c:ser>
          <c:idx val="3"/>
          <c:order val="3"/>
          <c:tx>
            <c:strRef>
              <c:f>'Exit Waterfall'!$B$205</c:f>
              <c:strCache>
                <c:ptCount val="1"/>
                <c:pt idx="0">
                  <c:v> Preferred, Seed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9FE-9C46-9707-7CAB351842EB}"/>
            </c:ext>
          </c:extLst>
        </c:ser>
        <c:ser>
          <c:idx val="4"/>
          <c:order val="4"/>
          <c:tx>
            <c:strRef>
              <c:f>'Exit Waterfall'!$B$206</c:f>
              <c:strCache>
                <c:ptCount val="1"/>
                <c:pt idx="0">
                  <c:v> Common (including Options)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9FE-9C46-9707-7CAB351842EB}"/>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'Exit Waterfall'!$B$202</c:f>
              <c:strCache>
                <c:ptCount val="1"/>
                <c:pt idx="0">
                  <c:v> Preferred, C </c:v>
                </c:pt>
              </c:strCache>
            </c:strRef>
          </c:tx>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Waterfall'!$D$202:$J$202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ECD-3F40-857C-B3A7E9371AE2}"/>
            </c:ext>
          </c:extLst>
        </c:ser>
        <c:ser>
          <c:idx val="1"/>
          <c:order val="1"/>
          <c:tx>
            <c:strRef>
              <c:f>'Exit Waterfall'!$B$203</c:f>
              <c:strCache>
                <c:ptCount val="1"/>
                <c:pt idx="0">
                  <c:v> Preferred, B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Waterfall'!$D$203:$J$203</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ECD-3F40-857C-B3A7E9371AE2}"/>
            </c:ext>
          </c:extLst>
        </c:ser>
        <c:ser>
          <c:idx val="2"/>
          <c:order val="2"/>
          <c:tx>
            <c:strRef>
              <c:f>'Exit Waterfall'!$B$204</c:f>
              <c:strCache>
                <c:ptCount val="1"/>
                <c:pt idx="0">
                  <c:v> Preferred, A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1ECD-3F40-857C-B3A7E9371AE2}"/>
            </c:ext>
          </c:extLst>
        </c:ser>
        <c:ser>
          <c:idx val="3"/>
          <c:order val="3"/>
          <c:tx>
            <c:strRef>
              <c:f>'Exit Waterfall'!$B$205</c:f>
              <c:strCache>
                <c:ptCount val="1"/>
                <c:pt idx="0">
                  <c:v> Preferred, Seed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1ECD-3F40-857C-B3A7E9371AE2}"/>
            </c:ext>
          </c:extLst>
        </c:ser>
        <c:ser>
          <c:idx val="4"/>
          <c:order val="4"/>
          <c:tx>
            <c:strRef>
              <c:f>'Exit Waterfall'!$B$206</c:f>
              <c:strCache>
                <c:ptCount val="1"/>
                <c:pt idx="0">
                  <c:v> Common (including Options)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1ECD-3F40-857C-B3A7E9371AE2}"/>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0</xdr:rowOff>
    </xdr:from>
    <xdr:to>
      <xdr:col>3</xdr:col>
      <xdr:colOff>3949700</xdr:colOff>
      <xdr:row>18</xdr:row>
      <xdr:rowOff>101600</xdr:rowOff>
    </xdr:to>
    <xdr:sp macro="" textlink="">
      <xdr:nvSpPr>
        <xdr:cNvPr id="2" name="Right Triangle 1">
          <a:extLst>
            <a:ext uri="{FF2B5EF4-FFF2-40B4-BE49-F238E27FC236}">
              <a16:creationId xmlns:a16="http://schemas.microsoft.com/office/drawing/2014/main" id="{DCF93A73-9AA7-7945-A52F-BE864066A297}"/>
            </a:ext>
          </a:extLst>
        </xdr:cNvPr>
        <xdr:cNvSpPr/>
      </xdr:nvSpPr>
      <xdr:spPr>
        <a:xfrm flipV="1">
          <a:off x="12700" y="0"/>
          <a:ext cx="10718800" cy="6870700"/>
        </a:xfrm>
        <a:prstGeom prst="rtTriangle">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262</xdr:row>
      <xdr:rowOff>76200</xdr:rowOff>
    </xdr:from>
    <xdr:to>
      <xdr:col>9</xdr:col>
      <xdr:colOff>1206500</xdr:colOff>
      <xdr:row>288</xdr:row>
      <xdr:rowOff>127000</xdr:rowOff>
    </xdr:to>
    <xdr:graphicFrame macro="">
      <xdr:nvGraphicFramePr>
        <xdr:cNvPr id="2" name="Chart 1">
          <a:extLst>
            <a:ext uri="{FF2B5EF4-FFF2-40B4-BE49-F238E27FC236}">
              <a16:creationId xmlns:a16="http://schemas.microsoft.com/office/drawing/2014/main" id="{9DE0FAF7-3CB5-1848-B7F6-06EB0BFDC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291</xdr:row>
      <xdr:rowOff>12700</xdr:rowOff>
    </xdr:from>
    <xdr:to>
      <xdr:col>10</xdr:col>
      <xdr:colOff>0</xdr:colOff>
      <xdr:row>321</xdr:row>
      <xdr:rowOff>139700</xdr:rowOff>
    </xdr:to>
    <xdr:graphicFrame macro="">
      <xdr:nvGraphicFramePr>
        <xdr:cNvPr id="3" name="Chart 2">
          <a:extLst>
            <a:ext uri="{FF2B5EF4-FFF2-40B4-BE49-F238E27FC236}">
              <a16:creationId xmlns:a16="http://schemas.microsoft.com/office/drawing/2014/main" id="{3DBC1303-461E-6B4F-8B27-832648FCA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ED11-E6A2-484E-ACA1-1DD8501B5937}">
  <sheetPr codeName="Sheet5">
    <pageSetUpPr fitToPage="1"/>
  </sheetPr>
  <dimension ref="B2:D38"/>
  <sheetViews>
    <sheetView showGridLines="0" tabSelected="1" workbookViewId="0">
      <selection activeCell="B1" sqref="B1"/>
    </sheetView>
  </sheetViews>
  <sheetFormatPr baseColWidth="10" defaultColWidth="9" defaultRowHeight="21"/>
  <cols>
    <col min="1" max="1" width="6.33203125" style="96" customWidth="1"/>
    <col min="2" max="2" width="67.1640625" style="96" customWidth="1"/>
    <col min="3" max="3" width="15.5" style="96" customWidth="1"/>
    <col min="4" max="4" width="64.6640625" style="96" customWidth="1"/>
    <col min="5" max="16384" width="9" style="96"/>
  </cols>
  <sheetData>
    <row r="2" spans="2:4">
      <c r="B2" s="95" t="str">
        <f>UPPER(B25)&amp;" "&amp;UPPER(B26)&amp;" "&amp;UPPER(B27)&amp;" "&amp;IF(ISBLANK(B28),""," FOR "&amp;UPPER(B28))</f>
        <v xml:space="preserve">EXIT WATERFALL TOOL </v>
      </c>
      <c r="C2" s="95"/>
    </row>
    <row r="3" spans="2:4">
      <c r="B3" s="97"/>
      <c r="C3" s="97"/>
    </row>
    <row r="4" spans="2:4" ht="22">
      <c r="B4" s="98" t="s">
        <v>200</v>
      </c>
      <c r="C4" s="98"/>
    </row>
    <row r="5" spans="2:4" ht="22">
      <c r="B5" s="98" t="str">
        <f>"See more models at "&amp;"https://"&amp;B29</f>
        <v>See more models at https://foresight.is</v>
      </c>
      <c r="C5" s="98"/>
    </row>
    <row r="6" spans="2:4" ht="22">
      <c r="B6" s="98" t="str">
        <f>B30&amp;"@"&amp;B29&amp;" - @tdavidson"</f>
        <v>hello@foresight.is - @tdavidson</v>
      </c>
      <c r="C6" s="98"/>
    </row>
    <row r="7" spans="2:4" ht="22">
      <c r="B7" s="99" t="str">
        <f>"Questions, comments, ideas, email "&amp;B30&amp;"@"&amp;B29</f>
        <v>Questions, comments, ideas, email hello@foresight.is</v>
      </c>
      <c r="C7" s="99"/>
    </row>
    <row r="8" spans="2:4" ht="22">
      <c r="B8" s="100" t="s">
        <v>201</v>
      </c>
      <c r="C8" s="100"/>
    </row>
    <row r="10" spans="2:4" ht="22" customHeight="1"/>
    <row r="11" spans="2:4" ht="22" customHeight="1">
      <c r="B11" s="108" t="s">
        <v>202</v>
      </c>
      <c r="D11" s="109" t="s">
        <v>203</v>
      </c>
    </row>
    <row r="12" spans="2:4" ht="22" customHeight="1">
      <c r="B12" s="102" t="str">
        <f>"License at https://"&amp;B29&amp;"/license"</f>
        <v>License at https://foresight.is/license</v>
      </c>
      <c r="D12" s="103" t="s">
        <v>204</v>
      </c>
    </row>
    <row r="13" spans="2:4" ht="22" customHeight="1">
      <c r="B13" s="99" t="s">
        <v>205</v>
      </c>
      <c r="D13" s="103" t="str">
        <f>"Get updates at https://"&amp;B29&amp;"/"&amp;B25&amp;"-"&amp;B26&amp;"-"&amp;B27</f>
        <v>Get updates at https://foresight.is/exit-waterfall-tool</v>
      </c>
    </row>
    <row r="14" spans="2:4">
      <c r="B14" s="98"/>
      <c r="C14" s="98"/>
    </row>
    <row r="15" spans="2:4">
      <c r="B15" s="98"/>
      <c r="C15" s="98"/>
    </row>
    <row r="16" spans="2:4" ht="22">
      <c r="B16" s="104" t="s">
        <v>206</v>
      </c>
      <c r="C16" s="105"/>
      <c r="D16" s="104" t="s">
        <v>207</v>
      </c>
    </row>
    <row r="17" spans="2:4" ht="165" customHeight="1">
      <c r="B17" s="103" t="s">
        <v>208</v>
      </c>
      <c r="C17" s="106"/>
      <c r="D17" s="103" t="s">
        <v>209</v>
      </c>
    </row>
    <row r="18" spans="2:4" ht="22" customHeight="1">
      <c r="B18" s="103"/>
      <c r="C18" s="106"/>
      <c r="D18" s="103"/>
    </row>
    <row r="19" spans="2:4" ht="22">
      <c r="B19" s="104" t="s">
        <v>210</v>
      </c>
      <c r="C19" s="106"/>
      <c r="D19" s="104" t="s">
        <v>211</v>
      </c>
    </row>
    <row r="20" spans="2:4" ht="89" customHeight="1">
      <c r="B20" s="103" t="s">
        <v>212</v>
      </c>
      <c r="C20" s="105"/>
      <c r="D20" s="103"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ht="44">
      <c r="B21" s="103" t="s">
        <v>213</v>
      </c>
      <c r="C21" s="106"/>
    </row>
    <row r="22" spans="2:4" ht="132">
      <c r="B22" s="103" t="s">
        <v>214</v>
      </c>
      <c r="C22" s="105"/>
      <c r="D22" s="105"/>
    </row>
    <row r="23" spans="2:4" ht="64" customHeight="1">
      <c r="C23" s="106"/>
      <c r="D23" s="107"/>
    </row>
    <row r="24" spans="2:4">
      <c r="B24" s="101" t="s">
        <v>215</v>
      </c>
      <c r="C24" s="106"/>
    </row>
    <row r="25" spans="2:4">
      <c r="B25" s="96" t="s">
        <v>219</v>
      </c>
      <c r="C25" s="106"/>
    </row>
    <row r="26" spans="2:4">
      <c r="B26" s="96" t="s">
        <v>220</v>
      </c>
      <c r="C26" s="106"/>
    </row>
    <row r="27" spans="2:4">
      <c r="B27" s="96" t="s">
        <v>216</v>
      </c>
      <c r="C27" s="106"/>
    </row>
    <row r="28" spans="2:4">
      <c r="C28" s="106"/>
    </row>
    <row r="29" spans="2:4" ht="22">
      <c r="B29" s="106" t="s">
        <v>217</v>
      </c>
      <c r="C29" s="106"/>
    </row>
    <row r="30" spans="2:4" ht="22">
      <c r="B30" s="106" t="s">
        <v>218</v>
      </c>
      <c r="C30" s="106"/>
    </row>
    <row r="31" spans="2:4">
      <c r="C31" s="105"/>
    </row>
    <row r="32" spans="2:4">
      <c r="C32" s="106"/>
    </row>
    <row r="33" spans="2:3">
      <c r="B33" s="105"/>
      <c r="C33" s="105"/>
    </row>
    <row r="35" spans="2:3">
      <c r="C35" s="101"/>
    </row>
    <row r="38" spans="2:3">
      <c r="C38" s="101"/>
    </row>
  </sheetData>
  <pageMargins left="0.75" right="0.75" top="1" bottom="1" header="0.5" footer="0.5"/>
  <pageSetup scale="63"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3840-8A87-BB42-9254-EFBC0802418F}">
  <sheetPr codeName="Sheet1"/>
  <dimension ref="B2:B29"/>
  <sheetViews>
    <sheetView showGridLines="0" topLeftCell="A8" workbookViewId="0">
      <selection activeCell="B9" sqref="B9"/>
    </sheetView>
  </sheetViews>
  <sheetFormatPr baseColWidth="10" defaultRowHeight="21"/>
  <cols>
    <col min="1" max="1" width="5.1640625" style="88" customWidth="1"/>
    <col min="2" max="2" width="161.1640625" style="90" customWidth="1"/>
    <col min="3" max="16384" width="10.83203125" style="88"/>
  </cols>
  <sheetData>
    <row r="2" spans="2:2" ht="22">
      <c r="B2" s="87" t="s">
        <v>171</v>
      </c>
    </row>
    <row r="3" spans="2:2" ht="22">
      <c r="B3" s="89" t="s">
        <v>172</v>
      </c>
    </row>
    <row r="4" spans="2:2" ht="114" customHeight="1">
      <c r="B4" s="90" t="s">
        <v>173</v>
      </c>
    </row>
    <row r="6" spans="2:2" ht="22">
      <c r="B6" s="90" t="s">
        <v>174</v>
      </c>
    </row>
    <row r="8" spans="2:2" ht="22">
      <c r="B8" s="90" t="s">
        <v>175</v>
      </c>
    </row>
    <row r="9" spans="2:2" ht="44">
      <c r="B9" s="90" t="s">
        <v>176</v>
      </c>
    </row>
    <row r="10" spans="2:2" ht="22">
      <c r="B10" s="90" t="s">
        <v>177</v>
      </c>
    </row>
    <row r="11" spans="2:2" ht="22">
      <c r="B11" s="90" t="s">
        <v>178</v>
      </c>
    </row>
    <row r="12" spans="2:2" ht="22">
      <c r="B12" s="90" t="s">
        <v>179</v>
      </c>
    </row>
    <row r="14" spans="2:2" ht="22">
      <c r="B14" s="90" t="s">
        <v>180</v>
      </c>
    </row>
    <row r="15" spans="2:2" ht="22">
      <c r="B15" s="90" t="s">
        <v>181</v>
      </c>
    </row>
    <row r="16" spans="2:2" ht="22">
      <c r="B16" s="90" t="s">
        <v>182</v>
      </c>
    </row>
    <row r="17" spans="2:2" ht="22">
      <c r="B17" s="90" t="s">
        <v>183</v>
      </c>
    </row>
    <row r="18" spans="2:2" ht="44">
      <c r="B18" s="90" t="s">
        <v>184</v>
      </c>
    </row>
    <row r="19" spans="2:2" ht="22">
      <c r="B19" s="90" t="s">
        <v>185</v>
      </c>
    </row>
    <row r="20" spans="2:2" ht="22">
      <c r="B20" s="90" t="s">
        <v>186</v>
      </c>
    </row>
    <row r="21" spans="2:2" ht="44">
      <c r="B21" s="90" t="s">
        <v>187</v>
      </c>
    </row>
    <row r="23" spans="2:2" ht="150" customHeight="1">
      <c r="B23" s="90" t="s">
        <v>188</v>
      </c>
    </row>
    <row r="25" spans="2:2" ht="110">
      <c r="B25" s="90" t="s">
        <v>189</v>
      </c>
    </row>
    <row r="27" spans="2:2" ht="88">
      <c r="B27" s="90" t="s">
        <v>190</v>
      </c>
    </row>
    <row r="29" spans="2:2" ht="88">
      <c r="B29" s="90"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439D-2900-4B47-976A-3A99FB454276}">
  <sheetPr codeName="Sheet2"/>
  <dimension ref="A2:Y334"/>
  <sheetViews>
    <sheetView showGridLines="0" zoomScaleNormal="100" workbookViewId="0">
      <selection activeCell="B2" sqref="B2"/>
    </sheetView>
  </sheetViews>
  <sheetFormatPr baseColWidth="10" defaultRowHeight="21" outlineLevelRow="1"/>
  <cols>
    <col min="1" max="1" width="4.6640625" style="41" customWidth="1"/>
    <col min="2" max="2" width="61.5" style="41" customWidth="1"/>
    <col min="3" max="3" width="5.6640625" style="42" customWidth="1"/>
    <col min="4" max="10" width="17.1640625" style="41" customWidth="1"/>
    <col min="11" max="11" width="8.83203125" style="61" customWidth="1"/>
    <col min="12" max="12" width="17.1640625" style="44" customWidth="1"/>
    <col min="13" max="15" width="17.1640625" style="41" customWidth="1"/>
    <col min="16" max="16384" width="10.83203125" style="41"/>
  </cols>
  <sheetData>
    <row r="2" spans="2:17">
      <c r="B2" s="1" t="s">
        <v>111</v>
      </c>
      <c r="C2" s="2"/>
      <c r="D2" s="2"/>
      <c r="E2" s="2"/>
      <c r="F2" s="2"/>
      <c r="G2" s="2"/>
      <c r="H2" s="2"/>
      <c r="I2" s="2"/>
      <c r="J2" s="2"/>
      <c r="K2" s="3"/>
      <c r="L2" s="4"/>
      <c r="M2" s="2"/>
      <c r="N2" s="5"/>
      <c r="O2" s="5"/>
      <c r="P2" s="5"/>
      <c r="Q2" s="5"/>
    </row>
    <row r="3" spans="2:17">
      <c r="B3" s="6" t="s">
        <v>0</v>
      </c>
      <c r="C3" s="2"/>
      <c r="D3" s="2"/>
      <c r="E3" s="2"/>
      <c r="F3" s="2"/>
      <c r="G3" s="2"/>
      <c r="H3" s="2"/>
      <c r="I3" s="2"/>
      <c r="J3" s="2"/>
      <c r="K3" s="3"/>
      <c r="L3" s="4"/>
      <c r="M3" s="2"/>
      <c r="N3" s="5"/>
      <c r="O3" s="5"/>
      <c r="P3" s="5"/>
      <c r="Q3" s="5"/>
    </row>
    <row r="4" spans="2:17">
      <c r="B4" s="5"/>
      <c r="C4" s="2"/>
      <c r="D4" s="2"/>
      <c r="E4" s="2"/>
      <c r="F4" s="2"/>
      <c r="G4" s="2"/>
      <c r="H4" s="2"/>
      <c r="I4" s="2"/>
      <c r="J4" s="2"/>
      <c r="K4" s="3"/>
      <c r="L4" s="4"/>
      <c r="M4" s="2"/>
      <c r="N4" s="5"/>
      <c r="O4" s="5"/>
      <c r="P4" s="5"/>
      <c r="Q4" s="5"/>
    </row>
    <row r="5" spans="2:17">
      <c r="B5" s="5" t="s">
        <v>1</v>
      </c>
      <c r="C5" s="7" t="s">
        <v>2</v>
      </c>
      <c r="D5" s="8">
        <v>0</v>
      </c>
      <c r="E5" s="2"/>
      <c r="F5" s="2"/>
      <c r="G5" s="2"/>
      <c r="H5" s="2"/>
      <c r="I5" s="2"/>
      <c r="J5" s="2"/>
      <c r="K5" s="3">
        <v>1</v>
      </c>
      <c r="L5" s="4" t="s">
        <v>3</v>
      </c>
      <c r="M5" s="2"/>
      <c r="N5" s="5"/>
      <c r="O5" s="5"/>
      <c r="P5" s="5"/>
      <c r="Q5" s="5"/>
    </row>
    <row r="6" spans="2:17">
      <c r="B6" s="5" t="s">
        <v>8</v>
      </c>
      <c r="C6" s="2" t="s">
        <v>9</v>
      </c>
      <c r="D6" s="9">
        <f ca="1">EDATE(TODAY(),24)</f>
        <v>44669</v>
      </c>
      <c r="H6" s="2"/>
      <c r="I6" s="2"/>
      <c r="J6" s="2"/>
      <c r="K6" s="3">
        <f>IF(ISBLANK(L6),"",MAX(K$5:K5)+1)</f>
        <v>2</v>
      </c>
      <c r="L6" s="4" t="s">
        <v>10</v>
      </c>
      <c r="M6" s="2"/>
      <c r="N6" s="5"/>
      <c r="O6" s="5"/>
      <c r="P6" s="5"/>
      <c r="Q6" s="5"/>
    </row>
    <row r="7" spans="2:17">
      <c r="B7" s="5" t="s">
        <v>11</v>
      </c>
      <c r="C7" s="2" t="s">
        <v>12</v>
      </c>
      <c r="D7" s="10">
        <v>0.5</v>
      </c>
      <c r="H7" s="2"/>
      <c r="I7" s="2"/>
      <c r="J7" s="2"/>
      <c r="K7" s="3">
        <f>IF(ISBLANK(L7),"",MAX(K$5:K6)+1)</f>
        <v>3</v>
      </c>
      <c r="L7" s="4" t="s">
        <v>13</v>
      </c>
      <c r="M7" s="2"/>
      <c r="N7" s="5"/>
      <c r="O7" s="5"/>
      <c r="P7" s="5"/>
      <c r="Q7" s="5"/>
    </row>
    <row r="8" spans="2:17">
      <c r="B8" s="5" t="s">
        <v>14</v>
      </c>
      <c r="C8" s="42" t="s">
        <v>15</v>
      </c>
      <c r="D8" s="11" t="s">
        <v>158</v>
      </c>
      <c r="H8" s="2"/>
      <c r="I8" s="2"/>
      <c r="J8" s="2"/>
      <c r="K8" s="3">
        <f>IF(ISBLANK(L8),"",MAX(K$5:K7)+1)</f>
        <v>4</v>
      </c>
      <c r="L8" s="41" t="s">
        <v>16</v>
      </c>
      <c r="M8" s="2"/>
      <c r="N8" s="5"/>
      <c r="O8" s="5"/>
      <c r="P8" s="5"/>
      <c r="Q8" s="5"/>
    </row>
    <row r="9" spans="2:17">
      <c r="B9" s="5" t="s">
        <v>17</v>
      </c>
      <c r="C9" s="42" t="s">
        <v>15</v>
      </c>
      <c r="D9" s="20" t="str">
        <f>IF(SUM(D199:J199)=0,"yes","no")</f>
        <v>yes</v>
      </c>
      <c r="H9" s="2"/>
      <c r="I9" s="2"/>
      <c r="J9" s="2"/>
      <c r="K9" s="3">
        <f>IF(ISBLANK(L9),"",MAX(K$5:K8)+1)</f>
        <v>5</v>
      </c>
      <c r="L9" s="12" t="s">
        <v>18</v>
      </c>
      <c r="M9" s="2"/>
      <c r="N9" s="5"/>
      <c r="O9" s="5"/>
      <c r="P9" s="5"/>
      <c r="Q9" s="5"/>
    </row>
    <row r="10" spans="2:17">
      <c r="B10" s="5"/>
      <c r="C10" s="2"/>
      <c r="D10" s="2"/>
      <c r="E10" s="2"/>
      <c r="F10" s="2"/>
      <c r="G10" s="2"/>
      <c r="H10" s="2"/>
      <c r="I10" s="2"/>
      <c r="J10" s="2"/>
      <c r="K10" s="3" t="str">
        <f>IF(ISBLANK(L10),"",MAX(K$5:K9)+1)</f>
        <v/>
      </c>
      <c r="L10" s="4"/>
      <c r="M10" s="2"/>
      <c r="N10" s="5"/>
      <c r="O10" s="5"/>
      <c r="P10" s="5"/>
      <c r="Q10" s="5"/>
    </row>
    <row r="11" spans="2:17">
      <c r="B11" s="13" t="s">
        <v>19</v>
      </c>
      <c r="C11" s="2"/>
      <c r="D11" s="2"/>
      <c r="E11" s="2"/>
      <c r="F11" s="2"/>
      <c r="G11" s="2"/>
      <c r="H11" s="2"/>
      <c r="I11" s="2"/>
      <c r="J11" s="2"/>
      <c r="K11" s="3">
        <f>IF(ISBLANK(L11),"",MAX(K$5:K10)+1)</f>
        <v>6</v>
      </c>
      <c r="L11" s="4" t="s">
        <v>20</v>
      </c>
      <c r="M11" s="2"/>
      <c r="N11" s="5"/>
      <c r="O11" s="5"/>
      <c r="P11" s="5"/>
      <c r="Q11" s="5"/>
    </row>
    <row r="12" spans="2:17">
      <c r="B12" s="5"/>
      <c r="C12" s="2"/>
      <c r="D12" s="2"/>
      <c r="E12" s="2"/>
      <c r="F12" s="2"/>
      <c r="G12" s="2"/>
      <c r="H12" s="2"/>
      <c r="I12" s="2"/>
      <c r="J12" s="2"/>
      <c r="K12" s="3" t="str">
        <f>IF(ISBLANK(L12),"",MAX(K$5:K11)+1)</f>
        <v/>
      </c>
      <c r="L12" s="4"/>
      <c r="M12" s="2"/>
      <c r="N12" s="5"/>
      <c r="O12" s="5"/>
      <c r="P12" s="5"/>
      <c r="Q12" s="5"/>
    </row>
    <row r="13" spans="2:17">
      <c r="B13" s="5" t="s">
        <v>21</v>
      </c>
      <c r="C13" s="2"/>
      <c r="D13" s="63" t="s">
        <v>22</v>
      </c>
      <c r="E13" s="63" t="s">
        <v>23</v>
      </c>
      <c r="F13" s="63" t="s">
        <v>24</v>
      </c>
      <c r="G13" s="63" t="s">
        <v>25</v>
      </c>
      <c r="H13" s="64" t="s">
        <v>26</v>
      </c>
      <c r="I13" s="64" t="s">
        <v>27</v>
      </c>
      <c r="J13" s="64" t="s">
        <v>28</v>
      </c>
      <c r="K13" s="3" t="str">
        <f>IF(ISBLANK(L13),"",MAX(K$5:K12)+1)</f>
        <v/>
      </c>
      <c r="L13" s="4"/>
      <c r="M13" s="2"/>
      <c r="N13" s="5"/>
      <c r="O13" s="5"/>
      <c r="P13" s="5"/>
      <c r="Q13" s="5"/>
    </row>
    <row r="14" spans="2:17">
      <c r="B14" s="8" t="s">
        <v>108</v>
      </c>
      <c r="C14" s="2" t="s">
        <v>5</v>
      </c>
      <c r="D14" s="8">
        <v>0</v>
      </c>
      <c r="E14" s="8">
        <v>0</v>
      </c>
      <c r="F14" s="8">
        <v>0</v>
      </c>
      <c r="G14" s="8">
        <v>0</v>
      </c>
      <c r="H14" s="8">
        <v>0</v>
      </c>
      <c r="I14" s="8">
        <v>0</v>
      </c>
      <c r="J14" s="14">
        <f t="shared" ref="J14:J22" si="0">SUM(D14:I14)</f>
        <v>0</v>
      </c>
      <c r="K14" s="3">
        <f>IF(ISBLANK(L14),"",MAX(K$5:K13)+1)</f>
        <v>7</v>
      </c>
      <c r="L14" s="4" t="s">
        <v>134</v>
      </c>
      <c r="M14" s="2"/>
      <c r="N14" s="5"/>
      <c r="O14" s="5"/>
      <c r="P14" s="5"/>
      <c r="Q14" s="5"/>
    </row>
    <row r="15" spans="2:17">
      <c r="B15" s="8" t="s">
        <v>108</v>
      </c>
      <c r="C15" s="2" t="s">
        <v>5</v>
      </c>
      <c r="D15" s="8">
        <v>0</v>
      </c>
      <c r="E15" s="8">
        <v>0</v>
      </c>
      <c r="F15" s="8">
        <v>0</v>
      </c>
      <c r="G15" s="8">
        <v>0</v>
      </c>
      <c r="H15" s="8">
        <v>0</v>
      </c>
      <c r="I15" s="8">
        <v>0</v>
      </c>
      <c r="J15" s="14">
        <f t="shared" si="0"/>
        <v>0</v>
      </c>
      <c r="K15" s="3" t="str">
        <f>IF(ISBLANK(L15),"",MAX(K$5:K14)+1)</f>
        <v/>
      </c>
      <c r="L15" s="4"/>
      <c r="M15" s="2"/>
      <c r="N15" s="5"/>
      <c r="O15" s="5"/>
      <c r="P15" s="5"/>
      <c r="Q15" s="5"/>
    </row>
    <row r="16" spans="2:17">
      <c r="B16" s="8" t="s">
        <v>108</v>
      </c>
      <c r="C16" s="2" t="s">
        <v>5</v>
      </c>
      <c r="D16" s="8">
        <v>0</v>
      </c>
      <c r="E16" s="8">
        <v>0</v>
      </c>
      <c r="F16" s="8">
        <v>0</v>
      </c>
      <c r="G16" s="8">
        <v>0</v>
      </c>
      <c r="H16" s="8">
        <v>0</v>
      </c>
      <c r="I16" s="8">
        <v>0</v>
      </c>
      <c r="J16" s="14">
        <f t="shared" si="0"/>
        <v>0</v>
      </c>
      <c r="K16" s="3" t="str">
        <f>IF(ISBLANK(L16),"",MAX(K$5:K15)+1)</f>
        <v/>
      </c>
      <c r="L16" s="4"/>
      <c r="M16" s="2"/>
      <c r="N16" s="5"/>
      <c r="O16" s="5"/>
      <c r="P16" s="5"/>
      <c r="Q16" s="5"/>
    </row>
    <row r="17" spans="2:17">
      <c r="B17" s="8" t="s">
        <v>108</v>
      </c>
      <c r="C17" s="2" t="s">
        <v>5</v>
      </c>
      <c r="D17" s="8">
        <v>0</v>
      </c>
      <c r="E17" s="8">
        <v>0</v>
      </c>
      <c r="F17" s="8">
        <v>0</v>
      </c>
      <c r="G17" s="8">
        <v>0</v>
      </c>
      <c r="H17" s="8">
        <v>0</v>
      </c>
      <c r="I17" s="8">
        <v>0</v>
      </c>
      <c r="J17" s="14">
        <f t="shared" si="0"/>
        <v>0</v>
      </c>
      <c r="K17" s="3" t="str">
        <f>IF(ISBLANK(L17),"",MAX(K$5:K16)+1)</f>
        <v/>
      </c>
      <c r="L17" s="4"/>
      <c r="M17" s="2"/>
      <c r="N17" s="5"/>
      <c r="O17" s="5"/>
      <c r="P17" s="5"/>
      <c r="Q17" s="5"/>
    </row>
    <row r="18" spans="2:17">
      <c r="B18" s="8" t="s">
        <v>108</v>
      </c>
      <c r="C18" s="2" t="s">
        <v>5</v>
      </c>
      <c r="D18" s="8">
        <v>0</v>
      </c>
      <c r="E18" s="8">
        <v>0</v>
      </c>
      <c r="F18" s="8">
        <v>0</v>
      </c>
      <c r="G18" s="8">
        <v>0</v>
      </c>
      <c r="H18" s="8">
        <v>0</v>
      </c>
      <c r="I18" s="8">
        <v>0</v>
      </c>
      <c r="J18" s="14">
        <f t="shared" si="0"/>
        <v>0</v>
      </c>
      <c r="K18" s="3" t="str">
        <f>IF(ISBLANK(L18),"",MAX(K$5:K17)+1)</f>
        <v/>
      </c>
      <c r="L18" s="4"/>
      <c r="M18" s="2"/>
      <c r="N18" s="5"/>
      <c r="O18" s="5"/>
      <c r="P18" s="5"/>
      <c r="Q18" s="5"/>
    </row>
    <row r="19" spans="2:17">
      <c r="B19" s="8" t="s">
        <v>108</v>
      </c>
      <c r="C19" s="2" t="s">
        <v>5</v>
      </c>
      <c r="D19" s="8">
        <v>0</v>
      </c>
      <c r="E19" s="8">
        <v>0</v>
      </c>
      <c r="F19" s="8">
        <v>0</v>
      </c>
      <c r="G19" s="8">
        <v>0</v>
      </c>
      <c r="H19" s="8">
        <v>0</v>
      </c>
      <c r="I19" s="8">
        <v>0</v>
      </c>
      <c r="J19" s="14">
        <f t="shared" si="0"/>
        <v>0</v>
      </c>
      <c r="K19" s="3" t="str">
        <f>IF(ISBLANK(L19),"",MAX(K$5:K18)+1)</f>
        <v/>
      </c>
      <c r="L19" s="4"/>
      <c r="M19" s="2"/>
      <c r="N19" s="5"/>
      <c r="O19" s="5"/>
      <c r="P19" s="5"/>
      <c r="Q19" s="5"/>
    </row>
    <row r="20" spans="2:17">
      <c r="B20" s="8" t="s">
        <v>108</v>
      </c>
      <c r="C20" s="2" t="s">
        <v>5</v>
      </c>
      <c r="D20" s="8">
        <v>0</v>
      </c>
      <c r="E20" s="8">
        <v>0</v>
      </c>
      <c r="F20" s="8">
        <v>0</v>
      </c>
      <c r="G20" s="8">
        <v>0</v>
      </c>
      <c r="H20" s="8">
        <v>0</v>
      </c>
      <c r="I20" s="8">
        <v>0</v>
      </c>
      <c r="J20" s="14">
        <f t="shared" si="0"/>
        <v>0</v>
      </c>
      <c r="K20" s="3" t="str">
        <f>IF(ISBLANK(L20),"",MAX(K$5:K19)+1)</f>
        <v/>
      </c>
      <c r="L20" s="4"/>
      <c r="M20" s="2"/>
      <c r="N20" s="5"/>
      <c r="O20" s="5"/>
      <c r="P20" s="5"/>
      <c r="Q20" s="5"/>
    </row>
    <row r="21" spans="2:17">
      <c r="B21" s="8" t="s">
        <v>29</v>
      </c>
      <c r="C21" s="2" t="s">
        <v>5</v>
      </c>
      <c r="D21" s="14">
        <v>0</v>
      </c>
      <c r="E21" s="14">
        <v>0</v>
      </c>
      <c r="F21" s="14">
        <v>0</v>
      </c>
      <c r="G21" s="14">
        <v>0</v>
      </c>
      <c r="H21" s="14">
        <v>0</v>
      </c>
      <c r="I21" s="8">
        <v>0</v>
      </c>
      <c r="J21" s="14">
        <f t="shared" si="0"/>
        <v>0</v>
      </c>
      <c r="K21" s="3">
        <f>IF(ISBLANK(L21),"",MAX(K$5:K20)+1)</f>
        <v>8</v>
      </c>
      <c r="L21" s="4" t="s">
        <v>112</v>
      </c>
      <c r="M21" s="2"/>
      <c r="N21" s="5"/>
      <c r="O21" s="5"/>
      <c r="P21" s="5"/>
      <c r="Q21" s="5"/>
    </row>
    <row r="22" spans="2:17">
      <c r="B22" s="8" t="s">
        <v>30</v>
      </c>
      <c r="C22" s="2" t="s">
        <v>5</v>
      </c>
      <c r="D22" s="14">
        <v>0</v>
      </c>
      <c r="E22" s="14">
        <v>0</v>
      </c>
      <c r="F22" s="14">
        <v>0</v>
      </c>
      <c r="G22" s="14">
        <v>0</v>
      </c>
      <c r="H22" s="14">
        <v>0</v>
      </c>
      <c r="I22" s="8">
        <v>0</v>
      </c>
      <c r="J22" s="14">
        <f t="shared" si="0"/>
        <v>0</v>
      </c>
      <c r="K22" s="3">
        <f>IF(ISBLANK(L22),"",MAX(K$5:K21)+1)</f>
        <v>9</v>
      </c>
      <c r="L22" s="4" t="s">
        <v>31</v>
      </c>
      <c r="M22" s="2"/>
      <c r="N22" s="5"/>
      <c r="O22" s="5"/>
      <c r="P22" s="5"/>
      <c r="Q22" s="5"/>
    </row>
    <row r="23" spans="2:17">
      <c r="B23" s="5"/>
      <c r="C23" s="2"/>
      <c r="D23" s="14"/>
      <c r="E23" s="14"/>
      <c r="F23" s="14"/>
      <c r="G23" s="14"/>
      <c r="H23" s="14"/>
      <c r="I23" s="14"/>
      <c r="J23" s="14"/>
      <c r="K23" s="3" t="str">
        <f>IF(ISBLANK(L23),"",MAX(K$5:K22)+1)</f>
        <v/>
      </c>
      <c r="L23" s="4"/>
      <c r="M23" s="2"/>
      <c r="N23" s="5"/>
      <c r="O23" s="5"/>
      <c r="P23" s="5"/>
      <c r="Q23" s="5"/>
    </row>
    <row r="24" spans="2:17">
      <c r="B24" s="31" t="s">
        <v>32</v>
      </c>
      <c r="C24" s="2" t="s">
        <v>5</v>
      </c>
      <c r="D24" s="15">
        <f t="shared" ref="D24:J24" si="1">SUM(D14:D22)</f>
        <v>0</v>
      </c>
      <c r="E24" s="15">
        <f t="shared" si="1"/>
        <v>0</v>
      </c>
      <c r="F24" s="15">
        <f t="shared" si="1"/>
        <v>0</v>
      </c>
      <c r="G24" s="15">
        <f t="shared" si="1"/>
        <v>0</v>
      </c>
      <c r="H24" s="15">
        <f t="shared" si="1"/>
        <v>0</v>
      </c>
      <c r="I24" s="15">
        <f t="shared" si="1"/>
        <v>0</v>
      </c>
      <c r="J24" s="15">
        <f t="shared" si="1"/>
        <v>0</v>
      </c>
      <c r="K24" s="3" t="str">
        <f>IF(ISBLANK(L24),"",MAX(K$5:K23)+1)</f>
        <v/>
      </c>
      <c r="L24" s="4"/>
      <c r="M24" s="2"/>
      <c r="N24" s="5"/>
      <c r="O24" s="5"/>
      <c r="P24" s="5"/>
      <c r="Q24" s="5"/>
    </row>
    <row r="25" spans="2:17">
      <c r="B25" s="31" t="s">
        <v>33</v>
      </c>
      <c r="C25" s="2" t="s">
        <v>12</v>
      </c>
      <c r="D25" s="16">
        <f>IFERROR(D24/$J24,0)</f>
        <v>0</v>
      </c>
      <c r="E25" s="16">
        <f t="shared" ref="E25:J25" si="2">IFERROR(E24/$J24,0)</f>
        <v>0</v>
      </c>
      <c r="F25" s="16">
        <f t="shared" si="2"/>
        <v>0</v>
      </c>
      <c r="G25" s="16">
        <f t="shared" si="2"/>
        <v>0</v>
      </c>
      <c r="H25" s="16">
        <f t="shared" si="2"/>
        <v>0</v>
      </c>
      <c r="I25" s="16">
        <f t="shared" si="2"/>
        <v>0</v>
      </c>
      <c r="J25" s="16">
        <f t="shared" si="2"/>
        <v>0</v>
      </c>
      <c r="K25" s="3" t="str">
        <f>IF(ISBLANK(L25),"",MAX(K$5:K24)+1)</f>
        <v/>
      </c>
      <c r="L25" s="4"/>
      <c r="M25" s="2"/>
      <c r="N25" s="5"/>
      <c r="O25" s="5"/>
      <c r="P25" s="5"/>
      <c r="Q25" s="5"/>
    </row>
    <row r="26" spans="2:17">
      <c r="B26" s="31"/>
      <c r="C26" s="2"/>
      <c r="D26" s="2"/>
      <c r="E26" s="2"/>
      <c r="F26" s="2"/>
      <c r="G26" s="2"/>
      <c r="H26" s="2"/>
      <c r="I26" s="2"/>
      <c r="J26" s="2"/>
      <c r="K26" s="3" t="str">
        <f>IF(ISBLANK(L26),"",MAX(K$5:K25)+1)</f>
        <v/>
      </c>
      <c r="L26" s="4"/>
      <c r="M26" s="2"/>
      <c r="N26" s="5"/>
      <c r="O26" s="5"/>
      <c r="P26" s="5"/>
      <c r="Q26" s="5"/>
    </row>
    <row r="27" spans="2:17">
      <c r="B27" s="34" t="s">
        <v>34</v>
      </c>
      <c r="C27" s="2"/>
      <c r="D27" s="2"/>
      <c r="E27" s="2"/>
      <c r="F27" s="2"/>
      <c r="G27" s="2"/>
      <c r="H27" s="2"/>
      <c r="I27" s="2"/>
      <c r="J27" s="2"/>
      <c r="K27" s="3">
        <f>IF(ISBLANK(L27),"",MAX(K$5:K26)+1)</f>
        <v>10</v>
      </c>
      <c r="L27" s="4" t="s">
        <v>113</v>
      </c>
      <c r="M27" s="2"/>
      <c r="N27" s="5"/>
      <c r="O27" s="5"/>
      <c r="P27" s="5"/>
      <c r="Q27" s="5"/>
    </row>
    <row r="28" spans="2:17" outlineLevel="1">
      <c r="B28" s="31" t="str">
        <f t="shared" ref="B28:B36" si="3">B14</f>
        <v>Investor</v>
      </c>
      <c r="C28" s="2" t="str">
        <f t="shared" ref="C28:C38" si="4">C$5</f>
        <v>$</v>
      </c>
      <c r="D28" s="8">
        <v>0</v>
      </c>
      <c r="E28" s="8">
        <v>0</v>
      </c>
      <c r="F28" s="8">
        <v>0</v>
      </c>
      <c r="G28" s="8">
        <v>0</v>
      </c>
      <c r="H28" s="8">
        <v>0</v>
      </c>
      <c r="I28" s="8">
        <v>0</v>
      </c>
      <c r="J28" s="14">
        <f t="shared" ref="J28:J36" si="5">SUM(D28:I28)</f>
        <v>0</v>
      </c>
      <c r="K28" s="3">
        <f>IF(ISBLANK(L28),"",MAX(K$5:K27)+1)</f>
        <v>11</v>
      </c>
      <c r="L28" s="4" t="s">
        <v>114</v>
      </c>
      <c r="M28" s="2"/>
      <c r="N28" s="5"/>
      <c r="O28" s="5"/>
      <c r="P28" s="5"/>
      <c r="Q28" s="5"/>
    </row>
    <row r="29" spans="2:17" outlineLevel="1">
      <c r="B29" s="31" t="str">
        <f t="shared" si="3"/>
        <v>Investor</v>
      </c>
      <c r="C29" s="2" t="str">
        <f t="shared" si="4"/>
        <v>$</v>
      </c>
      <c r="D29" s="8">
        <v>0</v>
      </c>
      <c r="E29" s="8">
        <v>0</v>
      </c>
      <c r="F29" s="8">
        <v>0</v>
      </c>
      <c r="G29" s="8">
        <v>0</v>
      </c>
      <c r="H29" s="8">
        <v>0</v>
      </c>
      <c r="I29" s="8">
        <v>0</v>
      </c>
      <c r="J29" s="14">
        <f t="shared" si="5"/>
        <v>0</v>
      </c>
      <c r="K29" s="3" t="str">
        <f>IF(ISBLANK(L29),"",MAX(K$5:K28)+1)</f>
        <v/>
      </c>
      <c r="L29" s="4"/>
      <c r="M29" s="2"/>
      <c r="N29" s="5"/>
      <c r="O29" s="5"/>
      <c r="P29" s="5"/>
      <c r="Q29" s="5"/>
    </row>
    <row r="30" spans="2:17" outlineLevel="1">
      <c r="B30" s="31" t="str">
        <f t="shared" si="3"/>
        <v>Investor</v>
      </c>
      <c r="C30" s="2" t="str">
        <f t="shared" si="4"/>
        <v>$</v>
      </c>
      <c r="D30" s="8">
        <v>0</v>
      </c>
      <c r="E30" s="8">
        <v>0</v>
      </c>
      <c r="F30" s="8">
        <v>0</v>
      </c>
      <c r="G30" s="8">
        <v>0</v>
      </c>
      <c r="H30" s="8">
        <v>0</v>
      </c>
      <c r="I30" s="8">
        <v>0</v>
      </c>
      <c r="J30" s="14">
        <f t="shared" si="5"/>
        <v>0</v>
      </c>
      <c r="K30" s="3" t="str">
        <f>IF(ISBLANK(L30),"",MAX(K$5:K29)+1)</f>
        <v/>
      </c>
      <c r="L30" s="4"/>
      <c r="M30" s="2"/>
      <c r="N30" s="5"/>
      <c r="O30" s="5"/>
      <c r="P30" s="5"/>
      <c r="Q30" s="5"/>
    </row>
    <row r="31" spans="2:17" outlineLevel="1">
      <c r="B31" s="31" t="str">
        <f t="shared" si="3"/>
        <v>Investor</v>
      </c>
      <c r="C31" s="2" t="str">
        <f t="shared" si="4"/>
        <v>$</v>
      </c>
      <c r="D31" s="8">
        <v>0</v>
      </c>
      <c r="E31" s="8">
        <v>0</v>
      </c>
      <c r="F31" s="8">
        <v>0</v>
      </c>
      <c r="G31" s="8">
        <v>0</v>
      </c>
      <c r="H31" s="8">
        <v>0</v>
      </c>
      <c r="I31" s="8">
        <v>0</v>
      </c>
      <c r="J31" s="14">
        <f t="shared" si="5"/>
        <v>0</v>
      </c>
      <c r="K31" s="3" t="str">
        <f>IF(ISBLANK(L31),"",MAX(K$5:K30)+1)</f>
        <v/>
      </c>
      <c r="L31" s="4"/>
      <c r="M31" s="2"/>
      <c r="N31" s="5"/>
      <c r="O31" s="5"/>
      <c r="P31" s="5"/>
      <c r="Q31" s="5"/>
    </row>
    <row r="32" spans="2:17" outlineLevel="1">
      <c r="B32" s="31" t="str">
        <f t="shared" si="3"/>
        <v>Investor</v>
      </c>
      <c r="C32" s="2" t="str">
        <f t="shared" si="4"/>
        <v>$</v>
      </c>
      <c r="D32" s="8">
        <v>0</v>
      </c>
      <c r="E32" s="8">
        <v>0</v>
      </c>
      <c r="F32" s="8">
        <v>0</v>
      </c>
      <c r="G32" s="8">
        <v>0</v>
      </c>
      <c r="H32" s="8">
        <v>0</v>
      </c>
      <c r="I32" s="8">
        <v>0</v>
      </c>
      <c r="J32" s="14">
        <f t="shared" si="5"/>
        <v>0</v>
      </c>
      <c r="K32" s="3" t="str">
        <f>IF(ISBLANK(L32),"",MAX(K$5:K31)+1)</f>
        <v/>
      </c>
      <c r="L32" s="4"/>
      <c r="M32" s="2"/>
      <c r="N32" s="5"/>
      <c r="O32" s="5"/>
      <c r="P32" s="5"/>
      <c r="Q32" s="5"/>
    </row>
    <row r="33" spans="2:17" outlineLevel="1">
      <c r="B33" s="31" t="str">
        <f t="shared" si="3"/>
        <v>Investor</v>
      </c>
      <c r="C33" s="2" t="str">
        <f t="shared" si="4"/>
        <v>$</v>
      </c>
      <c r="D33" s="8">
        <v>0</v>
      </c>
      <c r="E33" s="8">
        <v>0</v>
      </c>
      <c r="F33" s="8">
        <v>0</v>
      </c>
      <c r="G33" s="8">
        <v>0</v>
      </c>
      <c r="H33" s="8">
        <v>0</v>
      </c>
      <c r="I33" s="8">
        <v>0</v>
      </c>
      <c r="J33" s="14">
        <f t="shared" si="5"/>
        <v>0</v>
      </c>
      <c r="K33" s="3" t="str">
        <f>IF(ISBLANK(L33),"",MAX(K$5:K32)+1)</f>
        <v/>
      </c>
      <c r="L33" s="4"/>
      <c r="M33" s="2"/>
      <c r="N33" s="5"/>
      <c r="O33" s="5"/>
      <c r="P33" s="5"/>
      <c r="Q33" s="5"/>
    </row>
    <row r="34" spans="2:17" outlineLevel="1">
      <c r="B34" s="31" t="str">
        <f t="shared" si="3"/>
        <v>Investor</v>
      </c>
      <c r="C34" s="2" t="str">
        <f t="shared" si="4"/>
        <v>$</v>
      </c>
      <c r="D34" s="8">
        <v>0</v>
      </c>
      <c r="E34" s="8">
        <v>0</v>
      </c>
      <c r="F34" s="8">
        <v>0</v>
      </c>
      <c r="G34" s="8">
        <v>0</v>
      </c>
      <c r="H34" s="8">
        <v>0</v>
      </c>
      <c r="I34" s="8">
        <v>0</v>
      </c>
      <c r="J34" s="14">
        <f t="shared" si="5"/>
        <v>0</v>
      </c>
      <c r="K34" s="3" t="str">
        <f>IF(ISBLANK(L34),"",MAX(K$5:K33)+1)</f>
        <v/>
      </c>
      <c r="L34" s="4"/>
      <c r="M34" s="2"/>
      <c r="N34" s="5"/>
      <c r="O34" s="5"/>
      <c r="P34" s="5"/>
      <c r="Q34" s="5"/>
    </row>
    <row r="35" spans="2:17" outlineLevel="1">
      <c r="B35" s="31" t="str">
        <f t="shared" si="3"/>
        <v>Options Exercised</v>
      </c>
      <c r="C35" s="2" t="str">
        <f t="shared" si="4"/>
        <v>$</v>
      </c>
      <c r="D35" s="8">
        <v>0</v>
      </c>
      <c r="E35" s="8">
        <v>0</v>
      </c>
      <c r="F35" s="8">
        <v>0</v>
      </c>
      <c r="G35" s="8">
        <v>0</v>
      </c>
      <c r="H35" s="8">
        <v>0</v>
      </c>
      <c r="I35" s="8">
        <v>0</v>
      </c>
      <c r="J35" s="14">
        <f t="shared" si="5"/>
        <v>0</v>
      </c>
      <c r="K35" s="3" t="str">
        <f>IF(ISBLANK(L35),"",MAX(K$5:K34)+1)</f>
        <v/>
      </c>
      <c r="L35" s="4"/>
      <c r="M35" s="2"/>
      <c r="N35" s="5"/>
      <c r="O35" s="5"/>
      <c r="P35" s="5"/>
      <c r="Q35" s="5"/>
    </row>
    <row r="36" spans="2:17" outlineLevel="1">
      <c r="B36" s="31" t="str">
        <f t="shared" si="3"/>
        <v>Option Pool</v>
      </c>
      <c r="C36" s="2" t="str">
        <f t="shared" si="4"/>
        <v>$</v>
      </c>
      <c r="D36" s="8">
        <v>0</v>
      </c>
      <c r="E36" s="8">
        <v>0</v>
      </c>
      <c r="F36" s="8">
        <v>0</v>
      </c>
      <c r="G36" s="8">
        <v>0</v>
      </c>
      <c r="H36" s="8">
        <v>0</v>
      </c>
      <c r="I36" s="8">
        <v>0</v>
      </c>
      <c r="J36" s="14">
        <f t="shared" si="5"/>
        <v>0</v>
      </c>
      <c r="K36" s="3" t="str">
        <f>IF(ISBLANK(L36),"",MAX(K$5:K35)+1)</f>
        <v/>
      </c>
      <c r="L36" s="4"/>
      <c r="M36" s="2"/>
      <c r="N36" s="5"/>
      <c r="O36" s="5"/>
      <c r="P36" s="5"/>
      <c r="Q36" s="5"/>
    </row>
    <row r="37" spans="2:17" outlineLevel="1">
      <c r="B37" s="31"/>
      <c r="C37" s="2"/>
      <c r="D37" s="2"/>
      <c r="E37" s="2"/>
      <c r="F37" s="2"/>
      <c r="G37" s="2"/>
      <c r="H37" s="2"/>
      <c r="I37" s="2"/>
      <c r="J37" s="2"/>
      <c r="K37" s="3" t="str">
        <f>IF(ISBLANK(L37),"",MAX(K$5:K36)+1)</f>
        <v/>
      </c>
      <c r="L37" s="4"/>
      <c r="M37" s="2"/>
      <c r="N37" s="5"/>
      <c r="O37" s="5"/>
      <c r="P37" s="5"/>
      <c r="Q37" s="5"/>
    </row>
    <row r="38" spans="2:17" outlineLevel="1">
      <c r="B38" s="31" t="s">
        <v>132</v>
      </c>
      <c r="C38" s="2" t="str">
        <f t="shared" si="4"/>
        <v>$</v>
      </c>
      <c r="D38" s="43">
        <f t="shared" ref="D38:I38" si="6">SUM(D28:D36)</f>
        <v>0</v>
      </c>
      <c r="E38" s="43">
        <f t="shared" si="6"/>
        <v>0</v>
      </c>
      <c r="F38" s="43">
        <f t="shared" si="6"/>
        <v>0</v>
      </c>
      <c r="G38" s="43">
        <f t="shared" si="6"/>
        <v>0</v>
      </c>
      <c r="H38" s="43">
        <f t="shared" si="6"/>
        <v>0</v>
      </c>
      <c r="I38" s="43">
        <f t="shared" si="6"/>
        <v>0</v>
      </c>
      <c r="J38" s="17">
        <f>SUM(D38:I38)</f>
        <v>0</v>
      </c>
      <c r="K38" s="3">
        <f>IF(ISBLANK(L38),"",MAX(K$5:K37)+1)</f>
        <v>12</v>
      </c>
      <c r="L38" s="4" t="s">
        <v>115</v>
      </c>
      <c r="M38" s="2"/>
      <c r="N38" s="5"/>
      <c r="O38" s="5"/>
      <c r="P38" s="5"/>
      <c r="Q38" s="5"/>
    </row>
    <row r="39" spans="2:17" outlineLevel="1">
      <c r="B39" s="31" t="s">
        <v>131</v>
      </c>
      <c r="C39" s="2" t="str">
        <f>C$5</f>
        <v>$</v>
      </c>
      <c r="D39" s="8">
        <f>D40*D24</f>
        <v>0</v>
      </c>
      <c r="E39" s="8">
        <f>E40*E24</f>
        <v>0</v>
      </c>
      <c r="F39" s="8">
        <f>F40*F24</f>
        <v>0</v>
      </c>
      <c r="G39" s="8">
        <f>G40*G24</f>
        <v>0</v>
      </c>
      <c r="H39" s="8">
        <f>SUM(H28:H36)</f>
        <v>0</v>
      </c>
      <c r="I39" s="8">
        <f>SUM(I28:I36)</f>
        <v>0</v>
      </c>
      <c r="J39" s="17">
        <f>SUM(D39:I39)</f>
        <v>0</v>
      </c>
      <c r="K39" s="3">
        <f>IF(ISBLANK(L39),"",MAX(K$5:K38)+1)</f>
        <v>13</v>
      </c>
      <c r="L39" s="4" t="s">
        <v>35</v>
      </c>
      <c r="M39" s="2"/>
      <c r="N39" s="5"/>
      <c r="O39" s="5"/>
      <c r="P39" s="5"/>
      <c r="Q39" s="5"/>
    </row>
    <row r="40" spans="2:17" outlineLevel="1">
      <c r="B40" s="31" t="s">
        <v>36</v>
      </c>
      <c r="C40" s="2" t="str">
        <f>C$5</f>
        <v>$</v>
      </c>
      <c r="D40" s="18">
        <v>0</v>
      </c>
      <c r="E40" s="18">
        <v>0</v>
      </c>
      <c r="F40" s="18">
        <v>0</v>
      </c>
      <c r="G40" s="18">
        <v>0</v>
      </c>
      <c r="H40" s="18">
        <v>0</v>
      </c>
      <c r="I40" s="18">
        <v>0</v>
      </c>
      <c r="J40" s="19" t="s">
        <v>37</v>
      </c>
      <c r="K40" s="3">
        <f>IF(ISBLANK(L40),"",MAX(K$5:K39)+1)</f>
        <v>14</v>
      </c>
      <c r="L40" s="4" t="s">
        <v>38</v>
      </c>
      <c r="M40" s="2"/>
      <c r="N40" s="5"/>
      <c r="O40" s="5"/>
      <c r="P40" s="5"/>
      <c r="Q40" s="5"/>
    </row>
    <row r="41" spans="2:17" outlineLevel="1">
      <c r="B41" s="31" t="s">
        <v>39</v>
      </c>
      <c r="C41" s="2" t="s">
        <v>9</v>
      </c>
      <c r="D41" s="9">
        <f ca="1">EDATE(TODAY(),0)</f>
        <v>43939</v>
      </c>
      <c r="E41" s="9">
        <f ca="1">EDATE(TODAY(),0)</f>
        <v>43939</v>
      </c>
      <c r="F41" s="9">
        <f ca="1">EDATE(TODAY(),0)</f>
        <v>43939</v>
      </c>
      <c r="G41" s="9">
        <f ca="1">EDATE(TODAY(),0)</f>
        <v>43939</v>
      </c>
      <c r="H41" s="20" t="s">
        <v>37</v>
      </c>
      <c r="I41" s="20" t="s">
        <v>37</v>
      </c>
      <c r="J41" s="2"/>
      <c r="K41" s="3">
        <f>IF(ISBLANK(L41),"",MAX(K$5:K40)+1)</f>
        <v>15</v>
      </c>
      <c r="L41" s="4" t="s">
        <v>40</v>
      </c>
      <c r="M41" s="2"/>
      <c r="N41" s="5"/>
      <c r="O41" s="5"/>
      <c r="P41" s="5"/>
      <c r="Q41" s="5"/>
    </row>
    <row r="42" spans="2:17">
      <c r="B42" s="34"/>
      <c r="C42" s="2"/>
      <c r="D42" s="2"/>
      <c r="E42" s="2"/>
      <c r="F42" s="2"/>
      <c r="G42" s="2"/>
      <c r="H42" s="2"/>
      <c r="I42" s="2"/>
      <c r="J42" s="2"/>
      <c r="K42" s="3" t="str">
        <f>IF(ISBLANK(L42),"",MAX(K$5:K41)+1)</f>
        <v/>
      </c>
      <c r="L42" s="4"/>
      <c r="M42" s="2"/>
      <c r="N42" s="5"/>
      <c r="O42" s="5"/>
      <c r="P42" s="5"/>
      <c r="Q42" s="5"/>
    </row>
    <row r="43" spans="2:17">
      <c r="B43" s="34" t="s">
        <v>41</v>
      </c>
      <c r="C43" s="2"/>
      <c r="D43" s="2"/>
      <c r="E43" s="2"/>
      <c r="F43" s="2"/>
      <c r="G43" s="2"/>
      <c r="H43" s="2"/>
      <c r="I43" s="2"/>
      <c r="J43" s="2"/>
      <c r="K43" s="3">
        <f>IF(ISBLANK(L43),"",MAX(K$5:K42)+1)</f>
        <v>16</v>
      </c>
      <c r="L43" s="4" t="s">
        <v>116</v>
      </c>
      <c r="M43" s="2"/>
      <c r="N43" s="5"/>
      <c r="O43" s="5"/>
      <c r="P43" s="5"/>
      <c r="Q43" s="5"/>
    </row>
    <row r="44" spans="2:17" outlineLevel="1">
      <c r="B44" s="31" t="s">
        <v>42</v>
      </c>
      <c r="C44" s="2" t="s">
        <v>9</v>
      </c>
      <c r="D44" s="21" t="str">
        <f t="shared" ref="D44:F44" si="7">$B333</f>
        <v>Not Declared</v>
      </c>
      <c r="E44" s="21" t="str">
        <f t="shared" si="7"/>
        <v>Not Declared</v>
      </c>
      <c r="F44" s="21" t="str">
        <f t="shared" si="7"/>
        <v>Not Declared</v>
      </c>
      <c r="G44" s="21" t="str">
        <f>$B333</f>
        <v>Not Declared</v>
      </c>
      <c r="H44" s="20" t="str">
        <f>H45</f>
        <v>na</v>
      </c>
      <c r="I44" s="20" t="str">
        <f>I45</f>
        <v>na</v>
      </c>
      <c r="J44" s="2"/>
      <c r="K44" s="3">
        <f>IF(ISBLANK(L44),"",MAX(K$5:K43)+1)</f>
        <v>17</v>
      </c>
      <c r="L44" s="4" t="s">
        <v>117</v>
      </c>
      <c r="M44" s="2"/>
      <c r="N44" s="5"/>
      <c r="O44" s="5"/>
      <c r="P44" s="5"/>
      <c r="Q44" s="5"/>
    </row>
    <row r="45" spans="2:17" outlineLevel="1">
      <c r="B45" s="31" t="s">
        <v>118</v>
      </c>
      <c r="C45" s="2" t="s">
        <v>12</v>
      </c>
      <c r="D45" s="10">
        <v>0.05</v>
      </c>
      <c r="E45" s="10">
        <v>0.05</v>
      </c>
      <c r="F45" s="10">
        <v>0.05</v>
      </c>
      <c r="G45" s="10">
        <v>0.05</v>
      </c>
      <c r="H45" s="20" t="s">
        <v>37</v>
      </c>
      <c r="I45" s="20" t="s">
        <v>37</v>
      </c>
      <c r="J45" s="2"/>
      <c r="K45" s="3">
        <f>IF(ISBLANK(L45),"",MAX(K$5:K44)+1)</f>
        <v>18</v>
      </c>
      <c r="L45" s="4" t="s">
        <v>119</v>
      </c>
      <c r="M45" s="2"/>
      <c r="N45" s="5"/>
      <c r="O45" s="5"/>
      <c r="P45" s="5"/>
      <c r="Q45" s="5"/>
    </row>
    <row r="46" spans="2:17">
      <c r="B46" s="31"/>
      <c r="C46" s="2"/>
      <c r="D46" s="2"/>
      <c r="E46" s="2"/>
      <c r="F46" s="2"/>
      <c r="G46" s="2"/>
      <c r="H46" s="2"/>
      <c r="I46" s="2"/>
      <c r="J46" s="2"/>
      <c r="K46" s="3" t="str">
        <f>IF(ISBLANK(L46),"",MAX(K$5:K45)+1)</f>
        <v/>
      </c>
      <c r="L46" s="4"/>
      <c r="M46" s="2"/>
      <c r="N46" s="5"/>
      <c r="O46" s="5"/>
      <c r="P46" s="5"/>
      <c r="Q46" s="5"/>
    </row>
    <row r="47" spans="2:17">
      <c r="B47" s="34" t="s">
        <v>43</v>
      </c>
      <c r="C47" s="13"/>
      <c r="D47" s="2"/>
      <c r="E47" s="2"/>
      <c r="F47" s="2"/>
      <c r="G47" s="22"/>
      <c r="H47" s="5"/>
      <c r="I47" s="5"/>
      <c r="J47" s="5"/>
      <c r="K47" s="3">
        <f>IF(ISBLANK(L47),"",MAX(K$5:K46)+1)</f>
        <v>19</v>
      </c>
      <c r="L47" s="4" t="s">
        <v>44</v>
      </c>
      <c r="M47" s="5"/>
      <c r="N47" s="5"/>
      <c r="O47" s="5"/>
    </row>
    <row r="48" spans="2:17" outlineLevel="1">
      <c r="B48" s="31" t="s">
        <v>45</v>
      </c>
      <c r="C48" s="23" t="s">
        <v>5</v>
      </c>
      <c r="D48" s="21">
        <v>1</v>
      </c>
      <c r="E48" s="21">
        <v>1</v>
      </c>
      <c r="F48" s="21">
        <v>1</v>
      </c>
      <c r="G48" s="21">
        <v>1</v>
      </c>
      <c r="H48" s="20" t="s">
        <v>37</v>
      </c>
      <c r="I48" s="20" t="s">
        <v>37</v>
      </c>
      <c r="J48" s="5"/>
      <c r="K48" s="3" t="str">
        <f>IF(ISBLANK(L48),"",MAX(K$5:K47)+1)</f>
        <v/>
      </c>
      <c r="L48" s="4"/>
      <c r="M48" s="5"/>
      <c r="N48" s="5"/>
      <c r="O48" s="5"/>
    </row>
    <row r="49" spans="2:25" outlineLevel="1">
      <c r="B49" s="31" t="s">
        <v>43</v>
      </c>
      <c r="C49" s="2" t="str">
        <f>C$5</f>
        <v>$</v>
      </c>
      <c r="D49" s="17">
        <f>D39*D48</f>
        <v>0</v>
      </c>
      <c r="E49" s="17">
        <f>E39*E48</f>
        <v>0</v>
      </c>
      <c r="F49" s="17">
        <f>F39*F48</f>
        <v>0</v>
      </c>
      <c r="G49" s="17">
        <f>G39*G48</f>
        <v>0</v>
      </c>
      <c r="H49" s="20">
        <v>0</v>
      </c>
      <c r="I49" s="20">
        <v>0</v>
      </c>
      <c r="J49" s="17">
        <f>SUM(D49:I49)</f>
        <v>0</v>
      </c>
      <c r="K49" s="3">
        <f>IF(ISBLANK(L49),"",MAX(K$5:K48)+1)</f>
        <v>20</v>
      </c>
      <c r="L49" s="4" t="s">
        <v>109</v>
      </c>
      <c r="N49" s="5"/>
      <c r="Y49" s="14">
        <f>SUMIFS(D49:G49,D50:G50,"&lt;&gt;"&amp;B326)</f>
        <v>0</v>
      </c>
    </row>
    <row r="50" spans="2:25" outlineLevel="1">
      <c r="B50" s="31" t="s">
        <v>46</v>
      </c>
      <c r="C50" s="2" t="s">
        <v>9</v>
      </c>
      <c r="D50" s="24" t="s">
        <v>47</v>
      </c>
      <c r="E50" s="24" t="s">
        <v>47</v>
      </c>
      <c r="F50" s="24" t="s">
        <v>47</v>
      </c>
      <c r="G50" s="24" t="s">
        <v>47</v>
      </c>
      <c r="H50" s="20" t="s">
        <v>37</v>
      </c>
      <c r="I50" s="20" t="s">
        <v>37</v>
      </c>
      <c r="K50" s="3">
        <f>IF(ISBLANK(L50),"",MAX(K$5:K49)+1)</f>
        <v>21</v>
      </c>
      <c r="L50" s="4" t="s">
        <v>48</v>
      </c>
    </row>
    <row r="51" spans="2:25" outlineLevel="1">
      <c r="B51" s="31" t="s">
        <v>49</v>
      </c>
      <c r="C51" s="2" t="s">
        <v>5</v>
      </c>
      <c r="D51" s="21">
        <v>2</v>
      </c>
      <c r="E51" s="21">
        <v>2</v>
      </c>
      <c r="F51" s="21">
        <v>2</v>
      </c>
      <c r="G51" s="21">
        <v>1</v>
      </c>
      <c r="H51" s="20" t="s">
        <v>37</v>
      </c>
      <c r="I51" s="20" t="s">
        <v>37</v>
      </c>
      <c r="K51" s="3">
        <f>IF(ISBLANK(L51),"",MAX(K$5:K50)+1)</f>
        <v>22</v>
      </c>
      <c r="L51" s="4" t="s">
        <v>50</v>
      </c>
    </row>
    <row r="52" spans="2:25" outlineLevel="1">
      <c r="B52" s="31" t="s">
        <v>51</v>
      </c>
      <c r="C52" s="2" t="str">
        <f>C$5</f>
        <v>$</v>
      </c>
      <c r="D52" s="14">
        <f>IF($D$50=$B$327,D39*D51,0)</f>
        <v>0</v>
      </c>
      <c r="E52" s="14">
        <f>IF($D$50=$B$327,E39*E51,0)</f>
        <v>0</v>
      </c>
      <c r="F52" s="14">
        <f>IF($D$50=$B$327,F39*F51,0)</f>
        <v>0</v>
      </c>
      <c r="G52" s="14">
        <f>IF($D$50=$B$327,G39*G51,0)</f>
        <v>0</v>
      </c>
      <c r="H52" s="14">
        <v>0</v>
      </c>
      <c r="I52" s="14">
        <v>0</v>
      </c>
      <c r="J52" s="17">
        <f>SUM(D52:I52)</f>
        <v>0</v>
      </c>
      <c r="K52" s="3" t="str">
        <f>IF(ISBLANK(L52),"",MAX(K$5:K51)+1)</f>
        <v/>
      </c>
      <c r="M52" s="2"/>
      <c r="N52" s="2"/>
      <c r="O52" s="2"/>
      <c r="P52" s="5"/>
      <c r="Q52" s="5"/>
    </row>
    <row r="53" spans="2:25" outlineLevel="1">
      <c r="B53" s="31" t="s">
        <v>52</v>
      </c>
      <c r="C53" s="2" t="s">
        <v>5</v>
      </c>
      <c r="D53" s="21">
        <v>1</v>
      </c>
      <c r="E53" s="21">
        <v>1</v>
      </c>
      <c r="F53" s="21">
        <v>1</v>
      </c>
      <c r="G53" s="21">
        <v>1</v>
      </c>
      <c r="H53" s="25">
        <v>1</v>
      </c>
      <c r="I53" s="25">
        <v>1</v>
      </c>
      <c r="K53" s="3" t="str">
        <f>IF(ISBLANK(L53),"",MAX(K$5:K52)+1)</f>
        <v/>
      </c>
      <c r="M53" s="2"/>
      <c r="N53" s="2"/>
      <c r="O53" s="2"/>
      <c r="P53" s="5"/>
      <c r="Q53" s="5"/>
    </row>
    <row r="54" spans="2:25">
      <c r="B54" s="31"/>
      <c r="C54" s="2"/>
      <c r="D54" s="2"/>
      <c r="E54" s="2"/>
      <c r="F54" s="2"/>
      <c r="G54" s="2"/>
      <c r="H54" s="2"/>
      <c r="I54" s="2"/>
      <c r="J54" s="2"/>
      <c r="K54" s="3" t="str">
        <f>IF(ISBLANK(L54),"",MAX(K$5:K53)+1)</f>
        <v/>
      </c>
      <c r="M54" s="2"/>
      <c r="N54" s="2"/>
      <c r="O54" s="2"/>
      <c r="P54" s="5"/>
      <c r="Q54" s="5"/>
    </row>
    <row r="55" spans="2:25">
      <c r="B55" s="78" t="s">
        <v>130</v>
      </c>
      <c r="C55" s="41"/>
      <c r="D55" s="20"/>
      <c r="E55" s="20"/>
      <c r="K55" s="3">
        <f>IF(ISBLANK(L55),"",MAX(K$5:K54)+1)</f>
        <v>23</v>
      </c>
      <c r="L55" s="41" t="s">
        <v>160</v>
      </c>
      <c r="N55" s="2"/>
      <c r="O55" s="2"/>
      <c r="P55" s="5"/>
      <c r="Q55" s="5"/>
    </row>
    <row r="56" spans="2:25" outlineLevel="1">
      <c r="B56" s="79" t="s">
        <v>133</v>
      </c>
      <c r="C56" s="2" t="s">
        <v>9</v>
      </c>
      <c r="D56" s="62" t="str">
        <f t="shared" ref="D56:I56" si="8">D13</f>
        <v>C</v>
      </c>
      <c r="E56" s="62" t="str">
        <f t="shared" si="8"/>
        <v>B</v>
      </c>
      <c r="F56" s="62" t="str">
        <f t="shared" si="8"/>
        <v>A</v>
      </c>
      <c r="G56" s="62" t="str">
        <f t="shared" si="8"/>
        <v>Seed</v>
      </c>
      <c r="H56" s="62" t="str">
        <f t="shared" si="8"/>
        <v>Common</v>
      </c>
      <c r="I56" s="62" t="str">
        <f t="shared" si="8"/>
        <v>Options</v>
      </c>
      <c r="J56" s="62" t="s">
        <v>37</v>
      </c>
      <c r="K56" s="3">
        <f>IF(ISBLANK(L56),"",MAX(K$5:K55)+1)</f>
        <v>24</v>
      </c>
      <c r="L56" s="41" t="s">
        <v>137</v>
      </c>
      <c r="N56" s="2"/>
      <c r="O56" s="2"/>
      <c r="P56" s="5"/>
      <c r="Q56" s="5"/>
    </row>
    <row r="57" spans="2:25" outlineLevel="1">
      <c r="B57" s="79" t="s">
        <v>159</v>
      </c>
      <c r="C57" s="2" t="s">
        <v>9</v>
      </c>
      <c r="D57" s="66" t="str">
        <f>D56</f>
        <v>C</v>
      </c>
      <c r="E57" s="66" t="str">
        <f>E56</f>
        <v>B</v>
      </c>
      <c r="F57" s="66" t="str">
        <f>F56</f>
        <v>A</v>
      </c>
      <c r="G57" s="66" t="str">
        <f>G56</f>
        <v>Seed</v>
      </c>
      <c r="H57" s="66" t="str">
        <f>H56</f>
        <v>Common</v>
      </c>
      <c r="I57" s="62" t="str">
        <f>H57</f>
        <v>Common</v>
      </c>
      <c r="J57" s="62" t="s">
        <v>37</v>
      </c>
      <c r="K57" s="3">
        <f>IF(ISBLANK(L57),"",MAX(K$5:K56)+1)</f>
        <v>25</v>
      </c>
      <c r="L57" s="41" t="s">
        <v>139</v>
      </c>
      <c r="N57" s="2"/>
      <c r="O57" s="2"/>
      <c r="P57" s="5"/>
      <c r="Q57" s="5"/>
    </row>
    <row r="58" spans="2:25" s="77" customFormat="1" outlineLevel="1">
      <c r="B58" s="79"/>
      <c r="C58" s="30"/>
      <c r="D58" s="82"/>
      <c r="E58" s="82"/>
      <c r="F58" s="82"/>
      <c r="G58" s="82"/>
      <c r="H58" s="82"/>
      <c r="I58" s="83"/>
      <c r="J58" s="83"/>
      <c r="K58" s="3"/>
      <c r="N58" s="30"/>
      <c r="O58" s="30"/>
      <c r="P58" s="31"/>
      <c r="Q58" s="31"/>
    </row>
    <row r="59" spans="2:25" outlineLevel="1">
      <c r="B59" s="79" t="s">
        <v>135</v>
      </c>
      <c r="C59" s="2" t="s">
        <v>5</v>
      </c>
      <c r="D59" s="70" cm="1">
        <f t="array" ref="D59">SUMPRODUCT($D24:$I24,--($D57:$I57=D13))</f>
        <v>0</v>
      </c>
      <c r="E59" s="70" cm="1">
        <f t="array" ref="E59">SUMPRODUCT($D24:$I24,--($D57:$I57=E13))</f>
        <v>0</v>
      </c>
      <c r="F59" s="70" cm="1">
        <f t="array" ref="F59">SUMPRODUCT($D24:$I24,--($D57:$I57=F13))</f>
        <v>0</v>
      </c>
      <c r="G59" s="70" cm="1">
        <f t="array" ref="G59">SUMPRODUCT($D24:$I24,--($D57:$I57=G13))</f>
        <v>0</v>
      </c>
      <c r="H59" s="70" cm="1">
        <f t="array" ref="H59">SUMPRODUCT($D24:$I24,--($D57:$I57=H13))</f>
        <v>0</v>
      </c>
      <c r="I59" s="62" cm="1">
        <f t="array" ref="I59">SUMPRODUCT($D24:$I24,--($D57:$I57=I13))</f>
        <v>0</v>
      </c>
      <c r="J59" s="17">
        <f>SUM(D59:I59)</f>
        <v>0</v>
      </c>
      <c r="K59" s="3">
        <f>IF(ISBLANK(L59),"",MAX(K$5:K57)+1)</f>
        <v>26</v>
      </c>
      <c r="L59" s="41" t="s">
        <v>140</v>
      </c>
      <c r="N59" s="2"/>
      <c r="O59" s="2"/>
      <c r="P59" s="5"/>
      <c r="Q59" s="5"/>
    </row>
    <row r="60" spans="2:25" outlineLevel="1">
      <c r="B60" s="79" t="s">
        <v>145</v>
      </c>
      <c r="C60" s="2" t="str">
        <f>C$5</f>
        <v>$</v>
      </c>
      <c r="D60" s="70" cm="1">
        <f t="array" ref="D60">SUMPRODUCT($D39:$I39,--($D57:$I57=D13))</f>
        <v>0</v>
      </c>
      <c r="E60" s="70" cm="1">
        <f t="array" ref="E60">SUMPRODUCT($D39:$I39,--($D57:$I57=E13))</f>
        <v>0</v>
      </c>
      <c r="F60" s="70" cm="1">
        <f t="array" ref="F60">SUMPRODUCT($D39:$I39,--($D57:$I57=F13))</f>
        <v>0</v>
      </c>
      <c r="G60" s="70" cm="1">
        <f t="array" ref="G60">SUMPRODUCT($D39:$I39,--($D57:$I57=G13))</f>
        <v>0</v>
      </c>
      <c r="H60" s="70" cm="1">
        <f t="array" ref="H60">SUMPRODUCT($D39:$I39,--($D57:$I57=H13))</f>
        <v>0</v>
      </c>
      <c r="I60" s="70" cm="1">
        <f t="array" ref="I60">SUMPRODUCT($D39:$I39,--($D57:$I57=I13))</f>
        <v>0</v>
      </c>
      <c r="J60" s="17">
        <f>SUM(D60:I60)</f>
        <v>0</v>
      </c>
      <c r="K60" s="3">
        <f>IF(ISBLANK(L60),"",MAX(K$5:K59)+1)</f>
        <v>27</v>
      </c>
      <c r="L60" s="41" t="s">
        <v>164</v>
      </c>
      <c r="N60" s="2"/>
      <c r="O60" s="2"/>
      <c r="P60" s="5"/>
      <c r="Q60" s="5"/>
    </row>
    <row r="61" spans="2:25" outlineLevel="1">
      <c r="B61" s="79" t="s">
        <v>142</v>
      </c>
      <c r="C61" s="2" t="str">
        <f>C$5</f>
        <v>$</v>
      </c>
      <c r="D61" s="70" cm="1">
        <f t="array" ref="D61">SUMPRODUCT($D49:$I49,--($D57:$I57=D13))</f>
        <v>0</v>
      </c>
      <c r="E61" s="70" cm="1">
        <f t="array" ref="E61">SUMPRODUCT($D49:$I49,--($D57:$I57=E13))</f>
        <v>0</v>
      </c>
      <c r="F61" s="70" cm="1">
        <f t="array" ref="F61">SUMPRODUCT($D49:$I49,--($D57:$I57=F13))</f>
        <v>0</v>
      </c>
      <c r="G61" s="70" cm="1">
        <f t="array" ref="G61">SUMPRODUCT($D49:$I49,--($D57:$I57=G13))</f>
        <v>0</v>
      </c>
      <c r="H61" s="70" cm="1">
        <f t="array" ref="H61">SUMPRODUCT($D49:$I49,--($D57:$I57=H13))</f>
        <v>0</v>
      </c>
      <c r="I61" s="70" cm="1">
        <f t="array" ref="I61">SUMPRODUCT($D49:$I49,--($D57:$I57=I13))</f>
        <v>0</v>
      </c>
      <c r="J61" s="17">
        <f>SUM(D61:I61)</f>
        <v>0</v>
      </c>
      <c r="K61" s="3">
        <f>IF(ISBLANK(L61),"",MAX(K$5:K60)+1)</f>
        <v>28</v>
      </c>
      <c r="L61" s="41" t="s">
        <v>164</v>
      </c>
      <c r="N61" s="2"/>
      <c r="O61" s="2"/>
      <c r="P61" s="5"/>
      <c r="Q61" s="5"/>
    </row>
    <row r="62" spans="2:25" outlineLevel="1">
      <c r="B62" s="79" t="s">
        <v>163</v>
      </c>
      <c r="C62" s="2" t="s">
        <v>9</v>
      </c>
      <c r="D62" s="81" t="str" cm="1">
        <f t="array" ref="D62">INDEX($D50:$I50,0,MATCH(D57,$D56:$I56,0))</f>
        <v>Non Participating Preferred</v>
      </c>
      <c r="E62" s="81" t="str" cm="1">
        <f t="array" ref="E62">INDEX($D50:$I50,0,MATCH(E57,$D56:$I56,0))</f>
        <v>Non Participating Preferred</v>
      </c>
      <c r="F62" s="81" t="str" cm="1">
        <f t="array" ref="F62">INDEX($D50:$I50,0,MATCH(F57,$D56:$I56,0))</f>
        <v>Non Participating Preferred</v>
      </c>
      <c r="G62" s="81" t="str" cm="1">
        <f t="array" ref="G62">INDEX($D50:$I50,0,MATCH(G57,$D56:$I56,0))</f>
        <v>Non Participating Preferred</v>
      </c>
      <c r="H62" s="80" t="str" cm="1">
        <f t="array" ref="H62">INDEX($D50:$I50,0,MATCH(H57,$D56:$I56,0))</f>
        <v>na</v>
      </c>
      <c r="I62" s="80" t="str" cm="1">
        <f t="array" ref="I62">INDEX($D50:$I50,0,MATCH(I57,$D56:$I56,0))</f>
        <v>na</v>
      </c>
      <c r="J62" s="17"/>
      <c r="K62" s="3">
        <f>IF(ISBLANK(L62),"",MAX(K$5:K61)+1)</f>
        <v>29</v>
      </c>
      <c r="L62" s="41" t="s">
        <v>166</v>
      </c>
      <c r="N62" s="2"/>
      <c r="O62" s="2"/>
      <c r="P62" s="5"/>
      <c r="Q62" s="5"/>
    </row>
    <row r="63" spans="2:25" outlineLevel="1">
      <c r="B63" s="79" t="s">
        <v>161</v>
      </c>
      <c r="C63" s="2" t="s">
        <v>5</v>
      </c>
      <c r="D63" s="84" cm="1">
        <f t="array" ref="D63">IFERROR(SUMPRODUCT($D51:$I51,--($D57:$I57=D56),$D24:$I24,--($D50:$I50=D62))/D59,0)</f>
        <v>0</v>
      </c>
      <c r="E63" s="84" cm="1">
        <f t="array" ref="E63">IFERROR(SUMPRODUCT($D51:$I51,--($D57:$I57=E56),$D24:$I24,--($D50:$I50=E62))/E59,0)</f>
        <v>0</v>
      </c>
      <c r="F63" s="84" cm="1">
        <f t="array" ref="F63">IFERROR(SUMPRODUCT($D51:$I51,--($D57:$I57=F56),$D24:$I24,--($D50:$I50=F62))/F59,0)</f>
        <v>0</v>
      </c>
      <c r="G63" s="84" cm="1">
        <f t="array" ref="G63">IFERROR(SUMPRODUCT($D51:$I51,--($D57:$I57=G56),$D24:$I24,--($D50:$I50=G62))/G59,0)</f>
        <v>0</v>
      </c>
      <c r="H63" s="84" cm="1">
        <f t="array" ref="H63">IFERROR(SUMPRODUCT($D51:$I51,--($D57:$I57=H56),$D24:$I24,--($D50:$I50=H62))/H59,0)</f>
        <v>0</v>
      </c>
      <c r="I63" s="84" cm="1">
        <f t="array" ref="I63">IFERROR(SUMPRODUCT($D51:$I51,--($D57:$I57=I56),$D24:$I24,--($D50:$I50=I62))/I59,0)</f>
        <v>0</v>
      </c>
      <c r="J63" s="17"/>
      <c r="K63" s="3">
        <f>IF(ISBLANK(L63),"",MAX(K$5:K62)+1)</f>
        <v>30</v>
      </c>
      <c r="L63" s="41" t="s">
        <v>165</v>
      </c>
      <c r="N63" s="2"/>
      <c r="O63" s="2"/>
      <c r="P63" s="5"/>
      <c r="Q63" s="5"/>
    </row>
    <row r="64" spans="2:25" outlineLevel="1">
      <c r="B64" s="79" t="s">
        <v>162</v>
      </c>
      <c r="C64" s="2" t="s">
        <v>5</v>
      </c>
      <c r="D64" s="84" cm="1">
        <f t="array" ref="D64">IFERROR(SUMPRODUCT($D53:$I53,--($D57:$I57=D56),$D24:$I24)/D59,0)</f>
        <v>0</v>
      </c>
      <c r="E64" s="84" cm="1">
        <f t="array" ref="E64">IFERROR(SUMPRODUCT($D53:$I53,--($D57:$I57=E56),$D24:$I24)/E59,0)</f>
        <v>0</v>
      </c>
      <c r="F64" s="84" cm="1">
        <f t="array" ref="F64">IFERROR(SUMPRODUCT($D53:$I53,--($D57:$I57=F56),$D24:$I24)/F59,0)</f>
        <v>0</v>
      </c>
      <c r="G64" s="84" cm="1">
        <f t="array" ref="G64">IFERROR(SUMPRODUCT($D53:$I53,--($D57:$I57=G56),$D24:$I24)/G59,0)</f>
        <v>0</v>
      </c>
      <c r="H64" s="84" cm="1">
        <f t="array" ref="H64">IFERROR(SUMPRODUCT($D53:$I53,--($D57:$I57=H56),$D24:$I24)/H59,0)</f>
        <v>0</v>
      </c>
      <c r="I64" s="84" cm="1">
        <f t="array" ref="I64">IFERROR(SUMPRODUCT($D53:$I53,--($D57:$I57=I56),$D24:$I24)/I59,0)</f>
        <v>0</v>
      </c>
      <c r="J64" s="17"/>
      <c r="K64" s="3">
        <f>IF(ISBLANK(L64),"",MAX(K$5:K63)+1)</f>
        <v>31</v>
      </c>
      <c r="L64" s="41" t="s">
        <v>168</v>
      </c>
      <c r="N64" s="2"/>
      <c r="O64" s="2"/>
      <c r="P64" s="5"/>
      <c r="Q64" s="5"/>
    </row>
    <row r="65" spans="2:17" outlineLevel="1">
      <c r="B65" s="79" t="str">
        <f>B44&amp;" assumed per Calculation Block"</f>
        <v>Type of Dividends / Interest assumed per Calculation Block</v>
      </c>
      <c r="C65" s="2" t="s">
        <v>9</v>
      </c>
      <c r="D65" s="70" t="str" cm="1">
        <f t="array" ref="D65">INDEX($D44:$I44,0,MATCH(D57,$D56:$I56,0))</f>
        <v>Not Declared</v>
      </c>
      <c r="E65" s="70" t="str" cm="1">
        <f t="array" ref="E65">INDEX($D44:$I44,0,MATCH(E57,$D56:$I56,0))</f>
        <v>Not Declared</v>
      </c>
      <c r="F65" s="70" t="str" cm="1">
        <f t="array" ref="F65">INDEX($D44:$I44,0,MATCH(F57,$D56:$I56,0))</f>
        <v>Not Declared</v>
      </c>
      <c r="G65" s="70" t="str" cm="1">
        <f t="array" ref="G65">INDEX($D44:$I44,0,MATCH(G57,$D56:$I56,0))</f>
        <v>Not Declared</v>
      </c>
      <c r="H65" s="80" t="str" cm="1">
        <f t="array" ref="H65">INDEX($D44:$I44,0,MATCH(H57,$D56:$I56,0))</f>
        <v>na</v>
      </c>
      <c r="I65" s="80" t="str" cm="1">
        <f t="array" ref="I65">INDEX($D44:$I44,0,MATCH(I57,$D56:$I56,0))</f>
        <v>na</v>
      </c>
      <c r="J65" s="17"/>
      <c r="K65" s="3">
        <f>IF(ISBLANK(L65),"",MAX(K$5:K64)+1)</f>
        <v>32</v>
      </c>
      <c r="L65" s="41" t="s">
        <v>167</v>
      </c>
      <c r="N65" s="2"/>
      <c r="O65" s="2"/>
      <c r="P65" s="5"/>
      <c r="Q65" s="5"/>
    </row>
    <row r="66" spans="2:17" outlineLevel="1">
      <c r="B66" s="79" t="str">
        <f>"Average "&amp;B45</f>
        <v>Average Annual or One-Time Dividend or Interest Rate</v>
      </c>
      <c r="C66" s="2" t="s">
        <v>12</v>
      </c>
      <c r="D66" s="85" cm="1">
        <f t="array" ref="D66">IFERROR(SUMPRODUCT($D45:$I45,--($D57:$I57=D56),$D24:$I24)/D59,0)</f>
        <v>0</v>
      </c>
      <c r="E66" s="85" cm="1">
        <f t="array" ref="E66">IFERROR(SUMPRODUCT($D45:$I45,--($D57:$I57=E56),$D24:$I24)/E59,0)</f>
        <v>0</v>
      </c>
      <c r="F66" s="85" cm="1">
        <f t="array" ref="F66">IFERROR(SUMPRODUCT($D45:$I45,--($D57:$I57=F56),$D24:$I24)/F59,0)</f>
        <v>0</v>
      </c>
      <c r="G66" s="85" cm="1">
        <f t="array" ref="G66">IFERROR(SUMPRODUCT($D45:$I45,--($D57:$I57=G56),$D24:$I24)/G59,0)</f>
        <v>0</v>
      </c>
      <c r="H66" s="85" cm="1">
        <f t="array" ref="H66">IFERROR(SUMPRODUCT($D45:$I45,--($D57:$I57=H56),$D24:$I24)/H59,0)</f>
        <v>0</v>
      </c>
      <c r="I66" s="85" cm="1">
        <f t="array" ref="I66">IFERROR(SUMPRODUCT($D45:$I45,--($D57:$I57=I56),$D24:$I24)/I59,0)</f>
        <v>0</v>
      </c>
      <c r="J66" s="17"/>
      <c r="K66" s="3">
        <f>IF(ISBLANK(L66),"",MAX(K$5:K65)+1)</f>
        <v>33</v>
      </c>
      <c r="L66" s="41" t="s">
        <v>169</v>
      </c>
      <c r="N66" s="2"/>
      <c r="O66" s="2"/>
      <c r="P66" s="5"/>
      <c r="Q66" s="5"/>
    </row>
    <row r="67" spans="2:17" outlineLevel="1">
      <c r="B67" s="79" t="s">
        <v>170</v>
      </c>
      <c r="C67" s="2" t="s">
        <v>9</v>
      </c>
      <c r="D67" s="86" t="str" cm="1">
        <f t="array" aca="1" ref="D67" ca="1">IFERROR(IF(SUMPRODUCT($D41:$I41,--($D57:$I57=D56),$D24:$I24)/D59=0,"na",SUMPRODUCT($D41:$I41,--($D57:$I57=D56),$D24:$I24)/D59),"na")</f>
        <v>na</v>
      </c>
      <c r="E67" s="86" t="str" cm="1">
        <f t="array" aca="1" ref="E67" ca="1">IFERROR(IF(SUMPRODUCT($D41:$I41,--($D57:$I57=E56),$D24:$I24)/E59=0,"na",SUMPRODUCT($D41:$I41,--($D57:$I57=E56),$D24:$I24)/E59),"na")</f>
        <v>na</v>
      </c>
      <c r="F67" s="86" t="str" cm="1">
        <f t="array" aca="1" ref="F67" ca="1">IFERROR(IF(SUMPRODUCT($D41:$I41,--($D57:$I57=F56),$D24:$I24)/F59=0,"na",SUMPRODUCT($D41:$I41,--($D57:$I57=F56),$D24:$I24)/F59),"na")</f>
        <v>na</v>
      </c>
      <c r="G67" s="86" t="str" cm="1">
        <f t="array" aca="1" ref="G67" ca="1">IFERROR(IF(SUMPRODUCT($D41:$I41,--($D57:$I57=G56),$D24:$I24)/G59=0,"na",SUMPRODUCT($D41:$I41,--($D57:$I57=G56),$D24:$I24)/G59),"na")</f>
        <v>na</v>
      </c>
      <c r="H67" s="86" t="str" cm="1">
        <f t="array" aca="1" ref="H67" ca="1">IFERROR(IF(SUMPRODUCT($D41:$I41,--($D57:$I57=H56),$D24:$I24)/H59=0,"na",SUMPRODUCT($D41:$I41,--($D57:$I57=H56),$D24:$I24)/H59),"na")</f>
        <v>na</v>
      </c>
      <c r="I67" s="86" t="str" cm="1">
        <f t="array" aca="1" ref="I67" ca="1">IFERROR(IF(SUMPRODUCT($D41:$I41,--($D57:$I57=I56),$D24:$I24)/I59=0,"na",SUMPRODUCT($D41:$I41,--($D57:$I57=I56),$D24:$I24)/I59),"na")</f>
        <v>na</v>
      </c>
      <c r="J67" s="17"/>
      <c r="K67" s="3">
        <f>IF(ISBLANK(L67),"",MAX(K$5:K66)+1)</f>
        <v>34</v>
      </c>
      <c r="L67" s="41" t="s">
        <v>169</v>
      </c>
      <c r="N67" s="2"/>
      <c r="O67" s="2"/>
      <c r="P67" s="5"/>
      <c r="Q67" s="5"/>
    </row>
    <row r="68" spans="2:17" outlineLevel="1">
      <c r="B68" s="79" t="s">
        <v>136</v>
      </c>
      <c r="C68" s="2" t="s">
        <v>9</v>
      </c>
      <c r="D68" s="71" t="str">
        <f t="shared" ref="D68:I68" si="9">D56</f>
        <v>C</v>
      </c>
      <c r="E68" s="71" t="str">
        <f t="shared" si="9"/>
        <v>B</v>
      </c>
      <c r="F68" s="71" t="str">
        <f t="shared" si="9"/>
        <v>A</v>
      </c>
      <c r="G68" s="71" t="str">
        <f t="shared" si="9"/>
        <v>Seed</v>
      </c>
      <c r="H68" s="71" t="str">
        <f t="shared" si="9"/>
        <v>Common</v>
      </c>
      <c r="I68" s="62" t="str">
        <f t="shared" si="9"/>
        <v>Options</v>
      </c>
      <c r="K68" s="3">
        <f>IF(ISBLANK(L68),"",MAX(K$5:K67)+1)</f>
        <v>35</v>
      </c>
      <c r="L68" s="41" t="s">
        <v>138</v>
      </c>
      <c r="N68" s="2"/>
      <c r="O68" s="2"/>
      <c r="P68" s="5"/>
      <c r="Q68" s="5"/>
    </row>
    <row r="69" spans="2:17" outlineLevel="1">
      <c r="B69" s="65"/>
      <c r="C69" s="41"/>
      <c r="K69" s="3" t="str">
        <f>IF(ISBLANK(L69),"",MAX(K$5:K68)+1)</f>
        <v/>
      </c>
      <c r="L69" s="41"/>
      <c r="N69" s="2"/>
      <c r="O69" s="2"/>
      <c r="P69" s="5"/>
      <c r="Q69" s="5"/>
    </row>
    <row r="70" spans="2:17" outlineLevel="1">
      <c r="B70" s="56" t="s">
        <v>144</v>
      </c>
      <c r="C70" s="41"/>
      <c r="K70" s="3">
        <f>IF(ISBLANK(L70),"",MAX(K$5:K69)+1)</f>
        <v>36</v>
      </c>
      <c r="L70" s="41" t="s">
        <v>152</v>
      </c>
      <c r="N70" s="2"/>
      <c r="O70" s="2"/>
      <c r="P70" s="5"/>
      <c r="Q70" s="5"/>
    </row>
    <row r="71" spans="2:17" outlineLevel="1">
      <c r="B71" s="65" t="str">
        <f>D56</f>
        <v>C</v>
      </c>
      <c r="C71" s="42" t="s">
        <v>12</v>
      </c>
      <c r="D71" s="69" cm="1">
        <f t="array" ref="D71">IFERROR(IF(INDEX($D$57:$I$57,0,MATCH($B71,$D$56:$I$56,0))=D$56,SUMPRODUCT($D$24:$I$24,--($D$13:$I$13=$B71)),0)/D$59,0)</f>
        <v>0</v>
      </c>
      <c r="E71" s="69" cm="1">
        <f t="array" ref="E71">IFERROR(IF(INDEX($D$57:$I$57,0,MATCH($B71,$D$56:$I$56,0))=E$56,SUMPRODUCT($D$24:$I$24,--($D$13:$I$13=$B71)),0)/E$59,0)</f>
        <v>0</v>
      </c>
      <c r="F71" s="69" cm="1">
        <f t="array" ref="F71">IFERROR(IF(INDEX($D$57:$I$57,0,MATCH($B71,$D$56:$I$56,0))=F$56,SUMPRODUCT($D$24:$I$24,--($D$13:$I$13=$B71)),0)/F$59,0)</f>
        <v>0</v>
      </c>
      <c r="G71" s="69" cm="1">
        <f t="array" ref="G71">IFERROR(IF(INDEX($D$57:$I$57,0,MATCH($B71,$D$56:$I$56,0))=G$56,SUMPRODUCT($D$24:$I$24,--($D$13:$I$13=$B71)),0)/G$59,0)</f>
        <v>0</v>
      </c>
      <c r="H71" s="69" cm="1">
        <f t="array" ref="H71">IFERROR(IF(INDEX($D$57:$I$57,0,MATCH($B71,$D$56:$I$56,0))=H$56,SUMPRODUCT($D$24:$I$24,--($D$13:$I$13=$B71)),0)/H$59,0)</f>
        <v>0</v>
      </c>
      <c r="I71" s="69" cm="1">
        <f t="array" ref="I71">IFERROR(IF(INDEX($D$57:$I$57,0,MATCH($B71,$D$56:$I$56,0))=I$56,SUMPRODUCT($D$24:$I$24,--($D$13:$I$13=$B71)),0)/I$59,0)</f>
        <v>0</v>
      </c>
      <c r="K71" s="3" t="str">
        <f>IF(ISBLANK(L71),"",MAX(K$5:K70)+1)</f>
        <v/>
      </c>
      <c r="L71" s="41"/>
      <c r="N71" s="2"/>
      <c r="O71" s="2"/>
      <c r="P71" s="5"/>
      <c r="Q71" s="5"/>
    </row>
    <row r="72" spans="2:17" outlineLevel="1">
      <c r="B72" s="65" t="str">
        <f>E56</f>
        <v>B</v>
      </c>
      <c r="C72" s="42" t="s">
        <v>12</v>
      </c>
      <c r="D72" s="69" cm="1">
        <f t="array" ref="D72">IFERROR(IF(INDEX($D$57:$I$57,0,MATCH($B72,$D$56:$I$56,0))=D$56,SUMPRODUCT($D$24:$I$24,--($D$13:$I$13=$B72)),0)/D$59,0)</f>
        <v>0</v>
      </c>
      <c r="E72" s="69" cm="1">
        <f t="array" ref="E72">IFERROR(IF(INDEX($D$57:$I$57,0,MATCH($B72,$D$56:$I$56,0))=E$56,SUMPRODUCT($D$24:$I$24,--($D$13:$I$13=$B72)),0)/E$59,0)</f>
        <v>0</v>
      </c>
      <c r="F72" s="69" cm="1">
        <f t="array" ref="F72">IFERROR(IF(INDEX($D$57:$I$57,0,MATCH($B72,$D$56:$I$56,0))=F$56,SUMPRODUCT($D$24:$I$24,--($D$13:$I$13=$B72)),0)/F$59,0)</f>
        <v>0</v>
      </c>
      <c r="G72" s="69" cm="1">
        <f t="array" ref="G72">IFERROR(IF(INDEX($D$57:$I$57,0,MATCH($B72,$D$56:$I$56,0))=G$56,SUMPRODUCT($D$24:$I$24,--($D$13:$I$13=$B72)),0)/G$59,0)</f>
        <v>0</v>
      </c>
      <c r="H72" s="69" cm="1">
        <f t="array" ref="H72">IFERROR(IF(INDEX($D$57:$I$57,0,MATCH($B72,$D$56:$I$56,0))=H$56,SUMPRODUCT($D$24:$I$24,--($D$13:$I$13=$B72)),0)/H$59,0)</f>
        <v>0</v>
      </c>
      <c r="I72" s="69" cm="1">
        <f t="array" ref="I72">IFERROR(IF(INDEX($D$57:$I$57,0,MATCH($B72,$D$56:$I$56,0))=I$56,SUMPRODUCT($D$24:$I$24,--($D$13:$I$13=$B72)),0)/I$59,0)</f>
        <v>0</v>
      </c>
      <c r="K72" s="3" t="str">
        <f>IF(ISBLANK(L72),"",MAX(K$5:K71)+1)</f>
        <v/>
      </c>
      <c r="L72" s="41"/>
      <c r="N72" s="2"/>
      <c r="O72" s="2"/>
      <c r="P72" s="5"/>
      <c r="Q72" s="5"/>
    </row>
    <row r="73" spans="2:17" outlineLevel="1">
      <c r="B73" s="65" t="str">
        <f>F56</f>
        <v>A</v>
      </c>
      <c r="C73" s="42" t="s">
        <v>12</v>
      </c>
      <c r="D73" s="69" cm="1">
        <f t="array" ref="D73">IFERROR(IF(INDEX($D$57:$I$57,0,MATCH($B73,$D$56:$I$56,0))=D$56,SUMPRODUCT($D$24:$I$24,--($D$13:$I$13=$B73)),0)/D$59,0)</f>
        <v>0</v>
      </c>
      <c r="E73" s="69" cm="1">
        <f t="array" ref="E73">IFERROR(IF(INDEX($D$57:$I$57,0,MATCH($B73,$D$56:$I$56,0))=E$56,SUMPRODUCT($D$24:$I$24,--($D$13:$I$13=$B73)),0)/E$59,0)</f>
        <v>0</v>
      </c>
      <c r="F73" s="69" cm="1">
        <f t="array" ref="F73">IFERROR(IF(INDEX($D$57:$I$57,0,MATCH($B73,$D$56:$I$56,0))=F$56,SUMPRODUCT($D$24:$I$24,--($D$13:$I$13=$B73)),0)/F$59,0)</f>
        <v>0</v>
      </c>
      <c r="G73" s="69" cm="1">
        <f t="array" ref="G73">IFERROR(IF(INDEX($D$57:$I$57,0,MATCH($B73,$D$56:$I$56,0))=G$56,SUMPRODUCT($D$24:$I$24,--($D$13:$I$13=$B73)),0)/G$59,0)</f>
        <v>0</v>
      </c>
      <c r="H73" s="69" cm="1">
        <f t="array" ref="H73">IFERROR(IF(INDEX($D$57:$I$57,0,MATCH($B73,$D$56:$I$56,0))=H$56,SUMPRODUCT($D$24:$I$24,--($D$13:$I$13=$B73)),0)/H$59,0)</f>
        <v>0</v>
      </c>
      <c r="I73" s="69" cm="1">
        <f t="array" ref="I73">IFERROR(IF(INDEX($D$57:$I$57,0,MATCH($B73,$D$56:$I$56,0))=I$56,SUMPRODUCT($D$24:$I$24,--($D$13:$I$13=$B73)),0)/I$59,0)</f>
        <v>0</v>
      </c>
      <c r="K73" s="3" t="str">
        <f>IF(ISBLANK(L73),"",MAX(K$5:K72)+1)</f>
        <v/>
      </c>
      <c r="L73" s="41"/>
      <c r="N73" s="2"/>
      <c r="O73" s="2"/>
      <c r="P73" s="5"/>
      <c r="Q73" s="5"/>
    </row>
    <row r="74" spans="2:17" outlineLevel="1">
      <c r="B74" s="65" t="str">
        <f>G56</f>
        <v>Seed</v>
      </c>
      <c r="C74" s="42" t="s">
        <v>12</v>
      </c>
      <c r="D74" s="69" cm="1">
        <f t="array" ref="D74">IFERROR(IF(INDEX($D$57:$I$57,0,MATCH($B74,$D$56:$I$56,0))=D$56,SUMPRODUCT($D$24:$I$24,--($D$13:$I$13=$B74)),0)/D$59,0)</f>
        <v>0</v>
      </c>
      <c r="E74" s="69" cm="1">
        <f t="array" ref="E74">IFERROR(IF(INDEX($D$57:$I$57,0,MATCH($B74,$D$56:$I$56,0))=E$56,SUMPRODUCT($D$24:$I$24,--($D$13:$I$13=$B74)),0)/E$59,0)</f>
        <v>0</v>
      </c>
      <c r="F74" s="69" cm="1">
        <f t="array" ref="F74">IFERROR(IF(INDEX($D$57:$I$57,0,MATCH($B74,$D$56:$I$56,0))=F$56,SUMPRODUCT($D$24:$I$24,--($D$13:$I$13=$B74)),0)/F$59,0)</f>
        <v>0</v>
      </c>
      <c r="G74" s="69" cm="1">
        <f t="array" ref="G74">IFERROR(IF(INDEX($D$57:$I$57,0,MATCH($B74,$D$56:$I$56,0))=G$56,SUMPRODUCT($D$24:$I$24,--($D$13:$I$13=$B74)),0)/G$59,0)</f>
        <v>0</v>
      </c>
      <c r="H74" s="69" cm="1">
        <f t="array" ref="H74">IFERROR(IF(INDEX($D$57:$I$57,0,MATCH($B74,$D$56:$I$56,0))=H$56,SUMPRODUCT($D$24:$I$24,--($D$13:$I$13=$B74)),0)/H$59,0)</f>
        <v>0</v>
      </c>
      <c r="I74" s="69" cm="1">
        <f t="array" ref="I74">IFERROR(IF(INDEX($D$57:$I$57,0,MATCH($B74,$D$56:$I$56,0))=I$56,SUMPRODUCT($D$24:$I$24,--($D$13:$I$13=$B74)),0)/I$59,0)</f>
        <v>0</v>
      </c>
      <c r="K74" s="3" t="str">
        <f>IF(ISBLANK(L74),"",MAX(K$5:K73)+1)</f>
        <v/>
      </c>
      <c r="L74" s="41"/>
      <c r="N74" s="2"/>
      <c r="O74" s="2"/>
      <c r="P74" s="5"/>
      <c r="Q74" s="5"/>
    </row>
    <row r="75" spans="2:17" outlineLevel="1">
      <c r="B75" s="65" t="str">
        <f>H56</f>
        <v>Common</v>
      </c>
      <c r="C75" s="42" t="s">
        <v>12</v>
      </c>
      <c r="D75" s="69" cm="1">
        <f t="array" ref="D75">IFERROR(IF(INDEX($D$57:$I$57,0,MATCH($B75,$D$56:$I$56,0))=D$56,SUMPRODUCT($D$24:$I$24,--($D$13:$I$13=$B75)),0)/D$59,0)</f>
        <v>0</v>
      </c>
      <c r="E75" s="69" cm="1">
        <f t="array" ref="E75">IFERROR(IF(INDEX($D$57:$I$57,0,MATCH($B75,$D$56:$I$56,0))=E$56,SUMPRODUCT($D$24:$I$24,--($D$13:$I$13=$B75)),0)/E$59,0)</f>
        <v>0</v>
      </c>
      <c r="F75" s="69" cm="1">
        <f t="array" ref="F75">IFERROR(IF(INDEX($D$57:$I$57,0,MATCH($B75,$D$56:$I$56,0))=F$56,SUMPRODUCT($D$24:$I$24,--($D$13:$I$13=$B75)),0)/F$59,0)</f>
        <v>0</v>
      </c>
      <c r="G75" s="69" cm="1">
        <f t="array" ref="G75">IFERROR(IF(INDEX($D$57:$I$57,0,MATCH($B75,$D$56:$I$56,0))=G$56,SUMPRODUCT($D$24:$I$24,--($D$13:$I$13=$B75)),0)/G$59,0)</f>
        <v>0</v>
      </c>
      <c r="H75" s="69" cm="1">
        <f t="array" ref="H75">IFERROR(IF(INDEX($D$57:$I$57,0,MATCH($B75,$D$56:$I$56,0))=H$56,SUMPRODUCT($D$24:$I$24,--($D$13:$I$13=$B75)),0)/H$59,0)</f>
        <v>0</v>
      </c>
      <c r="I75" s="69" cm="1">
        <f t="array" ref="I75">IFERROR(IF(INDEX($D$57:$I$57,0,MATCH($B75,$D$56:$I$56,0))=I$56,SUMPRODUCT($D$24:$I$24,--($D$13:$I$13=$B75)),0)/I$59,0)</f>
        <v>0</v>
      </c>
      <c r="K75" s="3" t="str">
        <f>IF(ISBLANK(L75),"",MAX(K$5:K74)+1)</f>
        <v/>
      </c>
      <c r="L75" s="41"/>
      <c r="N75" s="2"/>
      <c r="O75" s="2"/>
      <c r="P75" s="5"/>
      <c r="Q75" s="5"/>
    </row>
    <row r="76" spans="2:17" outlineLevel="1">
      <c r="B76" s="65" t="str">
        <f>I56</f>
        <v>Options</v>
      </c>
      <c r="C76" s="42" t="s">
        <v>12</v>
      </c>
      <c r="D76" s="69" cm="1">
        <f t="array" ref="D76">IFERROR(IF(INDEX($D$57:$I$57,0,MATCH($B76,$D$56:$I$56,0))=D$56,SUMPRODUCT($D$24:$I$24,--($D$13:$I$13=$B76)),0)/D$59,0)</f>
        <v>0</v>
      </c>
      <c r="E76" s="69" cm="1">
        <f t="array" ref="E76">IFERROR(IF(INDEX($D$57:$I$57,0,MATCH($B76,$D$56:$I$56,0))=E$56,SUMPRODUCT($D$24:$I$24,--($D$13:$I$13=$B76)),0)/E$59,0)</f>
        <v>0</v>
      </c>
      <c r="F76" s="69" cm="1">
        <f t="array" ref="F76">IFERROR(IF(INDEX($D$57:$I$57,0,MATCH($B76,$D$56:$I$56,0))=F$56,SUMPRODUCT($D$24:$I$24,--($D$13:$I$13=$B76)),0)/F$59,0)</f>
        <v>0</v>
      </c>
      <c r="G76" s="69" cm="1">
        <f t="array" ref="G76">IFERROR(IF(INDEX($D$57:$I$57,0,MATCH($B76,$D$56:$I$56,0))=G$56,SUMPRODUCT($D$24:$I$24,--($D$13:$I$13=$B76)),0)/G$59,0)</f>
        <v>0</v>
      </c>
      <c r="H76" s="69" cm="1">
        <f t="array" ref="H76">IFERROR(IF(INDEX($D$57:$I$57,0,MATCH($B76,$D$56:$I$56,0))=H$56,SUMPRODUCT($D$24:$I$24,--($D$13:$I$13=$B76)),0)/H$59,0)</f>
        <v>0</v>
      </c>
      <c r="I76" s="69" cm="1">
        <f t="array" ref="I76">IFERROR(IF(INDEX($D$57:$I$57,0,MATCH($B76,$D$56:$I$56,0))=I$56,SUMPRODUCT($D$24:$I$24,--($D$13:$I$13=$B76)),0)/I$59,0)</f>
        <v>0</v>
      </c>
      <c r="K76" s="3" t="str">
        <f>IF(ISBLANK(L76),"",MAX(K$5:K75)+1)</f>
        <v/>
      </c>
      <c r="L76" s="41"/>
      <c r="N76" s="2"/>
      <c r="O76" s="2"/>
      <c r="P76" s="5"/>
      <c r="Q76" s="5"/>
    </row>
    <row r="77" spans="2:17" outlineLevel="1">
      <c r="B77" s="65" t="s">
        <v>141</v>
      </c>
      <c r="C77" s="42" t="s">
        <v>12</v>
      </c>
      <c r="D77" s="68">
        <f>SUM(D71:D76)</f>
        <v>0</v>
      </c>
      <c r="E77" s="68">
        <f t="shared" ref="E77:I77" si="10">SUM(E71:E76)</f>
        <v>0</v>
      </c>
      <c r="F77" s="68">
        <f t="shared" si="10"/>
        <v>0</v>
      </c>
      <c r="G77" s="68">
        <f t="shared" si="10"/>
        <v>0</v>
      </c>
      <c r="H77" s="68">
        <f t="shared" si="10"/>
        <v>0</v>
      </c>
      <c r="I77" s="68">
        <f t="shared" si="10"/>
        <v>0</v>
      </c>
      <c r="K77" s="3" t="str">
        <f>IF(ISBLANK(L77),"",MAX(K$5:K76)+1)</f>
        <v/>
      </c>
      <c r="L77" s="41"/>
      <c r="N77" s="2"/>
      <c r="O77" s="2"/>
      <c r="P77" s="5"/>
      <c r="Q77" s="5"/>
    </row>
    <row r="78" spans="2:17" outlineLevel="1">
      <c r="B78" s="65"/>
      <c r="C78" s="41"/>
      <c r="K78" s="3" t="str">
        <f>IF(ISBLANK(L78),"",MAX(K$5:K77)+1)</f>
        <v/>
      </c>
      <c r="L78" s="41"/>
      <c r="N78" s="2"/>
      <c r="O78" s="2"/>
      <c r="P78" s="5"/>
      <c r="Q78" s="5"/>
    </row>
    <row r="79" spans="2:17" outlineLevel="1">
      <c r="B79" s="56" t="s">
        <v>143</v>
      </c>
      <c r="C79" s="41"/>
      <c r="K79" s="3">
        <f>IF(ISBLANK(L79),"",MAX(K$5:K78)+1)</f>
        <v>37</v>
      </c>
      <c r="L79" s="41" t="s">
        <v>153</v>
      </c>
      <c r="N79" s="2"/>
      <c r="O79" s="2"/>
      <c r="P79" s="5"/>
      <c r="Q79" s="5"/>
    </row>
    <row r="80" spans="2:17" outlineLevel="1">
      <c r="B80" s="65" t="str">
        <f>D56</f>
        <v>C</v>
      </c>
      <c r="C80" s="42" t="s">
        <v>12</v>
      </c>
      <c r="D80" s="69" cm="1">
        <f t="array" ref="D80">IFERROR(IF(INDEX($D$57:$I$57,0,MATCH($B80,$D$56:$I$56,0))=D$56,SUMPRODUCT($D$49:$I$49,--($D$13:$I$13=$B80)),0)/D$61,0)</f>
        <v>0</v>
      </c>
      <c r="E80" s="69" cm="1">
        <f t="array" ref="E80">IFERROR(IF(INDEX($D$57:$I$57,0,MATCH($B80,$D$56:$I$56,0))=E$56,SUMPRODUCT($D$49:$I$49,--($D$13:$I$13=$B80)),0)/E$61,0)</f>
        <v>0</v>
      </c>
      <c r="F80" s="69" cm="1">
        <f t="array" ref="F80">IFERROR(IF(INDEX($D$57:$I$57,0,MATCH($B80,$D$56:$I$56,0))=F$56,SUMPRODUCT($D$49:$I$49,--($D$13:$I$13=$B80)),0)/F$61,0)</f>
        <v>0</v>
      </c>
      <c r="G80" s="69" cm="1">
        <f t="array" ref="G80">IFERROR(IF(INDEX($D$57:$I$57,0,MATCH($B80,$D$56:$I$56,0))=G$56,SUMPRODUCT($D$49:$I$49,--($D$13:$I$13=$B80)),0)/G$61,0)</f>
        <v>0</v>
      </c>
      <c r="H80" s="69" cm="1">
        <f t="array" ref="H80">IFERROR(IF(INDEX($D$57:$I$57,0,MATCH($B80,$D$56:$I$56,0))=H$56,SUMPRODUCT($D$49:$I$49,--($D$13:$I$13=$B80)),0)/H$61,0)</f>
        <v>0</v>
      </c>
      <c r="I80" s="69" cm="1">
        <f t="array" ref="I80">IFERROR(IF(INDEX($D$57:$I$57,0,MATCH($B80,$D$56:$I$56,0))=I$56,SUMPRODUCT($D$49:$I$49,--($D$13:$I$13=$B80)),0)/I$61,0)</f>
        <v>0</v>
      </c>
      <c r="K80" s="3" t="str">
        <f>IF(ISBLANK(L80),"",MAX(K$5:K79)+1)</f>
        <v/>
      </c>
      <c r="L80" s="41"/>
      <c r="N80" s="2"/>
      <c r="O80" s="2"/>
      <c r="P80" s="5"/>
      <c r="Q80" s="5"/>
    </row>
    <row r="81" spans="2:17" outlineLevel="1">
      <c r="B81" s="65" t="str">
        <f>E56</f>
        <v>B</v>
      </c>
      <c r="C81" s="42" t="s">
        <v>12</v>
      </c>
      <c r="D81" s="69" cm="1">
        <f t="array" ref="D81">IFERROR(IF(INDEX($D$57:$I$57,0,MATCH($B81,$D$56:$I$56,0))=D$56,SUMPRODUCT($D$49:$I$49,--($D$13:$I$13=$B81)),0)/D$61,0)</f>
        <v>0</v>
      </c>
      <c r="E81" s="69" cm="1">
        <f t="array" ref="E81">IFERROR(IF(INDEX($D$57:$I$57,0,MATCH($B81,$D$56:$I$56,0))=E$56,SUMPRODUCT($D$49:$I$49,--($D$13:$I$13=$B81)),0)/E$61,0)</f>
        <v>0</v>
      </c>
      <c r="F81" s="69" cm="1">
        <f t="array" ref="F81">IFERROR(IF(INDEX($D$57:$I$57,0,MATCH($B81,$D$56:$I$56,0))=F$56,SUMPRODUCT($D$49:$I$49,--($D$13:$I$13=$B81)),0)/F$61,0)</f>
        <v>0</v>
      </c>
      <c r="G81" s="69" cm="1">
        <f t="array" ref="G81">IFERROR(IF(INDEX($D$57:$I$57,0,MATCH($B81,$D$56:$I$56,0))=G$56,SUMPRODUCT($D$49:$I$49,--($D$13:$I$13=$B81)),0)/G$61,0)</f>
        <v>0</v>
      </c>
      <c r="H81" s="69" cm="1">
        <f t="array" ref="H81">IFERROR(IF(INDEX($D$57:$I$57,0,MATCH($B81,$D$56:$I$56,0))=H$56,SUMPRODUCT($D$49:$I$49,--($D$13:$I$13=$B81)),0)/H$61,0)</f>
        <v>0</v>
      </c>
      <c r="I81" s="69" cm="1">
        <f t="array" ref="I81">IFERROR(IF(INDEX($D$57:$I$57,0,MATCH($B81,$D$56:$I$56,0))=I$56,SUMPRODUCT($D$49:$I$49,--($D$13:$I$13=$B81)),0)/I$61,0)</f>
        <v>0</v>
      </c>
      <c r="K81" s="3" t="str">
        <f>IF(ISBLANK(L81),"",MAX(K$5:K80)+1)</f>
        <v/>
      </c>
      <c r="L81" s="41"/>
      <c r="N81" s="2"/>
      <c r="O81" s="2"/>
      <c r="P81" s="5"/>
      <c r="Q81" s="5"/>
    </row>
    <row r="82" spans="2:17" outlineLevel="1">
      <c r="B82" s="65" t="str">
        <f>F56</f>
        <v>A</v>
      </c>
      <c r="C82" s="42" t="s">
        <v>12</v>
      </c>
      <c r="D82" s="69" cm="1">
        <f t="array" ref="D82">IFERROR(IF(INDEX($D$57:$I$57,0,MATCH($B82,$D$56:$I$56,0))=D$56,SUMPRODUCT($D$49:$I$49,--($D$13:$I$13=$B82)),0)/D$61,0)</f>
        <v>0</v>
      </c>
      <c r="E82" s="69" cm="1">
        <f t="array" ref="E82">IFERROR(IF(INDEX($D$57:$I$57,0,MATCH($B82,$D$56:$I$56,0))=E$56,SUMPRODUCT($D$49:$I$49,--($D$13:$I$13=$B82)),0)/E$61,0)</f>
        <v>0</v>
      </c>
      <c r="F82" s="69" cm="1">
        <f t="array" ref="F82">IFERROR(IF(INDEX($D$57:$I$57,0,MATCH($B82,$D$56:$I$56,0))=F$56,SUMPRODUCT($D$49:$I$49,--($D$13:$I$13=$B82)),0)/F$61,0)</f>
        <v>0</v>
      </c>
      <c r="G82" s="69" cm="1">
        <f t="array" ref="G82">IFERROR(IF(INDEX($D$57:$I$57,0,MATCH($B82,$D$56:$I$56,0))=G$56,SUMPRODUCT($D$49:$I$49,--($D$13:$I$13=$B82)),0)/G$61,0)</f>
        <v>0</v>
      </c>
      <c r="H82" s="69" cm="1">
        <f t="array" ref="H82">IFERROR(IF(INDEX($D$57:$I$57,0,MATCH($B82,$D$56:$I$56,0))=H$56,SUMPRODUCT($D$49:$I$49,--($D$13:$I$13=$B82)),0)/H$61,0)</f>
        <v>0</v>
      </c>
      <c r="I82" s="69" cm="1">
        <f t="array" ref="I82">IFERROR(IF(INDEX($D$57:$I$57,0,MATCH($B82,$D$56:$I$56,0))=I$56,SUMPRODUCT($D$49:$I$49,--($D$13:$I$13=$B82)),0)/I$61,0)</f>
        <v>0</v>
      </c>
      <c r="K82" s="3" t="str">
        <f>IF(ISBLANK(L82),"",MAX(K$5:K81)+1)</f>
        <v/>
      </c>
      <c r="L82" s="41"/>
      <c r="N82" s="2"/>
      <c r="O82" s="2"/>
      <c r="P82" s="5"/>
      <c r="Q82" s="5"/>
    </row>
    <row r="83" spans="2:17" outlineLevel="1">
      <c r="B83" s="65" t="str">
        <f>G56</f>
        <v>Seed</v>
      </c>
      <c r="C83" s="42" t="s">
        <v>12</v>
      </c>
      <c r="D83" s="69" cm="1">
        <f t="array" ref="D83">IFERROR(IF(INDEX($D$57:$I$57,0,MATCH($B83,$D$56:$I$56,0))=D$56,SUMPRODUCT($D$49:$I$49,--($D$13:$I$13=$B83)),0)/D$61,0)</f>
        <v>0</v>
      </c>
      <c r="E83" s="69" cm="1">
        <f t="array" ref="E83">IFERROR(IF(INDEX($D$57:$I$57,0,MATCH($B83,$D$56:$I$56,0))=E$56,SUMPRODUCT($D$49:$I$49,--($D$13:$I$13=$B83)),0)/E$61,0)</f>
        <v>0</v>
      </c>
      <c r="F83" s="69" cm="1">
        <f t="array" ref="F83">IFERROR(IF(INDEX($D$57:$I$57,0,MATCH($B83,$D$56:$I$56,0))=F$56,SUMPRODUCT($D$49:$I$49,--($D$13:$I$13=$B83)),0)/F$61,0)</f>
        <v>0</v>
      </c>
      <c r="G83" s="69" cm="1">
        <f t="array" ref="G83">IFERROR(IF(INDEX($D$57:$I$57,0,MATCH($B83,$D$56:$I$56,0))=G$56,SUMPRODUCT($D$49:$I$49,--($D$13:$I$13=$B83)),0)/G$61,0)</f>
        <v>0</v>
      </c>
      <c r="H83" s="69" cm="1">
        <f t="array" ref="H83">IFERROR(IF(INDEX($D$57:$I$57,0,MATCH($B83,$D$56:$I$56,0))=H$56,SUMPRODUCT($D$49:$I$49,--($D$13:$I$13=$B83)),0)/H$61,0)</f>
        <v>0</v>
      </c>
      <c r="I83" s="69" cm="1">
        <f t="array" ref="I83">IFERROR(IF(INDEX($D$57:$I$57,0,MATCH($B83,$D$56:$I$56,0))=I$56,SUMPRODUCT($D$49:$I$49,--($D$13:$I$13=$B83)),0)/I$61,0)</f>
        <v>0</v>
      </c>
      <c r="K83" s="3" t="str">
        <f>IF(ISBLANK(L83),"",MAX(K$5:K82)+1)</f>
        <v/>
      </c>
      <c r="L83" s="41"/>
      <c r="N83" s="2"/>
      <c r="O83" s="2"/>
      <c r="P83" s="5"/>
      <c r="Q83" s="5"/>
    </row>
    <row r="84" spans="2:17" outlineLevel="1">
      <c r="B84" s="65" t="str">
        <f>H56</f>
        <v>Common</v>
      </c>
      <c r="C84" s="42" t="s">
        <v>12</v>
      </c>
      <c r="D84" s="69" cm="1">
        <f t="array" ref="D84">IFERROR(IF(INDEX($D$57:$I$57,0,MATCH($B84,$D$56:$I$56,0))=D$56,SUMPRODUCT($D$49:$I$49,--($D$13:$I$13=$B84)),0)/D$61,0)</f>
        <v>0</v>
      </c>
      <c r="E84" s="69" cm="1">
        <f t="array" ref="E84">IFERROR(IF(INDEX($D$57:$I$57,0,MATCH($B84,$D$56:$I$56,0))=E$56,SUMPRODUCT($D$49:$I$49,--($D$13:$I$13=$B84)),0)/E$61,0)</f>
        <v>0</v>
      </c>
      <c r="F84" s="69" cm="1">
        <f t="array" ref="F84">IFERROR(IF(INDEX($D$57:$I$57,0,MATCH($B84,$D$56:$I$56,0))=F$56,SUMPRODUCT($D$49:$I$49,--($D$13:$I$13=$B84)),0)/F$61,0)</f>
        <v>0</v>
      </c>
      <c r="G84" s="69" cm="1">
        <f t="array" ref="G84">IFERROR(IF(INDEX($D$57:$I$57,0,MATCH($B84,$D$56:$I$56,0))=G$56,SUMPRODUCT($D$49:$I$49,--($D$13:$I$13=$B84)),0)/G$61,0)</f>
        <v>0</v>
      </c>
      <c r="H84" s="69" cm="1">
        <f t="array" ref="H84">IFERROR(IF(INDEX($D$57:$I$57,0,MATCH($B84,$D$56:$I$56,0))=H$56,SUMPRODUCT($D$49:$I$49,--($D$13:$I$13=$B84)),0)/H$61,0)</f>
        <v>0</v>
      </c>
      <c r="I84" s="69" cm="1">
        <f t="array" ref="I84">IFERROR(IF(INDEX($D$57:$I$57,0,MATCH($B84,$D$56:$I$56,0))=I$56,SUMPRODUCT($D$49:$I$49,--($D$13:$I$13=$B84)),0)/I$61,0)</f>
        <v>0</v>
      </c>
      <c r="K84" s="3" t="str">
        <f>IF(ISBLANK(L84),"",MAX(K$5:K83)+1)</f>
        <v/>
      </c>
      <c r="L84" s="41"/>
      <c r="N84" s="2"/>
      <c r="O84" s="2"/>
      <c r="P84" s="5"/>
      <c r="Q84" s="5"/>
    </row>
    <row r="85" spans="2:17" outlineLevel="1">
      <c r="B85" s="65" t="str">
        <f>I56</f>
        <v>Options</v>
      </c>
      <c r="C85" s="42" t="s">
        <v>12</v>
      </c>
      <c r="D85" s="69" cm="1">
        <f t="array" ref="D85">IFERROR(IF(INDEX($D$57:$I$57,0,MATCH($B85,$D$56:$I$56,0))=D$56,SUMPRODUCT($D$49:$I$49,--($D$13:$I$13=$B85)),0)/D$61,0)</f>
        <v>0</v>
      </c>
      <c r="E85" s="69" cm="1">
        <f t="array" ref="E85">IFERROR(IF(INDEX($D$57:$I$57,0,MATCH($B85,$D$56:$I$56,0))=E$56,SUMPRODUCT($D$49:$I$49,--($D$13:$I$13=$B85)),0)/E$61,0)</f>
        <v>0</v>
      </c>
      <c r="F85" s="69" cm="1">
        <f t="array" ref="F85">IFERROR(IF(INDEX($D$57:$I$57,0,MATCH($B85,$D$56:$I$56,0))=F$56,SUMPRODUCT($D$49:$I$49,--($D$13:$I$13=$B85)),0)/F$61,0)</f>
        <v>0</v>
      </c>
      <c r="G85" s="69" cm="1">
        <f t="array" ref="G85">IFERROR(IF(INDEX($D$57:$I$57,0,MATCH($B85,$D$56:$I$56,0))=G$56,SUMPRODUCT($D$49:$I$49,--($D$13:$I$13=$B85)),0)/G$61,0)</f>
        <v>0</v>
      </c>
      <c r="H85" s="69" cm="1">
        <f t="array" ref="H85">IFERROR(IF(INDEX($D$57:$I$57,0,MATCH($B85,$D$56:$I$56,0))=H$56,SUMPRODUCT($D$49:$I$49,--($D$13:$I$13=$B85)),0)/H$61,0)</f>
        <v>0</v>
      </c>
      <c r="I85" s="69" cm="1">
        <f t="array" ref="I85">IFERROR(IF(INDEX($D$57:$I$57,0,MATCH($B85,$D$56:$I$56,0))=I$56,SUMPRODUCT($D$49:$I$49,--($D$13:$I$13=$B85)),0)/I$61,0)</f>
        <v>0</v>
      </c>
      <c r="K85" s="3" t="str">
        <f>IF(ISBLANK(L85),"",MAX(K$5:K84)+1)</f>
        <v/>
      </c>
      <c r="L85" s="41"/>
      <c r="N85" s="2"/>
      <c r="O85" s="2"/>
      <c r="P85" s="5"/>
      <c r="Q85" s="5"/>
    </row>
    <row r="86" spans="2:17" outlineLevel="1">
      <c r="B86" s="65" t="s">
        <v>141</v>
      </c>
      <c r="C86" s="42" t="s">
        <v>12</v>
      </c>
      <c r="D86" s="68">
        <f>SUM(D80:D85)</f>
        <v>0</v>
      </c>
      <c r="E86" s="68">
        <f t="shared" ref="E86:I86" si="11">SUM(E80:E85)</f>
        <v>0</v>
      </c>
      <c r="F86" s="68">
        <f t="shared" si="11"/>
        <v>0</v>
      </c>
      <c r="G86" s="68">
        <f t="shared" si="11"/>
        <v>0</v>
      </c>
      <c r="H86" s="68">
        <f t="shared" si="11"/>
        <v>0</v>
      </c>
      <c r="I86" s="68">
        <f t="shared" si="11"/>
        <v>0</v>
      </c>
      <c r="K86" s="3" t="str">
        <f>IF(ISBLANK(L86),"",MAX(K$5:K85)+1)</f>
        <v/>
      </c>
      <c r="L86" s="41"/>
      <c r="N86" s="2"/>
      <c r="O86" s="2"/>
      <c r="P86" s="5"/>
      <c r="Q86" s="5"/>
    </row>
    <row r="87" spans="2:17" outlineLevel="1">
      <c r="B87" s="65"/>
      <c r="C87" s="41"/>
      <c r="K87" s="3" t="str">
        <f>IF(ISBLANK(L87),"",MAX(K$5:K86)+1)</f>
        <v/>
      </c>
      <c r="L87" s="41"/>
      <c r="N87" s="2"/>
      <c r="O87" s="2"/>
      <c r="P87" s="5"/>
      <c r="Q87" s="5"/>
    </row>
    <row r="88" spans="2:17">
      <c r="B88" s="65"/>
      <c r="C88" s="41"/>
      <c r="K88" s="3" t="str">
        <f>IF(ISBLANK(L88),"",MAX(K$5:K87)+1)</f>
        <v/>
      </c>
      <c r="L88" s="41"/>
      <c r="N88" s="2"/>
      <c r="O88" s="2"/>
      <c r="P88" s="5"/>
      <c r="Q88" s="5"/>
    </row>
    <row r="89" spans="2:17">
      <c r="B89" s="29" t="s">
        <v>53</v>
      </c>
      <c r="C89" s="2"/>
      <c r="D89" s="30"/>
      <c r="E89" s="30"/>
      <c r="F89" s="30"/>
      <c r="G89" s="30"/>
      <c r="H89" s="30"/>
      <c r="I89" s="30"/>
      <c r="J89" s="30"/>
      <c r="K89" s="3" t="str">
        <f>IF(ISBLANK(L89),"",MAX(K$5:K88)+1)</f>
        <v/>
      </c>
      <c r="L89" s="4"/>
      <c r="M89" s="2"/>
      <c r="N89" s="5"/>
      <c r="O89" s="5"/>
      <c r="P89" s="5"/>
      <c r="Q89" s="5"/>
    </row>
    <row r="90" spans="2:17">
      <c r="D90" s="26"/>
      <c r="E90" s="26"/>
      <c r="F90" s="26"/>
      <c r="G90" s="26"/>
      <c r="H90" s="26"/>
      <c r="I90" s="26"/>
      <c r="J90" s="26"/>
      <c r="K90" s="3" t="str">
        <f>IF(ISBLANK(L90),"",MAX(K$5:K89)+1)</f>
        <v/>
      </c>
      <c r="L90" s="4"/>
      <c r="M90" s="2"/>
      <c r="N90" s="5"/>
      <c r="O90" s="5"/>
    </row>
    <row r="91" spans="2:17">
      <c r="B91" s="5" t="s">
        <v>1</v>
      </c>
      <c r="C91" s="27" t="str">
        <f>C$5</f>
        <v>$</v>
      </c>
      <c r="D91" s="45">
        <f>E91*(1-$D7)</f>
        <v>0</v>
      </c>
      <c r="E91" s="45">
        <f>F91*(1-$D7)</f>
        <v>0</v>
      </c>
      <c r="F91" s="45">
        <f>G91*(1-$D7)</f>
        <v>0</v>
      </c>
      <c r="G91" s="45">
        <f>D5</f>
        <v>0</v>
      </c>
      <c r="H91" s="45">
        <f>G91*(1+$D7)</f>
        <v>0</v>
      </c>
      <c r="I91" s="45">
        <f>H91*(1+$D7)</f>
        <v>0</v>
      </c>
      <c r="J91" s="45">
        <f>I91*(1+$D7)</f>
        <v>0</v>
      </c>
      <c r="K91" s="3">
        <f>IF(ISBLANK(L91),"",MAX(K$5:K90)+1)</f>
        <v>38</v>
      </c>
      <c r="L91" s="4" t="s">
        <v>120</v>
      </c>
      <c r="M91" s="2"/>
      <c r="N91" s="5"/>
      <c r="O91" s="5"/>
    </row>
    <row r="92" spans="2:17">
      <c r="B92" s="5" t="s">
        <v>121</v>
      </c>
      <c r="C92" s="27" t="str">
        <f>C$5</f>
        <v>$</v>
      </c>
      <c r="D92" s="26">
        <f>D234</f>
        <v>0</v>
      </c>
      <c r="E92" s="26">
        <f t="shared" ref="E92:J92" si="12">E234</f>
        <v>0</v>
      </c>
      <c r="F92" s="26">
        <f t="shared" si="12"/>
        <v>0</v>
      </c>
      <c r="G92" s="26">
        <f t="shared" si="12"/>
        <v>0</v>
      </c>
      <c r="H92" s="26">
        <f t="shared" si="12"/>
        <v>0</v>
      </c>
      <c r="I92" s="26">
        <f t="shared" si="12"/>
        <v>0</v>
      </c>
      <c r="J92" s="26">
        <f t="shared" si="12"/>
        <v>0</v>
      </c>
      <c r="K92" s="3">
        <f>IF(ISBLANK(L92),"",MAX(K$5:K91)+1)</f>
        <v>39</v>
      </c>
      <c r="L92" s="4" t="s">
        <v>122</v>
      </c>
      <c r="M92" s="2"/>
      <c r="N92" s="5"/>
      <c r="O92" s="5"/>
    </row>
    <row r="93" spans="2:17">
      <c r="B93" s="5" t="s">
        <v>123</v>
      </c>
      <c r="C93" s="27" t="str">
        <f>C$5</f>
        <v>$</v>
      </c>
      <c r="D93" s="8">
        <v>0</v>
      </c>
      <c r="E93" s="8">
        <f>D93</f>
        <v>0</v>
      </c>
      <c r="F93" s="8">
        <f t="shared" ref="F93:J93" si="13">E93</f>
        <v>0</v>
      </c>
      <c r="G93" s="8">
        <f t="shared" si="13"/>
        <v>0</v>
      </c>
      <c r="H93" s="8">
        <f t="shared" si="13"/>
        <v>0</v>
      </c>
      <c r="I93" s="8">
        <f t="shared" si="13"/>
        <v>0</v>
      </c>
      <c r="J93" s="8">
        <f t="shared" si="13"/>
        <v>0</v>
      </c>
      <c r="K93" s="3">
        <f>IF(ISBLANK(L93),"",MAX(K$5:K92)+1)</f>
        <v>40</v>
      </c>
      <c r="L93" s="4" t="s">
        <v>124</v>
      </c>
      <c r="M93" s="2"/>
      <c r="N93" s="5"/>
      <c r="O93" s="5"/>
    </row>
    <row r="94" spans="2:17">
      <c r="B94" s="5" t="s">
        <v>4</v>
      </c>
      <c r="C94" s="27" t="str">
        <f>C$5</f>
        <v>$</v>
      </c>
      <c r="D94" s="46">
        <f>MAX(0,D91-ABS(D92)-ABS(D93))</f>
        <v>0</v>
      </c>
      <c r="E94" s="46">
        <f t="shared" ref="E94:J94" si="14">MAX(0,E91-ABS(E92)-ABS(E93))</f>
        <v>0</v>
      </c>
      <c r="F94" s="46">
        <f t="shared" si="14"/>
        <v>0</v>
      </c>
      <c r="G94" s="46">
        <f t="shared" si="14"/>
        <v>0</v>
      </c>
      <c r="H94" s="46">
        <f t="shared" si="14"/>
        <v>0</v>
      </c>
      <c r="I94" s="46">
        <f t="shared" si="14"/>
        <v>0</v>
      </c>
      <c r="J94" s="46">
        <f t="shared" si="14"/>
        <v>0</v>
      </c>
      <c r="K94" s="3">
        <f>IF(ISBLANK(L94),"",MAX(K$5:K93)+1)</f>
        <v>41</v>
      </c>
      <c r="L94" s="4" t="s">
        <v>54</v>
      </c>
      <c r="M94" s="2"/>
      <c r="N94" s="5"/>
      <c r="O94" s="5"/>
    </row>
    <row r="95" spans="2:17">
      <c r="B95" s="5" t="s">
        <v>32</v>
      </c>
      <c r="C95" s="42" t="s">
        <v>5</v>
      </c>
      <c r="D95" s="47">
        <f t="shared" ref="D95:J95" si="15">$J24</f>
        <v>0</v>
      </c>
      <c r="E95" s="47">
        <f t="shared" si="15"/>
        <v>0</v>
      </c>
      <c r="F95" s="47">
        <f t="shared" si="15"/>
        <v>0</v>
      </c>
      <c r="G95" s="47">
        <f t="shared" si="15"/>
        <v>0</v>
      </c>
      <c r="H95" s="47">
        <f t="shared" si="15"/>
        <v>0</v>
      </c>
      <c r="I95" s="47">
        <f t="shared" si="15"/>
        <v>0</v>
      </c>
      <c r="J95" s="47">
        <f t="shared" si="15"/>
        <v>0</v>
      </c>
      <c r="K95" s="3">
        <f>IF(ISBLANK(L95),"",MAX(K$5:K94)+1)</f>
        <v>42</v>
      </c>
      <c r="L95" s="4" t="s">
        <v>55</v>
      </c>
      <c r="M95" s="2"/>
      <c r="N95" s="5"/>
    </row>
    <row r="96" spans="2:17">
      <c r="B96" s="5" t="s">
        <v>56</v>
      </c>
      <c r="C96" s="2" t="s">
        <v>5</v>
      </c>
      <c r="D96" s="30">
        <f t="shared" ref="D96:J96" si="16">IFERROR(D94/$J39,0)</f>
        <v>0</v>
      </c>
      <c r="E96" s="30">
        <f t="shared" si="16"/>
        <v>0</v>
      </c>
      <c r="F96" s="30">
        <f t="shared" si="16"/>
        <v>0</v>
      </c>
      <c r="G96" s="30">
        <f t="shared" si="16"/>
        <v>0</v>
      </c>
      <c r="H96" s="30">
        <f t="shared" si="16"/>
        <v>0</v>
      </c>
      <c r="I96" s="30">
        <f t="shared" si="16"/>
        <v>0</v>
      </c>
      <c r="J96" s="30">
        <f t="shared" si="16"/>
        <v>0</v>
      </c>
      <c r="K96" s="3">
        <f>IF(ISBLANK(L96),"",MAX(K$5:K95)+1)</f>
        <v>43</v>
      </c>
      <c r="L96" s="4" t="s">
        <v>57</v>
      </c>
      <c r="M96" s="2"/>
      <c r="N96" s="5"/>
    </row>
    <row r="97" spans="2:14">
      <c r="B97" s="5" t="s">
        <v>6</v>
      </c>
      <c r="C97" s="2" t="str">
        <f>C5</f>
        <v>$</v>
      </c>
      <c r="D97" s="48">
        <f t="shared" ref="D97:J97" si="17">IFERROR(D94/D95,0)</f>
        <v>0</v>
      </c>
      <c r="E97" s="48">
        <f t="shared" si="17"/>
        <v>0</v>
      </c>
      <c r="F97" s="48">
        <f t="shared" si="17"/>
        <v>0</v>
      </c>
      <c r="G97" s="48">
        <f t="shared" si="17"/>
        <v>0</v>
      </c>
      <c r="H97" s="48">
        <f t="shared" si="17"/>
        <v>0</v>
      </c>
      <c r="I97" s="48">
        <f t="shared" si="17"/>
        <v>0</v>
      </c>
      <c r="J97" s="48">
        <f t="shared" si="17"/>
        <v>0</v>
      </c>
      <c r="K97" s="3">
        <f>IF(ISBLANK(L97),"",MAX(K$5:K96)+1)</f>
        <v>44</v>
      </c>
      <c r="L97" s="4" t="s">
        <v>7</v>
      </c>
      <c r="M97" s="2"/>
      <c r="N97" s="5"/>
    </row>
    <row r="98" spans="2:14">
      <c r="B98" s="5"/>
      <c r="K98" s="3" t="str">
        <f>IF(ISBLANK(L98),"",MAX(K$5:K97)+1)</f>
        <v/>
      </c>
      <c r="L98" s="4"/>
      <c r="M98" s="2"/>
      <c r="N98" s="5"/>
    </row>
    <row r="99" spans="2:14">
      <c r="B99" s="13" t="str">
        <f>"Preferred, "&amp;D68</f>
        <v>Preferred, C</v>
      </c>
      <c r="C99" s="49"/>
      <c r="I99" s="50"/>
      <c r="K99" s="3" t="str">
        <f>IF(ISBLANK(L99),"",MAX(K$5:K98)+1)</f>
        <v/>
      </c>
      <c r="L99" s="4"/>
      <c r="M99" s="2"/>
      <c r="N99" s="5"/>
    </row>
    <row r="100" spans="2:14">
      <c r="B100" s="5" t="s">
        <v>58</v>
      </c>
      <c r="C100" s="2" t="str">
        <f>C5</f>
        <v>$</v>
      </c>
      <c r="D100" s="47">
        <f t="shared" ref="D100:J101" si="18">D94</f>
        <v>0</v>
      </c>
      <c r="E100" s="47">
        <f t="shared" si="18"/>
        <v>0</v>
      </c>
      <c r="F100" s="47">
        <f t="shared" si="18"/>
        <v>0</v>
      </c>
      <c r="G100" s="47">
        <f t="shared" si="18"/>
        <v>0</v>
      </c>
      <c r="H100" s="47">
        <f t="shared" si="18"/>
        <v>0</v>
      </c>
      <c r="I100" s="47">
        <f t="shared" si="18"/>
        <v>0</v>
      </c>
      <c r="J100" s="47">
        <f t="shared" si="18"/>
        <v>0</v>
      </c>
      <c r="K100" s="3">
        <f>IF(ISBLANK(L100),"",MAX(K$5:K99)+1)</f>
        <v>45</v>
      </c>
      <c r="L100" s="4" t="s">
        <v>59</v>
      </c>
    </row>
    <row r="101" spans="2:14">
      <c r="B101" s="5" t="s">
        <v>60</v>
      </c>
      <c r="C101" s="42" t="s">
        <v>5</v>
      </c>
      <c r="D101" s="47">
        <f t="shared" si="18"/>
        <v>0</v>
      </c>
      <c r="E101" s="47">
        <f t="shared" si="18"/>
        <v>0</v>
      </c>
      <c r="F101" s="47">
        <f t="shared" si="18"/>
        <v>0</v>
      </c>
      <c r="G101" s="47">
        <f t="shared" si="18"/>
        <v>0</v>
      </c>
      <c r="H101" s="47">
        <f t="shared" si="18"/>
        <v>0</v>
      </c>
      <c r="I101" s="47">
        <f t="shared" si="18"/>
        <v>0</v>
      </c>
      <c r="J101" s="47">
        <f t="shared" si="18"/>
        <v>0</v>
      </c>
      <c r="K101" s="3">
        <f>IF(ISBLANK(L101),"",MAX(K$5:K100)+1)</f>
        <v>46</v>
      </c>
      <c r="L101" s="4" t="s">
        <v>61</v>
      </c>
    </row>
    <row r="102" spans="2:14">
      <c r="B102" s="31" t="str">
        <f>"Shares, "&amp;B99</f>
        <v>Shares, Preferred, C</v>
      </c>
      <c r="C102" s="30" t="s">
        <v>5</v>
      </c>
      <c r="D102" s="47">
        <f t="shared" ref="D102:J102" si="19">$D59</f>
        <v>0</v>
      </c>
      <c r="E102" s="47">
        <f t="shared" si="19"/>
        <v>0</v>
      </c>
      <c r="F102" s="47">
        <f t="shared" si="19"/>
        <v>0</v>
      </c>
      <c r="G102" s="47">
        <f t="shared" si="19"/>
        <v>0</v>
      </c>
      <c r="H102" s="47">
        <f t="shared" si="19"/>
        <v>0</v>
      </c>
      <c r="I102" s="47">
        <f t="shared" si="19"/>
        <v>0</v>
      </c>
      <c r="J102" s="47">
        <f t="shared" si="19"/>
        <v>0</v>
      </c>
      <c r="K102" s="3">
        <f>IF(ISBLANK(L102),"",MAX(K$5:K101)+1)</f>
        <v>47</v>
      </c>
      <c r="L102" s="32" t="s">
        <v>62</v>
      </c>
    </row>
    <row r="103" spans="2:14">
      <c r="B103" s="31" t="s">
        <v>63</v>
      </c>
      <c r="C103" s="30" t="str">
        <f>C$5</f>
        <v>$</v>
      </c>
      <c r="D103" s="47">
        <f t="shared" ref="D103:J103" si="20">$D61</f>
        <v>0</v>
      </c>
      <c r="E103" s="47">
        <f t="shared" si="20"/>
        <v>0</v>
      </c>
      <c r="F103" s="47">
        <f t="shared" si="20"/>
        <v>0</v>
      </c>
      <c r="G103" s="47">
        <f t="shared" si="20"/>
        <v>0</v>
      </c>
      <c r="H103" s="47">
        <f t="shared" si="20"/>
        <v>0</v>
      </c>
      <c r="I103" s="47">
        <f t="shared" si="20"/>
        <v>0</v>
      </c>
      <c r="J103" s="47">
        <f t="shared" si="20"/>
        <v>0</v>
      </c>
      <c r="K103" s="3">
        <f>IF(ISBLANK(L103),"",MAX(K$5:K102)+1)</f>
        <v>48</v>
      </c>
      <c r="L103" s="32" t="s">
        <v>64</v>
      </c>
    </row>
    <row r="104" spans="2:14">
      <c r="B104" s="31" t="s">
        <v>65</v>
      </c>
      <c r="C104" s="30" t="str">
        <f>C5</f>
        <v>$</v>
      </c>
      <c r="D104" s="33" t="str">
        <f>IF($D$62=$B$327,$D60*$D$63,IF($D$62=$B$328,0,"na"))</f>
        <v>na</v>
      </c>
      <c r="E104" s="33" t="str">
        <f t="shared" ref="E104:J104" si="21">IF($D$62=$B$327,$D60*$D$63,IF($D$62=$B$328,0,"na"))</f>
        <v>na</v>
      </c>
      <c r="F104" s="33" t="str">
        <f t="shared" si="21"/>
        <v>na</v>
      </c>
      <c r="G104" s="33" t="str">
        <f t="shared" si="21"/>
        <v>na</v>
      </c>
      <c r="H104" s="33" t="str">
        <f t="shared" si="21"/>
        <v>na</v>
      </c>
      <c r="I104" s="33" t="str">
        <f t="shared" si="21"/>
        <v>na</v>
      </c>
      <c r="J104" s="33" t="str">
        <f t="shared" si="21"/>
        <v>na</v>
      </c>
      <c r="K104" s="3">
        <f>IF(ISBLANK(L104),"",MAX(K$5:K103)+1)</f>
        <v>49</v>
      </c>
      <c r="L104" s="32" t="s">
        <v>66</v>
      </c>
    </row>
    <row r="105" spans="2:14">
      <c r="B105" s="34" t="str">
        <f>"Note: Implied Proceeds, do not convert to Common, if "&amp;B$326</f>
        <v>Note: Implied Proceeds, do not convert to Common, if Non Participating Preferred</v>
      </c>
      <c r="C105" s="30" t="str">
        <f>C$5</f>
        <v>$</v>
      </c>
      <c r="D105" s="47">
        <f>MIN(D100,D103)</f>
        <v>0</v>
      </c>
      <c r="E105" s="47">
        <f>MIN(E100,E103)</f>
        <v>0</v>
      </c>
      <c r="F105" s="47">
        <f>MIN(F100,F103)</f>
        <v>0</v>
      </c>
      <c r="G105" s="47">
        <f t="shared" ref="G105:J105" si="22">MIN(G100,G103)</f>
        <v>0</v>
      </c>
      <c r="H105" s="47">
        <f t="shared" si="22"/>
        <v>0</v>
      </c>
      <c r="I105" s="47">
        <f t="shared" si="22"/>
        <v>0</v>
      </c>
      <c r="J105" s="47">
        <f t="shared" si="22"/>
        <v>0</v>
      </c>
      <c r="K105" s="3">
        <f>IF(ISBLANK(L105),"",MAX(K$5:K104)+1)</f>
        <v>50</v>
      </c>
      <c r="L105" s="32" t="s">
        <v>154</v>
      </c>
      <c r="M105" s="26"/>
    </row>
    <row r="106" spans="2:14">
      <c r="B106" s="34" t="str">
        <f>"Note: Implied Proceeds, do not convert to Common, if "&amp;B$327</f>
        <v>Note: Implied Proceeds, do not convert to Common, if Participating Preferred with a Cap</v>
      </c>
      <c r="C106" s="30" t="str">
        <f>C$5</f>
        <v>$</v>
      </c>
      <c r="D106" s="47">
        <f t="shared" ref="D106:J106" si="23">IFERROR(IF($D$8="no",MIN(MAX(0,D$94)/D$95*D102+D103,D100,$D$60*$D$63),MIN(D$196*D102+D103,D100,$D$60*$D$63)),0)</f>
        <v>0</v>
      </c>
      <c r="E106" s="47">
        <f t="shared" si="23"/>
        <v>0</v>
      </c>
      <c r="F106" s="47">
        <f t="shared" si="23"/>
        <v>0</v>
      </c>
      <c r="G106" s="47">
        <f t="shared" si="23"/>
        <v>0</v>
      </c>
      <c r="H106" s="47">
        <f t="shared" si="23"/>
        <v>0</v>
      </c>
      <c r="I106" s="47">
        <f t="shared" si="23"/>
        <v>0</v>
      </c>
      <c r="J106" s="47">
        <f t="shared" si="23"/>
        <v>0</v>
      </c>
      <c r="K106" s="3">
        <f>IF(ISBLANK(L106),"",MAX(K$5:K105)+1)</f>
        <v>51</v>
      </c>
      <c r="L106" s="32" t="s">
        <v>156</v>
      </c>
      <c r="M106" s="26"/>
    </row>
    <row r="107" spans="2:14">
      <c r="B107" s="34" t="str">
        <f>"Note: Implied Proceeds, do not convert to Common, if "&amp;B$328</f>
        <v>Note: Implied Proceeds, do not convert to Common, if Full Participating Preferred</v>
      </c>
      <c r="C107" s="30" t="str">
        <f>C$5</f>
        <v>$</v>
      </c>
      <c r="D107" s="47">
        <f t="shared" ref="D107:J107" si="24">IFERROR(MIN(D$196*D102+D103,D100),0)</f>
        <v>0</v>
      </c>
      <c r="E107" s="47">
        <f t="shared" si="24"/>
        <v>0</v>
      </c>
      <c r="F107" s="47">
        <f t="shared" si="24"/>
        <v>0</v>
      </c>
      <c r="G107" s="47">
        <f t="shared" si="24"/>
        <v>0</v>
      </c>
      <c r="H107" s="47">
        <f t="shared" si="24"/>
        <v>0</v>
      </c>
      <c r="I107" s="47">
        <f t="shared" si="24"/>
        <v>0</v>
      </c>
      <c r="J107" s="47">
        <f t="shared" si="24"/>
        <v>0</v>
      </c>
      <c r="K107" s="3">
        <f>IF(ISBLANK(L107),"",MAX(K$5:K106)+1)</f>
        <v>52</v>
      </c>
      <c r="L107" s="32" t="s">
        <v>155</v>
      </c>
      <c r="M107" s="26"/>
    </row>
    <row r="108" spans="2:14">
      <c r="B108" s="34" t="s">
        <v>67</v>
      </c>
      <c r="C108" s="30" t="str">
        <f>C$5</f>
        <v>$</v>
      </c>
      <c r="D108" s="35">
        <f>IFERROR(IF($D$8="no",MAX(0,D$94)/D$95*D102*$D$64,D$196*D102*$D$64),0)</f>
        <v>0</v>
      </c>
      <c r="E108" s="35">
        <f t="shared" ref="E108:J108" si="25">IFERROR(IF($D$8="no",MAX(0,E$94)/E$95*E102*$D$64,E$196*E102*$D$64),0)</f>
        <v>0</v>
      </c>
      <c r="F108" s="35">
        <f t="shared" si="25"/>
        <v>0</v>
      </c>
      <c r="G108" s="35">
        <f t="shared" si="25"/>
        <v>0</v>
      </c>
      <c r="H108" s="35">
        <f t="shared" si="25"/>
        <v>0</v>
      </c>
      <c r="I108" s="35">
        <f t="shared" si="25"/>
        <v>0</v>
      </c>
      <c r="J108" s="35">
        <f t="shared" si="25"/>
        <v>0</v>
      </c>
      <c r="K108" s="3">
        <f>IF(ISBLANK(L108),"",MAX(K$5:K107)+1)</f>
        <v>53</v>
      </c>
      <c r="L108" s="32" t="s">
        <v>68</v>
      </c>
    </row>
    <row r="109" spans="2:14">
      <c r="B109" s="31" t="s">
        <v>69</v>
      </c>
      <c r="C109" s="30" t="s">
        <v>15</v>
      </c>
      <c r="D109" s="51" t="str">
        <f t="shared" ref="D109:J109" si="26">IF($D$62=$B$326,"no",IF($D$62=$B$328,"yes",IF(D106&gt;D108,"yes","no")))</f>
        <v>no</v>
      </c>
      <c r="E109" s="51" t="str">
        <f t="shared" si="26"/>
        <v>no</v>
      </c>
      <c r="F109" s="51" t="str">
        <f t="shared" si="26"/>
        <v>no</v>
      </c>
      <c r="G109" s="51" t="str">
        <f t="shared" si="26"/>
        <v>no</v>
      </c>
      <c r="H109" s="51" t="str">
        <f t="shared" si="26"/>
        <v>no</v>
      </c>
      <c r="I109" s="51" t="str">
        <f t="shared" si="26"/>
        <v>no</v>
      </c>
      <c r="J109" s="51" t="str">
        <f t="shared" si="26"/>
        <v>no</v>
      </c>
      <c r="K109" s="3">
        <f>IF(ISBLANK(L109),"",MAX(K$5:K108)+1)</f>
        <v>54</v>
      </c>
      <c r="L109" s="32" t="s">
        <v>157</v>
      </c>
    </row>
    <row r="110" spans="2:14">
      <c r="B110" s="31" t="s">
        <v>70</v>
      </c>
      <c r="C110" s="30" t="s">
        <v>5</v>
      </c>
      <c r="D110" s="47">
        <f t="shared" ref="D110:J110" si="27">IFERROR(IF(D109="yes",INDEX(D111:D113,MATCH($D$62,$B$326:$B$328,0))/D$196,0),0)</f>
        <v>0</v>
      </c>
      <c r="E110" s="47">
        <f t="shared" si="27"/>
        <v>0</v>
      </c>
      <c r="F110" s="47">
        <f t="shared" si="27"/>
        <v>0</v>
      </c>
      <c r="G110" s="47">
        <f t="shared" si="27"/>
        <v>0</v>
      </c>
      <c r="H110" s="47">
        <f t="shared" si="27"/>
        <v>0</v>
      </c>
      <c r="I110" s="47">
        <f t="shared" si="27"/>
        <v>0</v>
      </c>
      <c r="J110" s="47">
        <f t="shared" si="27"/>
        <v>0</v>
      </c>
      <c r="K110" s="3">
        <f>IF(ISBLANK(L110),"",MAX(K$5:K109)+1)</f>
        <v>55</v>
      </c>
      <c r="L110" s="32" t="s">
        <v>71</v>
      </c>
    </row>
    <row r="111" spans="2:14">
      <c r="B111" s="34" t="str">
        <f>"Note: Participation, if "&amp;B326</f>
        <v>Note: Participation, if Non Participating Preferred</v>
      </c>
      <c r="C111" s="30" t="str">
        <f>C$5</f>
        <v>$</v>
      </c>
      <c r="D111" s="47">
        <f t="shared" ref="D111:J113" si="28">MAX(0,D105-D$103)</f>
        <v>0</v>
      </c>
      <c r="E111" s="47">
        <f t="shared" si="28"/>
        <v>0</v>
      </c>
      <c r="F111" s="47">
        <f t="shared" si="28"/>
        <v>0</v>
      </c>
      <c r="G111" s="47">
        <f t="shared" si="28"/>
        <v>0</v>
      </c>
      <c r="H111" s="47">
        <f t="shared" si="28"/>
        <v>0</v>
      </c>
      <c r="I111" s="47">
        <f t="shared" si="28"/>
        <v>0</v>
      </c>
      <c r="J111" s="47">
        <f t="shared" si="28"/>
        <v>0</v>
      </c>
      <c r="K111" s="3">
        <f>IF(ISBLANK(L111),"",MAX(K$5:K110)+1)</f>
        <v>56</v>
      </c>
      <c r="L111" s="32" t="s">
        <v>72</v>
      </c>
    </row>
    <row r="112" spans="2:14">
      <c r="B112" s="34" t="str">
        <f>"Note: Participation, if "&amp;B327</f>
        <v>Note: Participation, if Participating Preferred with a Cap</v>
      </c>
      <c r="C112" s="30" t="str">
        <f>C$5</f>
        <v>$</v>
      </c>
      <c r="D112" s="47">
        <f t="shared" si="28"/>
        <v>0</v>
      </c>
      <c r="E112" s="47">
        <f t="shared" si="28"/>
        <v>0</v>
      </c>
      <c r="F112" s="47">
        <f t="shared" si="28"/>
        <v>0</v>
      </c>
      <c r="G112" s="47">
        <f t="shared" si="28"/>
        <v>0</v>
      </c>
      <c r="H112" s="47">
        <f t="shared" si="28"/>
        <v>0</v>
      </c>
      <c r="I112" s="47">
        <f t="shared" si="28"/>
        <v>0</v>
      </c>
      <c r="J112" s="47">
        <f t="shared" si="28"/>
        <v>0</v>
      </c>
      <c r="K112" s="3">
        <f>IF(ISBLANK(L112),"",MAX(K$5:K111)+1)</f>
        <v>57</v>
      </c>
      <c r="L112" s="32" t="s">
        <v>72</v>
      </c>
    </row>
    <row r="113" spans="2:12">
      <c r="B113" s="34" t="str">
        <f>"Note: Participation, if "&amp;B328</f>
        <v>Note: Participation, if Full Participating Preferred</v>
      </c>
      <c r="C113" s="30" t="str">
        <f>C$5</f>
        <v>$</v>
      </c>
      <c r="D113" s="47">
        <f t="shared" si="28"/>
        <v>0</v>
      </c>
      <c r="E113" s="47">
        <f t="shared" si="28"/>
        <v>0</v>
      </c>
      <c r="F113" s="47">
        <f t="shared" si="28"/>
        <v>0</v>
      </c>
      <c r="G113" s="47">
        <f t="shared" si="28"/>
        <v>0</v>
      </c>
      <c r="H113" s="47">
        <f t="shared" si="28"/>
        <v>0</v>
      </c>
      <c r="I113" s="47">
        <f t="shared" si="28"/>
        <v>0</v>
      </c>
      <c r="J113" s="47">
        <f t="shared" si="28"/>
        <v>0</v>
      </c>
      <c r="K113" s="3">
        <f>IF(ISBLANK(L113),"",MAX(K$5:K112)+1)</f>
        <v>58</v>
      </c>
      <c r="L113" s="32" t="s">
        <v>72</v>
      </c>
    </row>
    <row r="114" spans="2:12">
      <c r="B114" s="31" t="s">
        <v>73</v>
      </c>
      <c r="C114" s="30" t="s">
        <v>15</v>
      </c>
      <c r="D114" s="51" t="str">
        <f t="shared" ref="D114:J114" si="29">IF($D$62=$B$326,IF(D105&gt;D108,"no","yes"),IF(D109="yes","no","yes"))</f>
        <v>yes</v>
      </c>
      <c r="E114" s="51" t="str">
        <f t="shared" si="29"/>
        <v>yes</v>
      </c>
      <c r="F114" s="51" t="str">
        <f t="shared" si="29"/>
        <v>yes</v>
      </c>
      <c r="G114" s="51" t="str">
        <f t="shared" si="29"/>
        <v>yes</v>
      </c>
      <c r="H114" s="51" t="str">
        <f t="shared" si="29"/>
        <v>yes</v>
      </c>
      <c r="I114" s="51" t="str">
        <f t="shared" si="29"/>
        <v>yes</v>
      </c>
      <c r="J114" s="51" t="str">
        <f t="shared" si="29"/>
        <v>yes</v>
      </c>
      <c r="K114" s="3">
        <f>IF(ISBLANK(L114),"",MAX(K$5:K113)+1)</f>
        <v>59</v>
      </c>
      <c r="L114" s="32" t="s">
        <v>74</v>
      </c>
    </row>
    <row r="115" spans="2:12">
      <c r="B115" s="31" t="s">
        <v>75</v>
      </c>
      <c r="C115" s="30" t="s">
        <v>5</v>
      </c>
      <c r="D115" s="47">
        <f>IF(D114="yes",D102*$D$64,0)</f>
        <v>0</v>
      </c>
      <c r="E115" s="47">
        <f t="shared" ref="E115:J115" si="30">IF(E114="yes",E102*$D$64,0)</f>
        <v>0</v>
      </c>
      <c r="F115" s="47">
        <f t="shared" si="30"/>
        <v>0</v>
      </c>
      <c r="G115" s="47">
        <f t="shared" si="30"/>
        <v>0</v>
      </c>
      <c r="H115" s="47">
        <f t="shared" si="30"/>
        <v>0</v>
      </c>
      <c r="I115" s="47">
        <f t="shared" si="30"/>
        <v>0</v>
      </c>
      <c r="J115" s="47">
        <f t="shared" si="30"/>
        <v>0</v>
      </c>
      <c r="K115" s="3">
        <f>IF(ISBLANK(L115),"",MAX(K$5:K114)+1)</f>
        <v>60</v>
      </c>
      <c r="L115" s="32" t="s">
        <v>76</v>
      </c>
    </row>
    <row r="116" spans="2:12">
      <c r="B116" s="31" t="s">
        <v>77</v>
      </c>
      <c r="C116" s="30" t="str">
        <f>C$5</f>
        <v>$</v>
      </c>
      <c r="D116" s="35">
        <f t="shared" ref="D116:J116" si="31">IF($D8="yes",IFERROR(D115*D$196,0),IFERROR(D115/D$95*D$94,0))</f>
        <v>0</v>
      </c>
      <c r="E116" s="35">
        <f t="shared" si="31"/>
        <v>0</v>
      </c>
      <c r="F116" s="35">
        <f t="shared" si="31"/>
        <v>0</v>
      </c>
      <c r="G116" s="35">
        <f t="shared" si="31"/>
        <v>0</v>
      </c>
      <c r="H116" s="35">
        <f t="shared" si="31"/>
        <v>0</v>
      </c>
      <c r="I116" s="35">
        <f t="shared" si="31"/>
        <v>0</v>
      </c>
      <c r="J116" s="35">
        <f t="shared" si="31"/>
        <v>0</v>
      </c>
      <c r="K116" s="3">
        <f>IF(ISBLANK(L116),"",MAX(K$5:K115)+1)</f>
        <v>61</v>
      </c>
      <c r="L116" s="32" t="s">
        <v>78</v>
      </c>
    </row>
    <row r="117" spans="2:12">
      <c r="B117" s="31" t="s">
        <v>41</v>
      </c>
      <c r="C117" s="30" t="str">
        <f>C$5</f>
        <v>$</v>
      </c>
      <c r="D117" s="35">
        <f>IF(OR(D114="yes",$D$65=$B$333),0,IF($D$65=$B$331,$D$66*$D$60,ROUND(YEARFRAC($D$67,$D$6,1),0)*$D$66*$D$60))</f>
        <v>0</v>
      </c>
      <c r="E117" s="35">
        <f t="shared" ref="E117:J117" si="32">IF(OR(E114="yes",$D$65=$B$333),0,IF($D$65=$B$331,$D$66*$D$60,ROUND(YEARFRAC($D$67,$D$6,1),0)*$D$66*$D$60))</f>
        <v>0</v>
      </c>
      <c r="F117" s="35">
        <f t="shared" si="32"/>
        <v>0</v>
      </c>
      <c r="G117" s="35">
        <f t="shared" si="32"/>
        <v>0</v>
      </c>
      <c r="H117" s="35">
        <f t="shared" si="32"/>
        <v>0</v>
      </c>
      <c r="I117" s="35">
        <f t="shared" si="32"/>
        <v>0</v>
      </c>
      <c r="J117" s="35">
        <f t="shared" si="32"/>
        <v>0</v>
      </c>
      <c r="K117" s="3">
        <f>IF(ISBLANK(L117),"",MAX(K$5:K116)+1)</f>
        <v>62</v>
      </c>
      <c r="L117" s="32" t="s">
        <v>110</v>
      </c>
    </row>
    <row r="118" spans="2:12">
      <c r="B118" s="31" t="str">
        <f>"Proceeds to "&amp;B99</f>
        <v>Proceeds to Preferred, C</v>
      </c>
      <c r="C118" s="30" t="str">
        <f>C5</f>
        <v>$</v>
      </c>
      <c r="D118" s="47">
        <f t="shared" ref="D118:J118" si="33">MIN(D100,MAX(D117+INDEX(D105:D107,MATCH($D$62,$B$326:$B$328,0)),D116))</f>
        <v>0</v>
      </c>
      <c r="E118" s="47">
        <f t="shared" si="33"/>
        <v>0</v>
      </c>
      <c r="F118" s="47">
        <f t="shared" si="33"/>
        <v>0</v>
      </c>
      <c r="G118" s="47">
        <f t="shared" si="33"/>
        <v>0</v>
      </c>
      <c r="H118" s="47">
        <f t="shared" si="33"/>
        <v>0</v>
      </c>
      <c r="I118" s="47">
        <f t="shared" si="33"/>
        <v>0</v>
      </c>
      <c r="J118" s="47">
        <f t="shared" si="33"/>
        <v>0</v>
      </c>
      <c r="K118" s="3">
        <f>IF(ISBLANK(L118),"",MAX(K$5:K117)+1)</f>
        <v>63</v>
      </c>
      <c r="L118" s="32" t="s">
        <v>79</v>
      </c>
    </row>
    <row r="119" spans="2:12">
      <c r="B119" s="31" t="s">
        <v>80</v>
      </c>
      <c r="C119" s="30" t="str">
        <f>C5</f>
        <v>$</v>
      </c>
      <c r="D119" s="36">
        <f t="shared" ref="D119:J119" si="34">IFERROR(D118/D102,0)</f>
        <v>0</v>
      </c>
      <c r="E119" s="36">
        <f t="shared" si="34"/>
        <v>0</v>
      </c>
      <c r="F119" s="36">
        <f t="shared" si="34"/>
        <v>0</v>
      </c>
      <c r="G119" s="36">
        <f t="shared" si="34"/>
        <v>0</v>
      </c>
      <c r="H119" s="36">
        <f t="shared" si="34"/>
        <v>0</v>
      </c>
      <c r="I119" s="36">
        <f t="shared" si="34"/>
        <v>0</v>
      </c>
      <c r="J119" s="36">
        <f t="shared" si="34"/>
        <v>0</v>
      </c>
      <c r="K119" s="3">
        <f>IF(ISBLANK(L119),"",MAX(K$5:K118)+1)</f>
        <v>64</v>
      </c>
      <c r="L119" s="32" t="s">
        <v>81</v>
      </c>
    </row>
    <row r="120" spans="2:12">
      <c r="B120" s="31"/>
      <c r="H120" s="47"/>
      <c r="I120" s="52"/>
      <c r="K120" s="3" t="str">
        <f>IF(ISBLANK(L120),"",MAX(K$5:K119)+1)</f>
        <v/>
      </c>
    </row>
    <row r="121" spans="2:12">
      <c r="B121" s="34" t="str">
        <f>"Preferred, "&amp;E68</f>
        <v>Preferred, B</v>
      </c>
      <c r="C121" s="49"/>
      <c r="D121" s="47"/>
      <c r="E121" s="47"/>
      <c r="F121" s="47"/>
      <c r="G121" s="47"/>
      <c r="H121" s="47"/>
      <c r="I121" s="47"/>
      <c r="K121" s="3" t="str">
        <f>IF(ISBLANK(L121),"",MAX(K$5:K120)+1)</f>
        <v/>
      </c>
    </row>
    <row r="122" spans="2:12">
      <c r="B122" s="31" t="s">
        <v>58</v>
      </c>
      <c r="C122" s="30" t="str">
        <f>C$5</f>
        <v>$</v>
      </c>
      <c r="D122" s="75">
        <f>IF(D114="no",MAX(0,D100-D103-D117),IF($D$62=$B$328,MAX(0,D100-D103-D117),IF(AND($D$62=$B$327,D116=0),MAX(0,D100-D103-D117),D100)))</f>
        <v>0</v>
      </c>
      <c r="E122" s="75">
        <f>IF(E114="no",MAX(0,E100-E103-E117),IF($D62=$B$328,MAX(0,E100-E103-E117),IF(AND($D62=$B$327,E116=0),MAX(0,E100-E103-E117),E100)))</f>
        <v>0</v>
      </c>
      <c r="F122" s="75">
        <f t="shared" ref="F122:J122" si="35">IF(F114="no",MAX(0,F100-F103-F117),IF($D62=$B$328,MAX(0,F100-F103-F117),IF(AND($D62=$B$327,F116=0),MAX(0,F100-F103-F117),F100)))</f>
        <v>0</v>
      </c>
      <c r="G122" s="75">
        <f t="shared" si="35"/>
        <v>0</v>
      </c>
      <c r="H122" s="75">
        <f t="shared" si="35"/>
        <v>0</v>
      </c>
      <c r="I122" s="75">
        <f t="shared" si="35"/>
        <v>0</v>
      </c>
      <c r="J122" s="75">
        <f t="shared" si="35"/>
        <v>0</v>
      </c>
      <c r="K122" s="3" t="str">
        <f>IF(ISBLANK(L122),"",MAX(K$5:K121)+1)</f>
        <v/>
      </c>
      <c r="L122" s="32"/>
    </row>
    <row r="123" spans="2:12">
      <c r="B123" s="31" t="s">
        <v>60</v>
      </c>
      <c r="C123" s="42" t="s">
        <v>5</v>
      </c>
      <c r="D123" s="75">
        <f t="shared" ref="D123:J123" si="36">D101-D115</f>
        <v>0</v>
      </c>
      <c r="E123" s="75">
        <f t="shared" si="36"/>
        <v>0</v>
      </c>
      <c r="F123" s="75">
        <f t="shared" si="36"/>
        <v>0</v>
      </c>
      <c r="G123" s="75">
        <f t="shared" si="36"/>
        <v>0</v>
      </c>
      <c r="H123" s="75">
        <f t="shared" si="36"/>
        <v>0</v>
      </c>
      <c r="I123" s="75">
        <f t="shared" si="36"/>
        <v>0</v>
      </c>
      <c r="J123" s="75">
        <f t="shared" si="36"/>
        <v>0</v>
      </c>
      <c r="K123" s="3" t="str">
        <f>IF(ISBLANK(L123),"",MAX(K$5:K122)+1)</f>
        <v/>
      </c>
    </row>
    <row r="124" spans="2:12">
      <c r="B124" s="31" t="str">
        <f>"Shares, "&amp;B121</f>
        <v>Shares, Preferred, B</v>
      </c>
      <c r="C124" s="30" t="s">
        <v>5</v>
      </c>
      <c r="D124" s="75">
        <f t="shared" ref="D124:J124" si="37">$E59</f>
        <v>0</v>
      </c>
      <c r="E124" s="75">
        <f t="shared" si="37"/>
        <v>0</v>
      </c>
      <c r="F124" s="75">
        <f t="shared" si="37"/>
        <v>0</v>
      </c>
      <c r="G124" s="75">
        <f t="shared" si="37"/>
        <v>0</v>
      </c>
      <c r="H124" s="75">
        <f t="shared" si="37"/>
        <v>0</v>
      </c>
      <c r="I124" s="75">
        <f t="shared" si="37"/>
        <v>0</v>
      </c>
      <c r="J124" s="75">
        <f t="shared" si="37"/>
        <v>0</v>
      </c>
      <c r="K124" s="3" t="str">
        <f>IF(ISBLANK(L124),"",MAX(K$5:K123)+1)</f>
        <v/>
      </c>
    </row>
    <row r="125" spans="2:12">
      <c r="B125" s="31" t="s">
        <v>63</v>
      </c>
      <c r="C125" s="30" t="str">
        <f t="shared" ref="C125:C130" si="38">C$5</f>
        <v>$</v>
      </c>
      <c r="D125" s="33">
        <f t="shared" ref="D125:J125" si="39">$E61</f>
        <v>0</v>
      </c>
      <c r="E125" s="33">
        <f t="shared" si="39"/>
        <v>0</v>
      </c>
      <c r="F125" s="33">
        <f t="shared" si="39"/>
        <v>0</v>
      </c>
      <c r="G125" s="33">
        <f t="shared" si="39"/>
        <v>0</v>
      </c>
      <c r="H125" s="33">
        <f t="shared" si="39"/>
        <v>0</v>
      </c>
      <c r="I125" s="33">
        <f t="shared" si="39"/>
        <v>0</v>
      </c>
      <c r="J125" s="33">
        <f t="shared" si="39"/>
        <v>0</v>
      </c>
      <c r="K125" s="3" t="str">
        <f>IF(ISBLANK(L125),"",MAX(K$5:K124)+1)</f>
        <v/>
      </c>
    </row>
    <row r="126" spans="2:12">
      <c r="B126" s="31" t="s">
        <v>65</v>
      </c>
      <c r="C126" s="30" t="str">
        <f t="shared" si="38"/>
        <v>$</v>
      </c>
      <c r="D126" s="33" t="str">
        <f>IF($E$62=$B$327,$E60*$E$63,IF($E$62=$B$328,0,"na"))</f>
        <v>na</v>
      </c>
      <c r="E126" s="33" t="str">
        <f t="shared" ref="E126:J126" si="40">IF($E$62=$B$327,$E60*$E$63,IF($E$62=$B$328,0,"na"))</f>
        <v>na</v>
      </c>
      <c r="F126" s="33" t="str">
        <f t="shared" si="40"/>
        <v>na</v>
      </c>
      <c r="G126" s="33" t="str">
        <f t="shared" si="40"/>
        <v>na</v>
      </c>
      <c r="H126" s="33" t="str">
        <f t="shared" si="40"/>
        <v>na</v>
      </c>
      <c r="I126" s="33" t="str">
        <f t="shared" si="40"/>
        <v>na</v>
      </c>
      <c r="J126" s="33" t="str">
        <f t="shared" si="40"/>
        <v>na</v>
      </c>
      <c r="K126" s="3" t="str">
        <f>IF(ISBLANK(L126),"",MAX(K$5:K125)+1)</f>
        <v/>
      </c>
    </row>
    <row r="127" spans="2:12">
      <c r="B127" s="34" t="str">
        <f>"Note: Implied Proceeds, do not convert to Common, if "&amp;B$326</f>
        <v>Note: Implied Proceeds, do not convert to Common, if Non Participating Preferred</v>
      </c>
      <c r="C127" s="30" t="str">
        <f t="shared" si="38"/>
        <v>$</v>
      </c>
      <c r="D127" s="75">
        <f>MIN(D122,D125)</f>
        <v>0</v>
      </c>
      <c r="E127" s="75">
        <f t="shared" ref="E127:J127" si="41">MIN(E122,E125)</f>
        <v>0</v>
      </c>
      <c r="F127" s="75">
        <f t="shared" si="41"/>
        <v>0</v>
      </c>
      <c r="G127" s="75">
        <f t="shared" si="41"/>
        <v>0</v>
      </c>
      <c r="H127" s="75">
        <f t="shared" si="41"/>
        <v>0</v>
      </c>
      <c r="I127" s="75">
        <f t="shared" si="41"/>
        <v>0</v>
      </c>
      <c r="J127" s="75">
        <f t="shared" si="41"/>
        <v>0</v>
      </c>
      <c r="K127" s="3" t="str">
        <f>IF(ISBLANK(L127),"",MAX(K$5:K126)+1)</f>
        <v/>
      </c>
    </row>
    <row r="128" spans="2:12">
      <c r="B128" s="34" t="str">
        <f>"Note: Implied Proceeds, do not convert to Common, if "&amp;B$327</f>
        <v>Note: Implied Proceeds, do not convert to Common, if Participating Preferred with a Cap</v>
      </c>
      <c r="C128" s="30" t="str">
        <f t="shared" si="38"/>
        <v>$</v>
      </c>
      <c r="D128" s="75">
        <f t="shared" ref="D128:J128" si="42">IFERROR(IF($D$8="no",MIN(MAX(0,D$94)/D$95*D124+D125,D122,$E$60*$E$63),MIN(D$196*D124+D125,D122,$E$60*$E$63)),0)</f>
        <v>0</v>
      </c>
      <c r="E128" s="75">
        <f t="shared" si="42"/>
        <v>0</v>
      </c>
      <c r="F128" s="75">
        <f t="shared" si="42"/>
        <v>0</v>
      </c>
      <c r="G128" s="75">
        <f t="shared" si="42"/>
        <v>0</v>
      </c>
      <c r="H128" s="75">
        <f t="shared" si="42"/>
        <v>0</v>
      </c>
      <c r="I128" s="75">
        <f t="shared" si="42"/>
        <v>0</v>
      </c>
      <c r="J128" s="75">
        <f t="shared" si="42"/>
        <v>0</v>
      </c>
      <c r="K128" s="3" t="str">
        <f>IF(ISBLANK(L128),"",MAX(K$5:K127)+1)</f>
        <v/>
      </c>
    </row>
    <row r="129" spans="2:13">
      <c r="B129" s="34" t="str">
        <f>"Note: Implied Proceeds, do not convert to Common, if "&amp;B$328</f>
        <v>Note: Implied Proceeds, do not convert to Common, if Full Participating Preferred</v>
      </c>
      <c r="C129" s="30" t="str">
        <f t="shared" si="38"/>
        <v>$</v>
      </c>
      <c r="D129" s="75">
        <f>IFERROR(MIN(D$196*D124+D125,D122),0)</f>
        <v>0</v>
      </c>
      <c r="E129" s="75">
        <f t="shared" ref="E129:J129" si="43">IFERROR(MIN(E$196*E124+E125,E122),0)</f>
        <v>0</v>
      </c>
      <c r="F129" s="75">
        <f t="shared" si="43"/>
        <v>0</v>
      </c>
      <c r="G129" s="75">
        <f t="shared" si="43"/>
        <v>0</v>
      </c>
      <c r="H129" s="75">
        <f t="shared" si="43"/>
        <v>0</v>
      </c>
      <c r="I129" s="75">
        <f t="shared" si="43"/>
        <v>0</v>
      </c>
      <c r="J129" s="75">
        <f t="shared" si="43"/>
        <v>0</v>
      </c>
      <c r="K129" s="3" t="str">
        <f>IF(ISBLANK(L129),"",MAX(K$5:K128)+1)</f>
        <v/>
      </c>
    </row>
    <row r="130" spans="2:13">
      <c r="B130" s="34" t="s">
        <v>67</v>
      </c>
      <c r="C130" s="30" t="str">
        <f t="shared" si="38"/>
        <v>$</v>
      </c>
      <c r="D130" s="35">
        <f>IFERROR(IF($D$8="no",MAX(0,D$94)/D$95*D124*$E$64,D$196*D124*$E$64),0)</f>
        <v>0</v>
      </c>
      <c r="E130" s="35">
        <f t="shared" ref="E130:J130" si="44">IFERROR(IF($D$8="no",MAX(0,E$94)/E$95*E124*$E$64,E$196*E124*$E$64),0)</f>
        <v>0</v>
      </c>
      <c r="F130" s="35">
        <f t="shared" si="44"/>
        <v>0</v>
      </c>
      <c r="G130" s="35">
        <f t="shared" si="44"/>
        <v>0</v>
      </c>
      <c r="H130" s="35">
        <f t="shared" si="44"/>
        <v>0</v>
      </c>
      <c r="I130" s="35">
        <f t="shared" si="44"/>
        <v>0</v>
      </c>
      <c r="J130" s="35">
        <f t="shared" si="44"/>
        <v>0</v>
      </c>
      <c r="K130" s="3" t="str">
        <f>IF(ISBLANK(L130),"",MAX(K$5:K129)+1)</f>
        <v/>
      </c>
      <c r="M130" s="53"/>
    </row>
    <row r="131" spans="2:13">
      <c r="B131" s="31" t="s">
        <v>69</v>
      </c>
      <c r="C131" s="30" t="s">
        <v>15</v>
      </c>
      <c r="D131" s="76" t="str">
        <f t="shared" ref="D131:J131" si="45">IF($E$62=$B$326,"no",IF($E$62=$B$328,"yes",IF(D128&gt;D130,"yes","no")))</f>
        <v>no</v>
      </c>
      <c r="E131" s="76" t="str">
        <f t="shared" si="45"/>
        <v>no</v>
      </c>
      <c r="F131" s="76" t="str">
        <f t="shared" si="45"/>
        <v>no</v>
      </c>
      <c r="G131" s="76" t="str">
        <f t="shared" si="45"/>
        <v>no</v>
      </c>
      <c r="H131" s="76" t="str">
        <f t="shared" si="45"/>
        <v>no</v>
      </c>
      <c r="I131" s="76" t="str">
        <f t="shared" si="45"/>
        <v>no</v>
      </c>
      <c r="J131" s="76" t="str">
        <f t="shared" si="45"/>
        <v>no</v>
      </c>
      <c r="K131" s="3" t="str">
        <f>IF(ISBLANK(L131),"",MAX(K$5:K130)+1)</f>
        <v/>
      </c>
    </row>
    <row r="132" spans="2:13">
      <c r="B132" s="31" t="s">
        <v>70</v>
      </c>
      <c r="C132" s="30" t="s">
        <v>5</v>
      </c>
      <c r="D132" s="75">
        <f t="shared" ref="D132:J132" si="46">IFERROR(IF(D131="yes",INDEX(D133:D135,MATCH($E$62,$B$326:$B$328,0))/D$196,0),0)</f>
        <v>0</v>
      </c>
      <c r="E132" s="75">
        <f t="shared" si="46"/>
        <v>0</v>
      </c>
      <c r="F132" s="75">
        <f t="shared" si="46"/>
        <v>0</v>
      </c>
      <c r="G132" s="75">
        <f t="shared" si="46"/>
        <v>0</v>
      </c>
      <c r="H132" s="75">
        <f t="shared" si="46"/>
        <v>0</v>
      </c>
      <c r="I132" s="75">
        <f t="shared" si="46"/>
        <v>0</v>
      </c>
      <c r="J132" s="75">
        <f t="shared" si="46"/>
        <v>0</v>
      </c>
      <c r="K132" s="3" t="str">
        <f>IF(ISBLANK(L132),"",MAX(K$5:K131)+1)</f>
        <v/>
      </c>
    </row>
    <row r="133" spans="2:13">
      <c r="B133" s="34" t="str">
        <f>"Note: Participation, if "&amp;B326</f>
        <v>Note: Participation, if Non Participating Preferred</v>
      </c>
      <c r="C133" s="30" t="str">
        <f>C$5</f>
        <v>$</v>
      </c>
      <c r="D133" s="75">
        <f>MAX(0,D127-D$125)</f>
        <v>0</v>
      </c>
      <c r="E133" s="75">
        <f t="shared" ref="E133:J135" si="47">MAX(0,E127-E$125)</f>
        <v>0</v>
      </c>
      <c r="F133" s="75">
        <f t="shared" si="47"/>
        <v>0</v>
      </c>
      <c r="G133" s="75">
        <f t="shared" si="47"/>
        <v>0</v>
      </c>
      <c r="H133" s="75">
        <f t="shared" si="47"/>
        <v>0</v>
      </c>
      <c r="I133" s="75">
        <f t="shared" si="47"/>
        <v>0</v>
      </c>
      <c r="J133" s="75">
        <f t="shared" si="47"/>
        <v>0</v>
      </c>
      <c r="K133" s="3" t="str">
        <f>IF(ISBLANK(L133),"",MAX(K$5:K132)+1)</f>
        <v/>
      </c>
    </row>
    <row r="134" spans="2:13">
      <c r="B134" s="34" t="str">
        <f>"Note: Participation, if "&amp;B327</f>
        <v>Note: Participation, if Participating Preferred with a Cap</v>
      </c>
      <c r="C134" s="30" t="str">
        <f>C$5</f>
        <v>$</v>
      </c>
      <c r="D134" s="75">
        <f>MAX(0,D128-D$125)</f>
        <v>0</v>
      </c>
      <c r="E134" s="75">
        <f t="shared" si="47"/>
        <v>0</v>
      </c>
      <c r="F134" s="75">
        <f t="shared" si="47"/>
        <v>0</v>
      </c>
      <c r="G134" s="75">
        <f t="shared" si="47"/>
        <v>0</v>
      </c>
      <c r="H134" s="75">
        <f t="shared" si="47"/>
        <v>0</v>
      </c>
      <c r="I134" s="75">
        <f t="shared" si="47"/>
        <v>0</v>
      </c>
      <c r="J134" s="75">
        <f t="shared" si="47"/>
        <v>0</v>
      </c>
      <c r="K134" s="3" t="str">
        <f>IF(ISBLANK(L134),"",MAX(K$5:K133)+1)</f>
        <v/>
      </c>
    </row>
    <row r="135" spans="2:13" s="44" customFormat="1">
      <c r="B135" s="34" t="str">
        <f>"Note: Participation, if "&amp;B328</f>
        <v>Note: Participation, if Full Participating Preferred</v>
      </c>
      <c r="C135" s="30" t="str">
        <f>C$5</f>
        <v>$</v>
      </c>
      <c r="D135" s="75">
        <f>MAX(0,D129-D$125)</f>
        <v>0</v>
      </c>
      <c r="E135" s="75">
        <f t="shared" si="47"/>
        <v>0</v>
      </c>
      <c r="F135" s="75">
        <f t="shared" si="47"/>
        <v>0</v>
      </c>
      <c r="G135" s="75">
        <f t="shared" si="47"/>
        <v>0</v>
      </c>
      <c r="H135" s="75">
        <f t="shared" si="47"/>
        <v>0</v>
      </c>
      <c r="I135" s="75">
        <f t="shared" si="47"/>
        <v>0</v>
      </c>
      <c r="J135" s="75">
        <f t="shared" si="47"/>
        <v>0</v>
      </c>
      <c r="K135" s="3" t="str">
        <f>IF(ISBLANK(L135),"",MAX(K$5:K134)+1)</f>
        <v/>
      </c>
    </row>
    <row r="136" spans="2:13" s="44" customFormat="1">
      <c r="B136" s="31" t="s">
        <v>73</v>
      </c>
      <c r="C136" s="30" t="s">
        <v>15</v>
      </c>
      <c r="D136" s="76" t="str">
        <f t="shared" ref="D136:J136" si="48">IF($E$62=$B$326,IF(D127&gt;D130,"no","yes"),IF(D131="yes","no","yes"))</f>
        <v>yes</v>
      </c>
      <c r="E136" s="76" t="str">
        <f t="shared" si="48"/>
        <v>yes</v>
      </c>
      <c r="F136" s="76" t="str">
        <f t="shared" si="48"/>
        <v>yes</v>
      </c>
      <c r="G136" s="76" t="str">
        <f t="shared" si="48"/>
        <v>yes</v>
      </c>
      <c r="H136" s="76" t="str">
        <f t="shared" si="48"/>
        <v>yes</v>
      </c>
      <c r="I136" s="76" t="str">
        <f t="shared" si="48"/>
        <v>yes</v>
      </c>
      <c r="J136" s="76" t="str">
        <f t="shared" si="48"/>
        <v>yes</v>
      </c>
      <c r="K136" s="3" t="str">
        <f>IF(ISBLANK(L136),"",MAX(K$5:K135)+1)</f>
        <v/>
      </c>
    </row>
    <row r="137" spans="2:13" s="44" customFormat="1">
      <c r="B137" s="31" t="s">
        <v>75</v>
      </c>
      <c r="C137" s="30" t="s">
        <v>5</v>
      </c>
      <c r="D137" s="75">
        <f>IF(D136="yes",D124*$E$64,0)</f>
        <v>0</v>
      </c>
      <c r="E137" s="75">
        <f t="shared" ref="E137:J137" si="49">IF(E136="yes",E124*$E$64,0)</f>
        <v>0</v>
      </c>
      <c r="F137" s="75">
        <f t="shared" si="49"/>
        <v>0</v>
      </c>
      <c r="G137" s="75">
        <f t="shared" si="49"/>
        <v>0</v>
      </c>
      <c r="H137" s="75">
        <f t="shared" si="49"/>
        <v>0</v>
      </c>
      <c r="I137" s="75">
        <f t="shared" si="49"/>
        <v>0</v>
      </c>
      <c r="J137" s="75">
        <f t="shared" si="49"/>
        <v>0</v>
      </c>
      <c r="K137" s="3" t="str">
        <f>IF(ISBLANK(L137),"",MAX(K$5:K136)+1)</f>
        <v/>
      </c>
    </row>
    <row r="138" spans="2:13" s="44" customFormat="1">
      <c r="B138" s="31" t="s">
        <v>77</v>
      </c>
      <c r="C138" s="30" t="str">
        <f>C$5</f>
        <v>$</v>
      </c>
      <c r="D138" s="35">
        <f t="shared" ref="D138:J138" si="50">IF($D$8="yes",IFERROR(D137*D$196,0),IFERROR(D137/D$95*D$94,0))</f>
        <v>0</v>
      </c>
      <c r="E138" s="35">
        <f t="shared" si="50"/>
        <v>0</v>
      </c>
      <c r="F138" s="35">
        <f t="shared" si="50"/>
        <v>0</v>
      </c>
      <c r="G138" s="35">
        <f t="shared" si="50"/>
        <v>0</v>
      </c>
      <c r="H138" s="35">
        <f t="shared" si="50"/>
        <v>0</v>
      </c>
      <c r="I138" s="35">
        <f t="shared" si="50"/>
        <v>0</v>
      </c>
      <c r="J138" s="35">
        <f t="shared" si="50"/>
        <v>0</v>
      </c>
      <c r="K138" s="3" t="str">
        <f>IF(ISBLANK(L138),"",MAX(K$5:K137)+1)</f>
        <v/>
      </c>
    </row>
    <row r="139" spans="2:13" s="44" customFormat="1">
      <c r="B139" s="31" t="s">
        <v>41</v>
      </c>
      <c r="C139" s="30" t="str">
        <f>C$5</f>
        <v>$</v>
      </c>
      <c r="D139" s="35">
        <f>IF(OR(D136="yes",$E$65=$B$333),0,IF($E$65=$B$331,$E$66*$E$60,ROUND(YEARFRAC($E$67,$D$6,1),0)*$E$66*$E$60))</f>
        <v>0</v>
      </c>
      <c r="E139" s="35">
        <f t="shared" ref="E139:J139" si="51">IF(OR(E136="yes",$E$65=$B$333),0,IF($E$65=$B$331,$E$66*$E$60,ROUND(YEARFRAC($E$67,$D$6,1),0)*$E$66*$E$60))</f>
        <v>0</v>
      </c>
      <c r="F139" s="35">
        <f t="shared" si="51"/>
        <v>0</v>
      </c>
      <c r="G139" s="35">
        <f t="shared" si="51"/>
        <v>0</v>
      </c>
      <c r="H139" s="35">
        <f t="shared" si="51"/>
        <v>0</v>
      </c>
      <c r="I139" s="35">
        <f t="shared" si="51"/>
        <v>0</v>
      </c>
      <c r="J139" s="35">
        <f t="shared" si="51"/>
        <v>0</v>
      </c>
      <c r="K139" s="3" t="str">
        <f>IF(ISBLANK(L139),"",MAX(K$5:K138)+1)</f>
        <v/>
      </c>
    </row>
    <row r="140" spans="2:13" s="44" customFormat="1">
      <c r="B140" s="31" t="str">
        <f>"Proceeds to "&amp;B121</f>
        <v>Proceeds to Preferred, B</v>
      </c>
      <c r="C140" s="30" t="str">
        <f>C$5</f>
        <v>$</v>
      </c>
      <c r="D140" s="75">
        <f>MIN(D122,MAX(D139+INDEX(D127:D129,MATCH($E$62,$B$326:$B$328,0)),D138))</f>
        <v>0</v>
      </c>
      <c r="E140" s="75">
        <f t="shared" ref="E140:J140" si="52">MIN(E122,MAX(E139+INDEX(E127:E129,MATCH($E$62,$B$326:$B$328,0)),E138))</f>
        <v>0</v>
      </c>
      <c r="F140" s="75">
        <f t="shared" si="52"/>
        <v>0</v>
      </c>
      <c r="G140" s="75">
        <f t="shared" si="52"/>
        <v>0</v>
      </c>
      <c r="H140" s="75">
        <f t="shared" si="52"/>
        <v>0</v>
      </c>
      <c r="I140" s="75">
        <f t="shared" si="52"/>
        <v>0</v>
      </c>
      <c r="J140" s="75">
        <f t="shared" si="52"/>
        <v>0</v>
      </c>
      <c r="K140" s="3" t="str">
        <f>IF(ISBLANK(L140),"",MAX(K$5:K139)+1)</f>
        <v/>
      </c>
    </row>
    <row r="141" spans="2:13" s="44" customFormat="1">
      <c r="B141" s="31" t="s">
        <v>80</v>
      </c>
      <c r="C141" s="30" t="str">
        <f>C$5</f>
        <v>$</v>
      </c>
      <c r="D141" s="36">
        <f>IFERROR(D140/D124,0)</f>
        <v>0</v>
      </c>
      <c r="E141" s="36">
        <f t="shared" ref="E141:J141" si="53">IFERROR(E140/E124,0)</f>
        <v>0</v>
      </c>
      <c r="F141" s="36">
        <f t="shared" si="53"/>
        <v>0</v>
      </c>
      <c r="G141" s="36">
        <f t="shared" si="53"/>
        <v>0</v>
      </c>
      <c r="H141" s="36">
        <f t="shared" si="53"/>
        <v>0</v>
      </c>
      <c r="I141" s="36">
        <f t="shared" si="53"/>
        <v>0</v>
      </c>
      <c r="J141" s="36">
        <f t="shared" si="53"/>
        <v>0</v>
      </c>
      <c r="K141" s="3" t="str">
        <f>IF(ISBLANK(L141),"",MAX(K$5:K140)+1)</f>
        <v/>
      </c>
    </row>
    <row r="142" spans="2:13" s="44" customFormat="1">
      <c r="B142" s="41"/>
      <c r="C142" s="42"/>
      <c r="D142" s="77"/>
      <c r="E142" s="77"/>
      <c r="F142" s="77"/>
      <c r="G142" s="77"/>
      <c r="H142" s="77"/>
      <c r="I142" s="77"/>
      <c r="J142" s="77"/>
      <c r="K142" s="3" t="str">
        <f>IF(ISBLANK(L142),"",MAX(K$5:K141)+1)</f>
        <v/>
      </c>
    </row>
    <row r="143" spans="2:13">
      <c r="B143" s="34" t="str">
        <f>"Preferred, "&amp;F68</f>
        <v>Preferred, A</v>
      </c>
      <c r="C143" s="49"/>
      <c r="D143" s="75"/>
      <c r="E143" s="75"/>
      <c r="F143" s="75"/>
      <c r="G143" s="75"/>
      <c r="H143" s="75"/>
      <c r="I143" s="75"/>
      <c r="J143" s="75"/>
      <c r="K143" s="3" t="str">
        <f>IF(ISBLANK(L143),"",MAX(K$5:K142)+1)</f>
        <v/>
      </c>
    </row>
    <row r="144" spans="2:13">
      <c r="B144" s="31" t="s">
        <v>58</v>
      </c>
      <c r="C144" s="30" t="str">
        <f>C$5</f>
        <v>$</v>
      </c>
      <c r="D144" s="75">
        <f>IF(D136="no",MAX(0,D122-D125-D139),IF($E$62=$B$328,MAX(0,D122-D125-D139),IF(AND($E$62=$B$327,D138=0),MAX(0,D122-D125-D139),D122)))</f>
        <v>0</v>
      </c>
      <c r="E144" s="75">
        <f t="shared" ref="E144:J144" si="54">IF(E136="no",MAX(0,E122-E125-E139),IF($E$62=$B$328,MAX(0,E122-E125-E139),IF(AND($E$62=$B$327,E138=0),MAX(0,E122-E125-E139),E122)))</f>
        <v>0</v>
      </c>
      <c r="F144" s="75">
        <f t="shared" si="54"/>
        <v>0</v>
      </c>
      <c r="G144" s="75">
        <f t="shared" si="54"/>
        <v>0</v>
      </c>
      <c r="H144" s="75">
        <f t="shared" si="54"/>
        <v>0</v>
      </c>
      <c r="I144" s="75">
        <f t="shared" si="54"/>
        <v>0</v>
      </c>
      <c r="J144" s="75">
        <f t="shared" si="54"/>
        <v>0</v>
      </c>
      <c r="K144" s="3" t="str">
        <f>IF(ISBLANK(L144),"",MAX(K$5:K143)+1)</f>
        <v/>
      </c>
      <c r="L144" s="32"/>
    </row>
    <row r="145" spans="2:13">
      <c r="B145" s="31" t="s">
        <v>60</v>
      </c>
      <c r="C145" s="42" t="s">
        <v>5</v>
      </c>
      <c r="D145" s="75">
        <f>D123-D137</f>
        <v>0</v>
      </c>
      <c r="E145" s="75">
        <f t="shared" ref="E145:J145" si="55">E123-E137</f>
        <v>0</v>
      </c>
      <c r="F145" s="75">
        <f t="shared" si="55"/>
        <v>0</v>
      </c>
      <c r="G145" s="75">
        <f t="shared" si="55"/>
        <v>0</v>
      </c>
      <c r="H145" s="75">
        <f t="shared" si="55"/>
        <v>0</v>
      </c>
      <c r="I145" s="75">
        <f t="shared" si="55"/>
        <v>0</v>
      </c>
      <c r="J145" s="75">
        <f t="shared" si="55"/>
        <v>0</v>
      </c>
      <c r="K145" s="3" t="str">
        <f>IF(ISBLANK(L145),"",MAX(K$5:K144)+1)</f>
        <v/>
      </c>
    </row>
    <row r="146" spans="2:13">
      <c r="B146" s="31" t="str">
        <f>"Shares, "&amp;B143</f>
        <v>Shares, Preferred, A</v>
      </c>
      <c r="C146" s="30" t="s">
        <v>5</v>
      </c>
      <c r="D146" s="75">
        <f t="shared" ref="D146:J146" si="56">$F59</f>
        <v>0</v>
      </c>
      <c r="E146" s="75">
        <f t="shared" si="56"/>
        <v>0</v>
      </c>
      <c r="F146" s="75">
        <f t="shared" si="56"/>
        <v>0</v>
      </c>
      <c r="G146" s="75">
        <f t="shared" si="56"/>
        <v>0</v>
      </c>
      <c r="H146" s="75">
        <f t="shared" si="56"/>
        <v>0</v>
      </c>
      <c r="I146" s="75">
        <f t="shared" si="56"/>
        <v>0</v>
      </c>
      <c r="J146" s="75">
        <f t="shared" si="56"/>
        <v>0</v>
      </c>
      <c r="K146" s="3" t="str">
        <f>IF(ISBLANK(L146),"",MAX(K$5:K145)+1)</f>
        <v/>
      </c>
    </row>
    <row r="147" spans="2:13">
      <c r="B147" s="31" t="s">
        <v>63</v>
      </c>
      <c r="C147" s="30" t="str">
        <f t="shared" ref="C147:C152" si="57">C$5</f>
        <v>$</v>
      </c>
      <c r="D147" s="33">
        <f t="shared" ref="D147:J147" si="58">$F61</f>
        <v>0</v>
      </c>
      <c r="E147" s="33">
        <f t="shared" si="58"/>
        <v>0</v>
      </c>
      <c r="F147" s="33">
        <f t="shared" si="58"/>
        <v>0</v>
      </c>
      <c r="G147" s="33">
        <f t="shared" si="58"/>
        <v>0</v>
      </c>
      <c r="H147" s="33">
        <f t="shared" si="58"/>
        <v>0</v>
      </c>
      <c r="I147" s="33">
        <f t="shared" si="58"/>
        <v>0</v>
      </c>
      <c r="J147" s="33">
        <f t="shared" si="58"/>
        <v>0</v>
      </c>
      <c r="K147" s="3" t="str">
        <f>IF(ISBLANK(L147),"",MAX(K$5:K146)+1)</f>
        <v/>
      </c>
    </row>
    <row r="148" spans="2:13">
      <c r="B148" s="31" t="s">
        <v>65</v>
      </c>
      <c r="C148" s="30" t="str">
        <f t="shared" si="57"/>
        <v>$</v>
      </c>
      <c r="D148" s="33" t="str">
        <f>IF($F$62=$B$327,$F60*$F$63,IF($F$62=$B$328,0,"na"))</f>
        <v>na</v>
      </c>
      <c r="E148" s="33" t="str">
        <f t="shared" ref="E148:J148" si="59">IF($F$62=$B$327,$F60*$F$63,IF($F$62=$B$328,0,"na"))</f>
        <v>na</v>
      </c>
      <c r="F148" s="33" t="str">
        <f t="shared" si="59"/>
        <v>na</v>
      </c>
      <c r="G148" s="33" t="str">
        <f t="shared" si="59"/>
        <v>na</v>
      </c>
      <c r="H148" s="33" t="str">
        <f t="shared" si="59"/>
        <v>na</v>
      </c>
      <c r="I148" s="33" t="str">
        <f t="shared" si="59"/>
        <v>na</v>
      </c>
      <c r="J148" s="33" t="str">
        <f t="shared" si="59"/>
        <v>na</v>
      </c>
      <c r="K148" s="3" t="str">
        <f>IF(ISBLANK(L148),"",MAX(K$5:K147)+1)</f>
        <v/>
      </c>
    </row>
    <row r="149" spans="2:13">
      <c r="B149" s="34" t="str">
        <f>"Note: Implied Proceeds, do not convert to Common, if "&amp;B$326</f>
        <v>Note: Implied Proceeds, do not convert to Common, if Non Participating Preferred</v>
      </c>
      <c r="C149" s="30" t="str">
        <f t="shared" si="57"/>
        <v>$</v>
      </c>
      <c r="D149" s="75">
        <f>MIN(D144,D147)</f>
        <v>0</v>
      </c>
      <c r="E149" s="75">
        <f t="shared" ref="E149:J149" si="60">MIN(E144,E147)</f>
        <v>0</v>
      </c>
      <c r="F149" s="75">
        <f t="shared" si="60"/>
        <v>0</v>
      </c>
      <c r="G149" s="75">
        <f t="shared" si="60"/>
        <v>0</v>
      </c>
      <c r="H149" s="75">
        <f t="shared" si="60"/>
        <v>0</v>
      </c>
      <c r="I149" s="75">
        <f t="shared" si="60"/>
        <v>0</v>
      </c>
      <c r="J149" s="75">
        <f t="shared" si="60"/>
        <v>0</v>
      </c>
      <c r="K149" s="3" t="str">
        <f>IF(ISBLANK(L149),"",MAX(K$5:K148)+1)</f>
        <v/>
      </c>
    </row>
    <row r="150" spans="2:13">
      <c r="B150" s="34" t="str">
        <f>"Note: Implied Proceeds, do not convert to Common, if "&amp;B$327</f>
        <v>Note: Implied Proceeds, do not convert to Common, if Participating Preferred with a Cap</v>
      </c>
      <c r="C150" s="30" t="str">
        <f t="shared" si="57"/>
        <v>$</v>
      </c>
      <c r="D150" s="75">
        <f t="shared" ref="D150:J150" si="61">IFERROR(IF($D$8="no",MIN(MAX(0,D$94)/D$95*D146+D147,D144,$F$60*$F$63),MIN(D$196*D146+D147,D144,$F$60*$F$63)),0)</f>
        <v>0</v>
      </c>
      <c r="E150" s="75">
        <f t="shared" si="61"/>
        <v>0</v>
      </c>
      <c r="F150" s="75">
        <f t="shared" si="61"/>
        <v>0</v>
      </c>
      <c r="G150" s="75">
        <f t="shared" si="61"/>
        <v>0</v>
      </c>
      <c r="H150" s="75">
        <f t="shared" si="61"/>
        <v>0</v>
      </c>
      <c r="I150" s="75">
        <f t="shared" si="61"/>
        <v>0</v>
      </c>
      <c r="J150" s="75">
        <f t="shared" si="61"/>
        <v>0</v>
      </c>
      <c r="K150" s="3" t="str">
        <f>IF(ISBLANK(L150),"",MAX(K$5:K149)+1)</f>
        <v/>
      </c>
    </row>
    <row r="151" spans="2:13">
      <c r="B151" s="34" t="str">
        <f>"Note: Implied Proceeds, do not convert to Common, if "&amp;B$328</f>
        <v>Note: Implied Proceeds, do not convert to Common, if Full Participating Preferred</v>
      </c>
      <c r="C151" s="30" t="str">
        <f t="shared" si="57"/>
        <v>$</v>
      </c>
      <c r="D151" s="75">
        <f>IFERROR(MIN(D$196*D146+D147,D144),0)</f>
        <v>0</v>
      </c>
      <c r="E151" s="75">
        <f t="shared" ref="E151:J151" si="62">IFERROR(MIN(E$196*E146+E147,E144),0)</f>
        <v>0</v>
      </c>
      <c r="F151" s="75">
        <f t="shared" si="62"/>
        <v>0</v>
      </c>
      <c r="G151" s="75">
        <f t="shared" si="62"/>
        <v>0</v>
      </c>
      <c r="H151" s="75">
        <f t="shared" si="62"/>
        <v>0</v>
      </c>
      <c r="I151" s="75">
        <f t="shared" si="62"/>
        <v>0</v>
      </c>
      <c r="J151" s="75">
        <f t="shared" si="62"/>
        <v>0</v>
      </c>
      <c r="K151" s="3" t="str">
        <f>IF(ISBLANK(L151),"",MAX(K$5:K150)+1)</f>
        <v/>
      </c>
    </row>
    <row r="152" spans="2:13">
      <c r="B152" s="34" t="s">
        <v>67</v>
      </c>
      <c r="C152" s="30" t="str">
        <f t="shared" si="57"/>
        <v>$</v>
      </c>
      <c r="D152" s="35">
        <f>IFERROR(IF($D$8="no",MAX(0,D$94)/D$95*D146*$F$64,D$196*D146*$F$64),0)</f>
        <v>0</v>
      </c>
      <c r="E152" s="35">
        <f t="shared" ref="E152:J152" si="63">IFERROR(IF($D$8="no",MAX(0,E$94)/E$95*E146*$F$64,E$196*E146*$F$64),0)</f>
        <v>0</v>
      </c>
      <c r="F152" s="35">
        <f t="shared" si="63"/>
        <v>0</v>
      </c>
      <c r="G152" s="35">
        <f t="shared" si="63"/>
        <v>0</v>
      </c>
      <c r="H152" s="35">
        <f t="shared" si="63"/>
        <v>0</v>
      </c>
      <c r="I152" s="35">
        <f t="shared" si="63"/>
        <v>0</v>
      </c>
      <c r="J152" s="35">
        <f t="shared" si="63"/>
        <v>0</v>
      </c>
      <c r="K152" s="3" t="str">
        <f>IF(ISBLANK(L152),"",MAX(K$5:K151)+1)</f>
        <v/>
      </c>
      <c r="M152" s="53"/>
    </row>
    <row r="153" spans="2:13">
      <c r="B153" s="31" t="s">
        <v>69</v>
      </c>
      <c r="C153" s="30" t="s">
        <v>15</v>
      </c>
      <c r="D153" s="76" t="str">
        <f t="shared" ref="D153:J153" si="64">IF($F$62=$B$326,"no",IF($F$62=$B$328,"yes",IF(D150&gt;D152,"yes","no")))</f>
        <v>no</v>
      </c>
      <c r="E153" s="76" t="str">
        <f t="shared" si="64"/>
        <v>no</v>
      </c>
      <c r="F153" s="76" t="str">
        <f t="shared" si="64"/>
        <v>no</v>
      </c>
      <c r="G153" s="76" t="str">
        <f t="shared" si="64"/>
        <v>no</v>
      </c>
      <c r="H153" s="76" t="str">
        <f t="shared" si="64"/>
        <v>no</v>
      </c>
      <c r="I153" s="76" t="str">
        <f t="shared" si="64"/>
        <v>no</v>
      </c>
      <c r="J153" s="76" t="str">
        <f t="shared" si="64"/>
        <v>no</v>
      </c>
      <c r="K153" s="3" t="str">
        <f>IF(ISBLANK(L153),"",MAX(K$5:K152)+1)</f>
        <v/>
      </c>
    </row>
    <row r="154" spans="2:13">
      <c r="B154" s="31" t="s">
        <v>70</v>
      </c>
      <c r="C154" s="30" t="s">
        <v>5</v>
      </c>
      <c r="D154" s="75">
        <f t="shared" ref="D154:J154" si="65">IFERROR(IF(D153="yes",INDEX(D155:D157,MATCH($F$62,$B$326:$B$328,0))/D$196,0),0)</f>
        <v>0</v>
      </c>
      <c r="E154" s="75">
        <f t="shared" si="65"/>
        <v>0</v>
      </c>
      <c r="F154" s="75">
        <f t="shared" si="65"/>
        <v>0</v>
      </c>
      <c r="G154" s="75">
        <f t="shared" si="65"/>
        <v>0</v>
      </c>
      <c r="H154" s="75">
        <f t="shared" si="65"/>
        <v>0</v>
      </c>
      <c r="I154" s="75">
        <f t="shared" si="65"/>
        <v>0</v>
      </c>
      <c r="J154" s="75">
        <f t="shared" si="65"/>
        <v>0</v>
      </c>
      <c r="K154" s="3" t="str">
        <f>IF(ISBLANK(L154),"",MAX(K$5:K153)+1)</f>
        <v/>
      </c>
    </row>
    <row r="155" spans="2:13">
      <c r="B155" s="34" t="str">
        <f>"Note: Participation, if "&amp;B326</f>
        <v>Note: Participation, if Non Participating Preferred</v>
      </c>
      <c r="C155" s="30" t="str">
        <f>C$5</f>
        <v>$</v>
      </c>
      <c r="D155" s="75">
        <f>MAX(0,D149-D$147)</f>
        <v>0</v>
      </c>
      <c r="E155" s="75">
        <f t="shared" ref="E155:J157" si="66">MAX(0,E149-E$147)</f>
        <v>0</v>
      </c>
      <c r="F155" s="75">
        <f t="shared" si="66"/>
        <v>0</v>
      </c>
      <c r="G155" s="75">
        <f t="shared" si="66"/>
        <v>0</v>
      </c>
      <c r="H155" s="75">
        <f t="shared" si="66"/>
        <v>0</v>
      </c>
      <c r="I155" s="75">
        <f t="shared" si="66"/>
        <v>0</v>
      </c>
      <c r="J155" s="75">
        <f t="shared" si="66"/>
        <v>0</v>
      </c>
      <c r="K155" s="3" t="str">
        <f>IF(ISBLANK(L155),"",MAX(K$5:K154)+1)</f>
        <v/>
      </c>
    </row>
    <row r="156" spans="2:13">
      <c r="B156" s="34" t="str">
        <f>"Note: Participation, if "&amp;B327</f>
        <v>Note: Participation, if Participating Preferred with a Cap</v>
      </c>
      <c r="C156" s="30" t="str">
        <f>C$5</f>
        <v>$</v>
      </c>
      <c r="D156" s="75">
        <f>MAX(0,D150-D$147)</f>
        <v>0</v>
      </c>
      <c r="E156" s="75">
        <f t="shared" si="66"/>
        <v>0</v>
      </c>
      <c r="F156" s="75">
        <f t="shared" si="66"/>
        <v>0</v>
      </c>
      <c r="G156" s="75">
        <f t="shared" si="66"/>
        <v>0</v>
      </c>
      <c r="H156" s="75">
        <f t="shared" si="66"/>
        <v>0</v>
      </c>
      <c r="I156" s="75">
        <f t="shared" si="66"/>
        <v>0</v>
      </c>
      <c r="J156" s="75">
        <f t="shared" si="66"/>
        <v>0</v>
      </c>
      <c r="K156" s="3" t="str">
        <f>IF(ISBLANK(L156),"",MAX(K$5:K155)+1)</f>
        <v/>
      </c>
    </row>
    <row r="157" spans="2:13" s="44" customFormat="1">
      <c r="B157" s="34" t="str">
        <f>"Note: Participation, if "&amp;B328</f>
        <v>Note: Participation, if Full Participating Preferred</v>
      </c>
      <c r="C157" s="30" t="str">
        <f>C$5</f>
        <v>$</v>
      </c>
      <c r="D157" s="75">
        <f>MAX(0,D151-D$147)</f>
        <v>0</v>
      </c>
      <c r="E157" s="75">
        <f t="shared" si="66"/>
        <v>0</v>
      </c>
      <c r="F157" s="75">
        <f t="shared" si="66"/>
        <v>0</v>
      </c>
      <c r="G157" s="75">
        <f t="shared" si="66"/>
        <v>0</v>
      </c>
      <c r="H157" s="75">
        <f t="shared" si="66"/>
        <v>0</v>
      </c>
      <c r="I157" s="75">
        <f t="shared" si="66"/>
        <v>0</v>
      </c>
      <c r="J157" s="75">
        <f t="shared" si="66"/>
        <v>0</v>
      </c>
      <c r="K157" s="3" t="str">
        <f>IF(ISBLANK(L157),"",MAX(K$5:K156)+1)</f>
        <v/>
      </c>
    </row>
    <row r="158" spans="2:13" s="44" customFormat="1">
      <c r="B158" s="31" t="s">
        <v>73</v>
      </c>
      <c r="C158" s="30" t="s">
        <v>15</v>
      </c>
      <c r="D158" s="76" t="str">
        <f t="shared" ref="D158:J158" si="67">IF($F$62=$B$326,IF(D149&gt;D152,"no","yes"),IF(D153="yes","no","yes"))</f>
        <v>yes</v>
      </c>
      <c r="E158" s="76" t="str">
        <f t="shared" si="67"/>
        <v>yes</v>
      </c>
      <c r="F158" s="76" t="str">
        <f t="shared" si="67"/>
        <v>yes</v>
      </c>
      <c r="G158" s="76" t="str">
        <f t="shared" si="67"/>
        <v>yes</v>
      </c>
      <c r="H158" s="76" t="str">
        <f t="shared" si="67"/>
        <v>yes</v>
      </c>
      <c r="I158" s="76" t="str">
        <f t="shared" si="67"/>
        <v>yes</v>
      </c>
      <c r="J158" s="76" t="str">
        <f t="shared" si="67"/>
        <v>yes</v>
      </c>
      <c r="K158" s="3" t="str">
        <f>IF(ISBLANK(L158),"",MAX(K$5:K157)+1)</f>
        <v/>
      </c>
    </row>
    <row r="159" spans="2:13" s="44" customFormat="1">
      <c r="B159" s="31" t="s">
        <v>75</v>
      </c>
      <c r="C159" s="30" t="s">
        <v>5</v>
      </c>
      <c r="D159" s="75">
        <f>IF(D158="yes",D146*$F$64,0)</f>
        <v>0</v>
      </c>
      <c r="E159" s="75">
        <f t="shared" ref="E159:J159" si="68">IF(E158="yes",E146*$F$64,0)</f>
        <v>0</v>
      </c>
      <c r="F159" s="75">
        <f t="shared" si="68"/>
        <v>0</v>
      </c>
      <c r="G159" s="75">
        <f t="shared" si="68"/>
        <v>0</v>
      </c>
      <c r="H159" s="75">
        <f t="shared" si="68"/>
        <v>0</v>
      </c>
      <c r="I159" s="75">
        <f t="shared" si="68"/>
        <v>0</v>
      </c>
      <c r="J159" s="75">
        <f t="shared" si="68"/>
        <v>0</v>
      </c>
      <c r="K159" s="3" t="str">
        <f>IF(ISBLANK(L159),"",MAX(K$5:K158)+1)</f>
        <v/>
      </c>
    </row>
    <row r="160" spans="2:13" s="44" customFormat="1">
      <c r="B160" s="31" t="s">
        <v>77</v>
      </c>
      <c r="C160" s="30" t="str">
        <f>C$5</f>
        <v>$</v>
      </c>
      <c r="D160" s="35">
        <f t="shared" ref="D160:J160" si="69">IF($D$8="yes",IFERROR(D159*D$196,0),IFERROR(D159/D$95*D$94,0))</f>
        <v>0</v>
      </c>
      <c r="E160" s="35">
        <f t="shared" si="69"/>
        <v>0</v>
      </c>
      <c r="F160" s="35">
        <f t="shared" si="69"/>
        <v>0</v>
      </c>
      <c r="G160" s="35">
        <f t="shared" si="69"/>
        <v>0</v>
      </c>
      <c r="H160" s="35">
        <f t="shared" si="69"/>
        <v>0</v>
      </c>
      <c r="I160" s="35">
        <f t="shared" si="69"/>
        <v>0</v>
      </c>
      <c r="J160" s="35">
        <f t="shared" si="69"/>
        <v>0</v>
      </c>
      <c r="K160" s="3" t="str">
        <f>IF(ISBLANK(L160),"",MAX(K$5:K159)+1)</f>
        <v/>
      </c>
    </row>
    <row r="161" spans="2:13" s="44" customFormat="1">
      <c r="B161" s="31" t="s">
        <v>41</v>
      </c>
      <c r="C161" s="30" t="str">
        <f>C$5</f>
        <v>$</v>
      </c>
      <c r="D161" s="35">
        <f>IF(OR(D158="yes",$F$65=$B$333),0,IF($F$65=$B$331,$F$66*$F$60,ROUND(YEARFRAC($F$67,$D$6,1),0)*$F$66*$F$60))</f>
        <v>0</v>
      </c>
      <c r="E161" s="35">
        <f t="shared" ref="E161:J161" si="70">IF(OR(E158="yes",$F$65=$B$333),0,IF($F$65=$B$331,$F$66*$F$60,ROUND(YEARFRAC($F$67,$D$6,1),0)*$F$66*$F$60))</f>
        <v>0</v>
      </c>
      <c r="F161" s="35">
        <f t="shared" si="70"/>
        <v>0</v>
      </c>
      <c r="G161" s="35">
        <f t="shared" si="70"/>
        <v>0</v>
      </c>
      <c r="H161" s="35">
        <f t="shared" si="70"/>
        <v>0</v>
      </c>
      <c r="I161" s="35">
        <f t="shared" si="70"/>
        <v>0</v>
      </c>
      <c r="J161" s="35">
        <f t="shared" si="70"/>
        <v>0</v>
      </c>
      <c r="K161" s="3" t="str">
        <f>IF(ISBLANK(L161),"",MAX(K$5:K160)+1)</f>
        <v/>
      </c>
    </row>
    <row r="162" spans="2:13" s="44" customFormat="1">
      <c r="B162" s="31" t="str">
        <f>"Proceeds to "&amp;B143</f>
        <v>Proceeds to Preferred, A</v>
      </c>
      <c r="C162" s="30" t="str">
        <f>C$5</f>
        <v>$</v>
      </c>
      <c r="D162" s="75">
        <f>MIN(D144,MAX(D161+INDEX(D149:D151,MATCH($F$62,$B$326:$B$328,0)),D160))</f>
        <v>0</v>
      </c>
      <c r="E162" s="75">
        <f t="shared" ref="E162:J162" si="71">MIN(E144,MAX(E161+INDEX(E149:E151,MATCH($F$62,$B$326:$B$328,0)),E160))</f>
        <v>0</v>
      </c>
      <c r="F162" s="75">
        <f t="shared" si="71"/>
        <v>0</v>
      </c>
      <c r="G162" s="75">
        <f t="shared" si="71"/>
        <v>0</v>
      </c>
      <c r="H162" s="75">
        <f t="shared" si="71"/>
        <v>0</v>
      </c>
      <c r="I162" s="75">
        <f t="shared" si="71"/>
        <v>0</v>
      </c>
      <c r="J162" s="75">
        <f t="shared" si="71"/>
        <v>0</v>
      </c>
      <c r="K162" s="3" t="str">
        <f>IF(ISBLANK(L162),"",MAX(K$5:K161)+1)</f>
        <v/>
      </c>
    </row>
    <row r="163" spans="2:13" s="44" customFormat="1">
      <c r="B163" s="31" t="s">
        <v>80</v>
      </c>
      <c r="C163" s="30" t="str">
        <f>C$5</f>
        <v>$</v>
      </c>
      <c r="D163" s="36">
        <f>IFERROR(D162/D146,0)</f>
        <v>0</v>
      </c>
      <c r="E163" s="36">
        <f t="shared" ref="E163:J163" si="72">IFERROR(E162/E146,0)</f>
        <v>0</v>
      </c>
      <c r="F163" s="36">
        <f t="shared" si="72"/>
        <v>0</v>
      </c>
      <c r="G163" s="36">
        <f t="shared" si="72"/>
        <v>0</v>
      </c>
      <c r="H163" s="36">
        <f t="shared" si="72"/>
        <v>0</v>
      </c>
      <c r="I163" s="36">
        <f t="shared" si="72"/>
        <v>0</v>
      </c>
      <c r="J163" s="36">
        <f t="shared" si="72"/>
        <v>0</v>
      </c>
      <c r="K163" s="3" t="str">
        <f>IF(ISBLANK(L163),"",MAX(K$5:K162)+1)</f>
        <v/>
      </c>
    </row>
    <row r="164" spans="2:13" s="44" customFormat="1">
      <c r="B164" s="41"/>
      <c r="C164" s="42"/>
      <c r="D164" s="77"/>
      <c r="E164" s="77"/>
      <c r="F164" s="77"/>
      <c r="G164" s="77"/>
      <c r="H164" s="35"/>
      <c r="I164" s="77"/>
      <c r="J164" s="77"/>
      <c r="K164" s="3" t="str">
        <f>IF(ISBLANK(L164),"",MAX(K$5:K163)+1)</f>
        <v/>
      </c>
    </row>
    <row r="165" spans="2:13">
      <c r="B165" s="34" t="str">
        <f>"Preferred, "&amp;G68</f>
        <v>Preferred, Seed</v>
      </c>
      <c r="C165" s="49"/>
      <c r="D165" s="75"/>
      <c r="E165" s="75"/>
      <c r="F165" s="75"/>
      <c r="G165" s="75"/>
      <c r="H165" s="75"/>
      <c r="I165" s="75"/>
      <c r="J165" s="77"/>
      <c r="K165" s="3" t="str">
        <f>IF(ISBLANK(L165),"",MAX(K$5:K164)+1)</f>
        <v/>
      </c>
    </row>
    <row r="166" spans="2:13">
      <c r="B166" s="31" t="s">
        <v>58</v>
      </c>
      <c r="C166" s="30" t="str">
        <f>C$5</f>
        <v>$</v>
      </c>
      <c r="D166" s="75">
        <f>IF(D158="no",MAX(0,D144-D147-D161),IF($F$62=$B$328,MAX(0,D144-D147-D161),IF(AND($F$62=$B$327,D160=0),MAX(0,D144-D147-D161),D144)))</f>
        <v>0</v>
      </c>
      <c r="E166" s="75">
        <f t="shared" ref="E166:J166" si="73">IF(E158="no",MAX(0,E144-E147-E161),IF($F$62=$B$328,MAX(0,E144-E147-E161),IF(AND($F$62=$B$327,E160=0),MAX(0,E144-E147-E161),E144)))</f>
        <v>0</v>
      </c>
      <c r="F166" s="75">
        <f t="shared" si="73"/>
        <v>0</v>
      </c>
      <c r="G166" s="75">
        <f t="shared" si="73"/>
        <v>0</v>
      </c>
      <c r="H166" s="75">
        <f t="shared" si="73"/>
        <v>0</v>
      </c>
      <c r="I166" s="75">
        <f t="shared" si="73"/>
        <v>0</v>
      </c>
      <c r="J166" s="75">
        <f t="shared" si="73"/>
        <v>0</v>
      </c>
      <c r="K166" s="3" t="str">
        <f>IF(ISBLANK(L166),"",MAX(K$5:K165)+1)</f>
        <v/>
      </c>
      <c r="L166" s="32"/>
    </row>
    <row r="167" spans="2:13">
      <c r="B167" s="31" t="s">
        <v>60</v>
      </c>
      <c r="C167" s="42" t="s">
        <v>5</v>
      </c>
      <c r="D167" s="75">
        <f>D145-D159</f>
        <v>0</v>
      </c>
      <c r="E167" s="75">
        <f t="shared" ref="E167:J167" si="74">E145-E159</f>
        <v>0</v>
      </c>
      <c r="F167" s="75">
        <f t="shared" si="74"/>
        <v>0</v>
      </c>
      <c r="G167" s="75">
        <f t="shared" si="74"/>
        <v>0</v>
      </c>
      <c r="H167" s="75">
        <f t="shared" si="74"/>
        <v>0</v>
      </c>
      <c r="I167" s="75">
        <f t="shared" si="74"/>
        <v>0</v>
      </c>
      <c r="J167" s="75">
        <f t="shared" si="74"/>
        <v>0</v>
      </c>
      <c r="K167" s="3" t="str">
        <f>IF(ISBLANK(L167),"",MAX(K$5:K166)+1)</f>
        <v/>
      </c>
    </row>
    <row r="168" spans="2:13">
      <c r="B168" s="31" t="str">
        <f>"Shares, "&amp;B165</f>
        <v>Shares, Preferred, Seed</v>
      </c>
      <c r="C168" s="30" t="s">
        <v>5</v>
      </c>
      <c r="D168" s="75">
        <f t="shared" ref="D168:J168" si="75">$G59</f>
        <v>0</v>
      </c>
      <c r="E168" s="75">
        <f t="shared" si="75"/>
        <v>0</v>
      </c>
      <c r="F168" s="75">
        <f t="shared" si="75"/>
        <v>0</v>
      </c>
      <c r="G168" s="75">
        <f t="shared" si="75"/>
        <v>0</v>
      </c>
      <c r="H168" s="75">
        <f t="shared" si="75"/>
        <v>0</v>
      </c>
      <c r="I168" s="75">
        <f t="shared" si="75"/>
        <v>0</v>
      </c>
      <c r="J168" s="75">
        <f t="shared" si="75"/>
        <v>0</v>
      </c>
      <c r="K168" s="3" t="str">
        <f>IF(ISBLANK(L168),"",MAX(K$5:K167)+1)</f>
        <v/>
      </c>
    </row>
    <row r="169" spans="2:13">
      <c r="B169" s="31" t="s">
        <v>63</v>
      </c>
      <c r="C169" s="30" t="str">
        <f>C5</f>
        <v>$</v>
      </c>
      <c r="D169" s="33">
        <f t="shared" ref="D169:J169" si="76">$G61</f>
        <v>0</v>
      </c>
      <c r="E169" s="33">
        <f t="shared" si="76"/>
        <v>0</v>
      </c>
      <c r="F169" s="33">
        <f t="shared" si="76"/>
        <v>0</v>
      </c>
      <c r="G169" s="33">
        <f t="shared" si="76"/>
        <v>0</v>
      </c>
      <c r="H169" s="33">
        <f t="shared" si="76"/>
        <v>0</v>
      </c>
      <c r="I169" s="33">
        <f t="shared" si="76"/>
        <v>0</v>
      </c>
      <c r="J169" s="33">
        <f t="shared" si="76"/>
        <v>0</v>
      </c>
      <c r="K169" s="3" t="str">
        <f>IF(ISBLANK(L169),"",MAX(K$5:K168)+1)</f>
        <v/>
      </c>
    </row>
    <row r="170" spans="2:13">
      <c r="B170" s="31" t="s">
        <v>65</v>
      </c>
      <c r="C170" s="30" t="str">
        <f>C$5</f>
        <v>$</v>
      </c>
      <c r="D170" s="33" t="str">
        <f>IF($G$62=$B$327,$G60*$G$63,IF($G$62=$B$328,0,"na"))</f>
        <v>na</v>
      </c>
      <c r="E170" s="33" t="str">
        <f t="shared" ref="E170:J170" si="77">IF($G$62=$B$327,$G60*$G$63,IF($G$62=$B$328,0,"na"))</f>
        <v>na</v>
      </c>
      <c r="F170" s="33" t="str">
        <f t="shared" si="77"/>
        <v>na</v>
      </c>
      <c r="G170" s="33" t="str">
        <f t="shared" si="77"/>
        <v>na</v>
      </c>
      <c r="H170" s="33" t="str">
        <f t="shared" si="77"/>
        <v>na</v>
      </c>
      <c r="I170" s="33" t="str">
        <f t="shared" si="77"/>
        <v>na</v>
      </c>
      <c r="J170" s="33" t="str">
        <f t="shared" si="77"/>
        <v>na</v>
      </c>
      <c r="K170" s="3" t="str">
        <f>IF(ISBLANK(L170),"",MAX(K$5:K169)+1)</f>
        <v/>
      </c>
    </row>
    <row r="171" spans="2:13">
      <c r="B171" s="34" t="str">
        <f>"Note: Implied Proceeds, do not convert to Common, if "&amp;B$326</f>
        <v>Note: Implied Proceeds, do not convert to Common, if Non Participating Preferred</v>
      </c>
      <c r="C171" s="30" t="str">
        <f>C$5</f>
        <v>$</v>
      </c>
      <c r="D171" s="75">
        <f>MIN(D166,D169)</f>
        <v>0</v>
      </c>
      <c r="E171" s="75">
        <f t="shared" ref="E171:J171" si="78">MIN(E166,E169)</f>
        <v>0</v>
      </c>
      <c r="F171" s="75">
        <f t="shared" si="78"/>
        <v>0</v>
      </c>
      <c r="G171" s="75">
        <f t="shared" si="78"/>
        <v>0</v>
      </c>
      <c r="H171" s="75">
        <f t="shared" si="78"/>
        <v>0</v>
      </c>
      <c r="I171" s="75">
        <f t="shared" si="78"/>
        <v>0</v>
      </c>
      <c r="J171" s="75">
        <f t="shared" si="78"/>
        <v>0</v>
      </c>
      <c r="K171" s="3" t="str">
        <f>IF(ISBLANK(L171),"",MAX(K$5:K170)+1)</f>
        <v/>
      </c>
    </row>
    <row r="172" spans="2:13">
      <c r="B172" s="34" t="str">
        <f>"Note: Implied Proceeds, do not convert to Common, if "&amp;B$327</f>
        <v>Note: Implied Proceeds, do not convert to Common, if Participating Preferred with a Cap</v>
      </c>
      <c r="C172" s="30" t="str">
        <f>C$5</f>
        <v>$</v>
      </c>
      <c r="D172" s="75">
        <f t="shared" ref="D172:J172" si="79">IFERROR(IF($D$8="no",MIN(MAX(0,D$94)/D$95*D168+D169,D166,$G$60*$G$63),MIN(D$196*D168+D169,D166,$G$60*$G$63)),0)</f>
        <v>0</v>
      </c>
      <c r="E172" s="75">
        <f t="shared" si="79"/>
        <v>0</v>
      </c>
      <c r="F172" s="75">
        <f t="shared" si="79"/>
        <v>0</v>
      </c>
      <c r="G172" s="75">
        <f t="shared" si="79"/>
        <v>0</v>
      </c>
      <c r="H172" s="75">
        <f t="shared" si="79"/>
        <v>0</v>
      </c>
      <c r="I172" s="75">
        <f t="shared" si="79"/>
        <v>0</v>
      </c>
      <c r="J172" s="75">
        <f t="shared" si="79"/>
        <v>0</v>
      </c>
      <c r="K172" s="3" t="str">
        <f>IF(ISBLANK(L172),"",MAX(K$5:K171)+1)</f>
        <v/>
      </c>
    </row>
    <row r="173" spans="2:13">
      <c r="B173" s="34" t="str">
        <f>"Note: Implied Proceeds, do not convert to Common, if "&amp;B$328</f>
        <v>Note: Implied Proceeds, do not convert to Common, if Full Participating Preferred</v>
      </c>
      <c r="C173" s="30" t="str">
        <f>C$5</f>
        <v>$</v>
      </c>
      <c r="D173" s="75">
        <f>IFERROR(MIN(D$196*D168+D169,D166),0)</f>
        <v>0</v>
      </c>
      <c r="E173" s="75">
        <f t="shared" ref="E173:J173" si="80">IFERROR(MIN(E$196*E168+E169,E166),0)</f>
        <v>0</v>
      </c>
      <c r="F173" s="75">
        <f t="shared" si="80"/>
        <v>0</v>
      </c>
      <c r="G173" s="75">
        <f t="shared" si="80"/>
        <v>0</v>
      </c>
      <c r="H173" s="75">
        <f t="shared" si="80"/>
        <v>0</v>
      </c>
      <c r="I173" s="75">
        <f t="shared" si="80"/>
        <v>0</v>
      </c>
      <c r="J173" s="75">
        <f t="shared" si="80"/>
        <v>0</v>
      </c>
      <c r="K173" s="3" t="str">
        <f>IF(ISBLANK(L173),"",MAX(K$5:K172)+1)</f>
        <v/>
      </c>
    </row>
    <row r="174" spans="2:13">
      <c r="B174" s="34" t="s">
        <v>67</v>
      </c>
      <c r="C174" s="30" t="str">
        <f>C5</f>
        <v>$</v>
      </c>
      <c r="D174" s="35">
        <f>IFERROR(IF($D$8="no",MAX(0,D$94)/D$95*D168*$G$64,D$196*D168*$G$64),0)</f>
        <v>0</v>
      </c>
      <c r="E174" s="35">
        <f t="shared" ref="E174:J174" si="81">IFERROR(IF($D$8="no",MAX(0,E$94)/E$95*E168*$G$64,E$196*E168*$G$64),0)</f>
        <v>0</v>
      </c>
      <c r="F174" s="35">
        <f t="shared" si="81"/>
        <v>0</v>
      </c>
      <c r="G174" s="35">
        <f t="shared" si="81"/>
        <v>0</v>
      </c>
      <c r="H174" s="35">
        <f t="shared" si="81"/>
        <v>0</v>
      </c>
      <c r="I174" s="35">
        <f t="shared" si="81"/>
        <v>0</v>
      </c>
      <c r="J174" s="35">
        <f t="shared" si="81"/>
        <v>0</v>
      </c>
      <c r="K174" s="3" t="str">
        <f>IF(ISBLANK(L174),"",MAX(K$5:K173)+1)</f>
        <v/>
      </c>
      <c r="M174" s="53"/>
    </row>
    <row r="175" spans="2:13">
      <c r="B175" s="31" t="s">
        <v>69</v>
      </c>
      <c r="C175" s="30" t="s">
        <v>15</v>
      </c>
      <c r="D175" s="76" t="str">
        <f t="shared" ref="D175:J175" si="82">IF($G$62=$B$326,"no",IF($G$62=$B$328,"yes",IF(D172&gt;D174,"yes","no")))</f>
        <v>no</v>
      </c>
      <c r="E175" s="76" t="str">
        <f t="shared" si="82"/>
        <v>no</v>
      </c>
      <c r="F175" s="76" t="str">
        <f t="shared" si="82"/>
        <v>no</v>
      </c>
      <c r="G175" s="76" t="str">
        <f t="shared" si="82"/>
        <v>no</v>
      </c>
      <c r="H175" s="76" t="str">
        <f t="shared" si="82"/>
        <v>no</v>
      </c>
      <c r="I175" s="76" t="str">
        <f t="shared" si="82"/>
        <v>no</v>
      </c>
      <c r="J175" s="76" t="str">
        <f t="shared" si="82"/>
        <v>no</v>
      </c>
      <c r="K175" s="3" t="str">
        <f>IF(ISBLANK(L175),"",MAX(K$5:K174)+1)</f>
        <v/>
      </c>
    </row>
    <row r="176" spans="2:13">
      <c r="B176" s="31" t="s">
        <v>70</v>
      </c>
      <c r="C176" s="30" t="s">
        <v>5</v>
      </c>
      <c r="D176" s="75">
        <f t="shared" ref="D176:J176" si="83">IFERROR(IF(D175="yes",INDEX(D177:D179,MATCH($G$62,$B$326:$B$328,0))/D$196,0),0)</f>
        <v>0</v>
      </c>
      <c r="E176" s="75">
        <f t="shared" si="83"/>
        <v>0</v>
      </c>
      <c r="F176" s="75">
        <f t="shared" si="83"/>
        <v>0</v>
      </c>
      <c r="G176" s="75">
        <f t="shared" si="83"/>
        <v>0</v>
      </c>
      <c r="H176" s="75">
        <f t="shared" si="83"/>
        <v>0</v>
      </c>
      <c r="I176" s="75">
        <f t="shared" si="83"/>
        <v>0</v>
      </c>
      <c r="J176" s="75">
        <f t="shared" si="83"/>
        <v>0</v>
      </c>
      <c r="K176" s="3" t="str">
        <f>IF(ISBLANK(L176),"",MAX(K$5:K175)+1)</f>
        <v/>
      </c>
    </row>
    <row r="177" spans="1:25">
      <c r="B177" s="34" t="str">
        <f>"Note: Participation, if "&amp;B326</f>
        <v>Note: Participation, if Non Participating Preferred</v>
      </c>
      <c r="C177" s="30" t="str">
        <f>C$5</f>
        <v>$</v>
      </c>
      <c r="D177" s="75">
        <f>MAX(0,D171-D$169)</f>
        <v>0</v>
      </c>
      <c r="E177" s="75">
        <f t="shared" ref="E177:J179" si="84">MAX(0,E171-E$169)</f>
        <v>0</v>
      </c>
      <c r="F177" s="75">
        <f t="shared" si="84"/>
        <v>0</v>
      </c>
      <c r="G177" s="75">
        <f t="shared" si="84"/>
        <v>0</v>
      </c>
      <c r="H177" s="75">
        <f t="shared" si="84"/>
        <v>0</v>
      </c>
      <c r="I177" s="75">
        <f t="shared" si="84"/>
        <v>0</v>
      </c>
      <c r="J177" s="75">
        <f t="shared" si="84"/>
        <v>0</v>
      </c>
      <c r="K177" s="3" t="str">
        <f>IF(ISBLANK(L177),"",MAX(K$5:K176)+1)</f>
        <v/>
      </c>
    </row>
    <row r="178" spans="1:25" s="44" customFormat="1">
      <c r="A178" s="41"/>
      <c r="B178" s="34" t="str">
        <f>"Note: Participation, if "&amp;B327</f>
        <v>Note: Participation, if Participating Preferred with a Cap</v>
      </c>
      <c r="C178" s="30" t="str">
        <f>C$5</f>
        <v>$</v>
      </c>
      <c r="D178" s="47">
        <f>MAX(0,D172-D$169)</f>
        <v>0</v>
      </c>
      <c r="E178" s="47">
        <f t="shared" si="84"/>
        <v>0</v>
      </c>
      <c r="F178" s="47">
        <f t="shared" si="84"/>
        <v>0</v>
      </c>
      <c r="G178" s="47">
        <f t="shared" si="84"/>
        <v>0</v>
      </c>
      <c r="H178" s="47">
        <f t="shared" si="84"/>
        <v>0</v>
      </c>
      <c r="I178" s="47">
        <f t="shared" si="84"/>
        <v>0</v>
      </c>
      <c r="J178" s="47">
        <f t="shared" si="84"/>
        <v>0</v>
      </c>
      <c r="K178" s="3" t="str">
        <f>IF(ISBLANK(L178),"",MAX(K$5:K177)+1)</f>
        <v/>
      </c>
      <c r="M178" s="41"/>
      <c r="N178" s="41"/>
      <c r="O178" s="41"/>
      <c r="P178" s="41"/>
      <c r="Q178" s="41"/>
      <c r="R178" s="41"/>
      <c r="S178" s="41"/>
      <c r="T178" s="41"/>
      <c r="U178" s="41"/>
      <c r="V178" s="41"/>
      <c r="W178" s="41"/>
      <c r="X178" s="41"/>
      <c r="Y178" s="41"/>
    </row>
    <row r="179" spans="1:25" s="44" customFormat="1">
      <c r="B179" s="34" t="str">
        <f>"Note: Participation, if "&amp;B328</f>
        <v>Note: Participation, if Full Participating Preferred</v>
      </c>
      <c r="C179" s="30" t="str">
        <f>C$5</f>
        <v>$</v>
      </c>
      <c r="D179" s="47">
        <f>MAX(0,D173-D$169)</f>
        <v>0</v>
      </c>
      <c r="E179" s="47">
        <f t="shared" si="84"/>
        <v>0</v>
      </c>
      <c r="F179" s="47">
        <f t="shared" si="84"/>
        <v>0</v>
      </c>
      <c r="G179" s="47">
        <f t="shared" si="84"/>
        <v>0</v>
      </c>
      <c r="H179" s="47">
        <f t="shared" si="84"/>
        <v>0</v>
      </c>
      <c r="I179" s="47">
        <f t="shared" si="84"/>
        <v>0</v>
      </c>
      <c r="J179" s="47">
        <f t="shared" si="84"/>
        <v>0</v>
      </c>
      <c r="K179" s="3" t="str">
        <f>IF(ISBLANK(L179),"",MAX(K$5:K178)+1)</f>
        <v/>
      </c>
    </row>
    <row r="180" spans="1:25" s="44" customFormat="1">
      <c r="B180" s="31" t="s">
        <v>73</v>
      </c>
      <c r="C180" s="30" t="s">
        <v>15</v>
      </c>
      <c r="D180" s="51" t="str">
        <f t="shared" ref="D180:J180" si="85">IF($G$62=$B$326,IF(D171&gt;D174,"no","yes"),IF(D175="yes","no","yes"))</f>
        <v>yes</v>
      </c>
      <c r="E180" s="51" t="str">
        <f t="shared" si="85"/>
        <v>yes</v>
      </c>
      <c r="F180" s="51" t="str">
        <f t="shared" si="85"/>
        <v>yes</v>
      </c>
      <c r="G180" s="51" t="str">
        <f t="shared" si="85"/>
        <v>yes</v>
      </c>
      <c r="H180" s="51" t="str">
        <f t="shared" si="85"/>
        <v>yes</v>
      </c>
      <c r="I180" s="51" t="str">
        <f t="shared" si="85"/>
        <v>yes</v>
      </c>
      <c r="J180" s="51" t="str">
        <f t="shared" si="85"/>
        <v>yes</v>
      </c>
      <c r="K180" s="3" t="str">
        <f>IF(ISBLANK(L180),"",MAX(K$5:K179)+1)</f>
        <v/>
      </c>
    </row>
    <row r="181" spans="1:25" s="44" customFormat="1">
      <c r="B181" s="31" t="s">
        <v>75</v>
      </c>
      <c r="C181" s="30" t="s">
        <v>5</v>
      </c>
      <c r="D181" s="47">
        <f>IF(D180="yes",D168*$G$64,0)</f>
        <v>0</v>
      </c>
      <c r="E181" s="47">
        <f t="shared" ref="E181:J181" si="86">IF(E180="yes",E168*$G$64,0)</f>
        <v>0</v>
      </c>
      <c r="F181" s="47">
        <f t="shared" si="86"/>
        <v>0</v>
      </c>
      <c r="G181" s="47">
        <f t="shared" si="86"/>
        <v>0</v>
      </c>
      <c r="H181" s="47">
        <f t="shared" si="86"/>
        <v>0</v>
      </c>
      <c r="I181" s="47">
        <f t="shared" si="86"/>
        <v>0</v>
      </c>
      <c r="J181" s="47">
        <f t="shared" si="86"/>
        <v>0</v>
      </c>
      <c r="K181" s="3" t="str">
        <f>IF(ISBLANK(L181),"",MAX(K$5:K180)+1)</f>
        <v/>
      </c>
    </row>
    <row r="182" spans="1:25" s="44" customFormat="1">
      <c r="B182" s="31" t="s">
        <v>77</v>
      </c>
      <c r="C182" s="30" t="str">
        <f>C5</f>
        <v>$</v>
      </c>
      <c r="D182" s="35">
        <f t="shared" ref="D182:J182" si="87">IF($D$8="yes",IFERROR(D181*D$196,0),IFERROR(D181/D$95*D$94,0))</f>
        <v>0</v>
      </c>
      <c r="E182" s="35">
        <f t="shared" si="87"/>
        <v>0</v>
      </c>
      <c r="F182" s="35">
        <f t="shared" si="87"/>
        <v>0</v>
      </c>
      <c r="G182" s="35">
        <f t="shared" si="87"/>
        <v>0</v>
      </c>
      <c r="H182" s="35">
        <f t="shared" si="87"/>
        <v>0</v>
      </c>
      <c r="I182" s="35">
        <f t="shared" si="87"/>
        <v>0</v>
      </c>
      <c r="J182" s="35">
        <f t="shared" si="87"/>
        <v>0</v>
      </c>
      <c r="K182" s="3" t="str">
        <f>IF(ISBLANK(L182),"",MAX(K$5:K181)+1)</f>
        <v/>
      </c>
    </row>
    <row r="183" spans="1:25" s="44" customFormat="1">
      <c r="B183" s="31" t="s">
        <v>41</v>
      </c>
      <c r="C183" s="30" t="str">
        <f>C$5</f>
        <v>$</v>
      </c>
      <c r="D183" s="35">
        <f>IF(OR(D180="yes",$G$65=$B$333),0,IF($G$65=$B$331,$G$66*$G$60,ROUND(YEARFRAC($G$67,$D$6,1),0)*$G$66*$G$60))</f>
        <v>0</v>
      </c>
      <c r="E183" s="35">
        <f t="shared" ref="E183:J183" si="88">IF(OR(E180="yes",$G$65=$B$333),0,IF($G$65=$B$331,$G$66*$G$60,ROUND(YEARFRAC($G$67,$D$6,1),0)*$G$66*$G$60))</f>
        <v>0</v>
      </c>
      <c r="F183" s="35">
        <f t="shared" si="88"/>
        <v>0</v>
      </c>
      <c r="G183" s="35">
        <f t="shared" si="88"/>
        <v>0</v>
      </c>
      <c r="H183" s="35">
        <f t="shared" si="88"/>
        <v>0</v>
      </c>
      <c r="I183" s="35">
        <f t="shared" si="88"/>
        <v>0</v>
      </c>
      <c r="J183" s="35">
        <f t="shared" si="88"/>
        <v>0</v>
      </c>
      <c r="K183" s="3" t="str">
        <f>IF(ISBLANK(L183),"",MAX(K$5:K182)+1)</f>
        <v/>
      </c>
    </row>
    <row r="184" spans="1:25" s="44" customFormat="1">
      <c r="B184" s="31" t="str">
        <f>"Proceeds to "&amp;B165</f>
        <v>Proceeds to Preferred, Seed</v>
      </c>
      <c r="C184" s="30" t="str">
        <f>C5</f>
        <v>$</v>
      </c>
      <c r="D184" s="47">
        <f>MIN(D166,MAX(D183+INDEX(D171:D173,MATCH($G$62,$B$326:$B$328,0)),D182))</f>
        <v>0</v>
      </c>
      <c r="E184" s="47">
        <f t="shared" ref="E184:J184" si="89">MIN(E166,MAX(E183+INDEX(E171:E173,MATCH($G$62,$B$326:$B$328,0)),E182))</f>
        <v>0</v>
      </c>
      <c r="F184" s="47">
        <f t="shared" si="89"/>
        <v>0</v>
      </c>
      <c r="G184" s="47">
        <f t="shared" si="89"/>
        <v>0</v>
      </c>
      <c r="H184" s="47">
        <f t="shared" si="89"/>
        <v>0</v>
      </c>
      <c r="I184" s="47">
        <f t="shared" si="89"/>
        <v>0</v>
      </c>
      <c r="J184" s="47">
        <f t="shared" si="89"/>
        <v>0</v>
      </c>
      <c r="K184" s="3" t="str">
        <f>IF(ISBLANK(L184),"",MAX(K$5:K183)+1)</f>
        <v/>
      </c>
    </row>
    <row r="185" spans="1:25" s="44" customFormat="1">
      <c r="B185" s="31" t="s">
        <v>80</v>
      </c>
      <c r="C185" s="30" t="str">
        <f>C5</f>
        <v>$</v>
      </c>
      <c r="D185" s="36">
        <f>IFERROR(D184/D168,0)</f>
        <v>0</v>
      </c>
      <c r="E185" s="36">
        <f t="shared" ref="E185:J185" si="90">IFERROR(E184/E168,0)</f>
        <v>0</v>
      </c>
      <c r="F185" s="36">
        <f t="shared" si="90"/>
        <v>0</v>
      </c>
      <c r="G185" s="36">
        <f t="shared" si="90"/>
        <v>0</v>
      </c>
      <c r="H185" s="36">
        <f t="shared" si="90"/>
        <v>0</v>
      </c>
      <c r="I185" s="36">
        <f t="shared" si="90"/>
        <v>0</v>
      </c>
      <c r="J185" s="36">
        <f t="shared" si="90"/>
        <v>0</v>
      </c>
      <c r="K185" s="3" t="str">
        <f>IF(ISBLANK(L185),"",MAX(K$5:K184)+1)</f>
        <v/>
      </c>
    </row>
    <row r="186" spans="1:25" s="44" customFormat="1">
      <c r="B186" s="41"/>
      <c r="C186" s="42"/>
      <c r="D186" s="41"/>
      <c r="E186" s="41"/>
      <c r="F186" s="41"/>
      <c r="G186" s="41"/>
      <c r="H186" s="35"/>
      <c r="I186" s="41"/>
      <c r="J186" s="41"/>
      <c r="K186" s="3" t="str">
        <f>IF(ISBLANK(L186),"",MAX(K$5:K185)+1)</f>
        <v/>
      </c>
    </row>
    <row r="187" spans="1:25" s="44" customFormat="1">
      <c r="B187" s="34" t="str">
        <f>H68</f>
        <v>Common</v>
      </c>
      <c r="C187" s="53"/>
      <c r="D187" s="41"/>
      <c r="E187" s="41"/>
      <c r="F187" s="41"/>
      <c r="G187" s="41"/>
      <c r="H187" s="35"/>
      <c r="I187" s="41"/>
      <c r="J187" s="41"/>
      <c r="K187" s="3" t="str">
        <f>IF(ISBLANK(L187),"",MAX(K$5:K186)+1)</f>
        <v/>
      </c>
    </row>
    <row r="188" spans="1:25" s="44" customFormat="1">
      <c r="B188" s="31" t="s">
        <v>58</v>
      </c>
      <c r="C188" s="30" t="str">
        <f>C5</f>
        <v>$</v>
      </c>
      <c r="D188" s="47">
        <f t="shared" ref="D188:J188" si="91">IF(D180="no",MAX(0,D166-D169-D183),IF($G50=$B$328,MAX(0,D166-D169-D183),IF(AND($G50=$B$327,D182=0),MAX(0,D166-D169-D183),D166)))</f>
        <v>0</v>
      </c>
      <c r="E188" s="47">
        <f t="shared" si="91"/>
        <v>0</v>
      </c>
      <c r="F188" s="47">
        <f t="shared" si="91"/>
        <v>0</v>
      </c>
      <c r="G188" s="47">
        <f t="shared" si="91"/>
        <v>0</v>
      </c>
      <c r="H188" s="47">
        <f t="shared" si="91"/>
        <v>0</v>
      </c>
      <c r="I188" s="47">
        <f t="shared" si="91"/>
        <v>0</v>
      </c>
      <c r="J188" s="47">
        <f t="shared" si="91"/>
        <v>0</v>
      </c>
      <c r="K188" s="3" t="str">
        <f>IF(ISBLANK(L188),"",MAX(K$5:K187)+1)</f>
        <v/>
      </c>
    </row>
    <row r="189" spans="1:25" s="44" customFormat="1">
      <c r="B189" s="31" t="s">
        <v>60</v>
      </c>
      <c r="C189" s="42" t="s">
        <v>5</v>
      </c>
      <c r="D189" s="47">
        <f t="shared" ref="D189:J189" si="92">D167-D181</f>
        <v>0</v>
      </c>
      <c r="E189" s="47">
        <f t="shared" si="92"/>
        <v>0</v>
      </c>
      <c r="F189" s="47">
        <f t="shared" si="92"/>
        <v>0</v>
      </c>
      <c r="G189" s="47">
        <f t="shared" si="92"/>
        <v>0</v>
      </c>
      <c r="H189" s="47">
        <f t="shared" si="92"/>
        <v>0</v>
      </c>
      <c r="I189" s="47">
        <f t="shared" si="92"/>
        <v>0</v>
      </c>
      <c r="J189" s="47">
        <f t="shared" si="92"/>
        <v>0</v>
      </c>
      <c r="K189" s="3" t="str">
        <f>IF(ISBLANK(L189),"",MAX(K$5:K188)+1)</f>
        <v/>
      </c>
    </row>
    <row r="190" spans="1:25" s="44" customFormat="1">
      <c r="B190" s="31" t="s">
        <v>82</v>
      </c>
      <c r="C190" s="30" t="s">
        <v>5</v>
      </c>
      <c r="D190" s="35">
        <f t="shared" ref="D190:J190" si="93">$H59+$I59</f>
        <v>0</v>
      </c>
      <c r="E190" s="35">
        <f t="shared" si="93"/>
        <v>0</v>
      </c>
      <c r="F190" s="35">
        <f t="shared" si="93"/>
        <v>0</v>
      </c>
      <c r="G190" s="35">
        <f t="shared" si="93"/>
        <v>0</v>
      </c>
      <c r="H190" s="35">
        <f t="shared" si="93"/>
        <v>0</v>
      </c>
      <c r="I190" s="35">
        <f t="shared" si="93"/>
        <v>0</v>
      </c>
      <c r="J190" s="35">
        <f t="shared" si="93"/>
        <v>0</v>
      </c>
      <c r="K190" s="3" t="str">
        <f>IF(ISBLANK(L190),"",MAX(K$5:K189)+1)</f>
        <v/>
      </c>
    </row>
    <row r="191" spans="1:25" s="44" customFormat="1">
      <c r="B191" s="31" t="s">
        <v>83</v>
      </c>
      <c r="C191" s="30" t="s">
        <v>5</v>
      </c>
      <c r="D191" s="35">
        <f>D176+D110+D154+D132</f>
        <v>0</v>
      </c>
      <c r="E191" s="35">
        <f t="shared" ref="E191:J191" si="94">E176+E110+E154+E132</f>
        <v>0</v>
      </c>
      <c r="F191" s="35">
        <f t="shared" si="94"/>
        <v>0</v>
      </c>
      <c r="G191" s="35">
        <f t="shared" si="94"/>
        <v>0</v>
      </c>
      <c r="H191" s="35">
        <f t="shared" si="94"/>
        <v>0</v>
      </c>
      <c r="I191" s="35">
        <f t="shared" si="94"/>
        <v>0</v>
      </c>
      <c r="J191" s="35">
        <f t="shared" si="94"/>
        <v>0</v>
      </c>
      <c r="K191" s="3" t="str">
        <f>IF(ISBLANK(L191),"",MAX(K$5:K190)+1)</f>
        <v/>
      </c>
    </row>
    <row r="192" spans="1:25" s="44" customFormat="1">
      <c r="B192" s="31" t="s">
        <v>84</v>
      </c>
      <c r="C192" s="30" t="s">
        <v>5</v>
      </c>
      <c r="D192" s="35">
        <f>D115+D181+D159+D137</f>
        <v>0</v>
      </c>
      <c r="E192" s="35">
        <f t="shared" ref="E192:J192" si="95">E115+E181+E159+E137</f>
        <v>0</v>
      </c>
      <c r="F192" s="35">
        <f t="shared" si="95"/>
        <v>0</v>
      </c>
      <c r="G192" s="35">
        <f t="shared" si="95"/>
        <v>0</v>
      </c>
      <c r="H192" s="35">
        <f t="shared" si="95"/>
        <v>0</v>
      </c>
      <c r="I192" s="35">
        <f t="shared" si="95"/>
        <v>0</v>
      </c>
      <c r="J192" s="35">
        <f t="shared" si="95"/>
        <v>0</v>
      </c>
      <c r="K192" s="3" t="str">
        <f>IF(ISBLANK(L192),"",MAX(K$5:K191)+1)</f>
        <v/>
      </c>
    </row>
    <row r="193" spans="2:12" s="44" customFormat="1">
      <c r="B193" s="31" t="s">
        <v>85</v>
      </c>
      <c r="C193" s="30" t="s">
        <v>5</v>
      </c>
      <c r="D193" s="47">
        <f t="shared" ref="D193:J193" si="96">D192+D190+D191</f>
        <v>0</v>
      </c>
      <c r="E193" s="47">
        <f t="shared" si="96"/>
        <v>0</v>
      </c>
      <c r="F193" s="47">
        <f t="shared" si="96"/>
        <v>0</v>
      </c>
      <c r="G193" s="47">
        <f t="shared" si="96"/>
        <v>0</v>
      </c>
      <c r="H193" s="47">
        <f t="shared" si="96"/>
        <v>0</v>
      </c>
      <c r="I193" s="47">
        <f t="shared" si="96"/>
        <v>0</v>
      </c>
      <c r="J193" s="47">
        <f t="shared" si="96"/>
        <v>0</v>
      </c>
      <c r="K193" s="3" t="str">
        <f>IF(ISBLANK(L193),"",MAX(K$5:K192)+1)</f>
        <v/>
      </c>
    </row>
    <row r="194" spans="2:12" s="44" customFormat="1">
      <c r="B194" s="31" t="s">
        <v>86</v>
      </c>
      <c r="C194" s="30" t="str">
        <f>C$5</f>
        <v>$</v>
      </c>
      <c r="D194" s="47">
        <f t="shared" ref="D194:J194" si="97">D188</f>
        <v>0</v>
      </c>
      <c r="E194" s="47">
        <f t="shared" si="97"/>
        <v>0</v>
      </c>
      <c r="F194" s="47">
        <f t="shared" si="97"/>
        <v>0</v>
      </c>
      <c r="G194" s="47">
        <f t="shared" si="97"/>
        <v>0</v>
      </c>
      <c r="H194" s="47">
        <f t="shared" si="97"/>
        <v>0</v>
      </c>
      <c r="I194" s="47">
        <f t="shared" si="97"/>
        <v>0</v>
      </c>
      <c r="J194" s="47">
        <f t="shared" si="97"/>
        <v>0</v>
      </c>
      <c r="K194" s="3" t="str">
        <f>IF(ISBLANK(L194),"",MAX(K$5:K193)+1)</f>
        <v/>
      </c>
    </row>
    <row r="195" spans="2:12" s="44" customFormat="1">
      <c r="B195" s="31" t="str">
        <f>"Proceeds to "&amp;B187</f>
        <v>Proceeds to Common</v>
      </c>
      <c r="C195" s="30" t="str">
        <f>C$5</f>
        <v>$</v>
      </c>
      <c r="D195" s="47">
        <f t="shared" ref="D195:J195" si="98">D196*D190</f>
        <v>0</v>
      </c>
      <c r="E195" s="47">
        <f t="shared" si="98"/>
        <v>0</v>
      </c>
      <c r="F195" s="47">
        <f t="shared" si="98"/>
        <v>0</v>
      </c>
      <c r="G195" s="47">
        <f t="shared" si="98"/>
        <v>0</v>
      </c>
      <c r="H195" s="47">
        <f t="shared" si="98"/>
        <v>0</v>
      </c>
      <c r="I195" s="47">
        <f t="shared" si="98"/>
        <v>0</v>
      </c>
      <c r="J195" s="47">
        <f t="shared" si="98"/>
        <v>0</v>
      </c>
      <c r="K195" s="3" t="str">
        <f>IF(ISBLANK(L195),"",MAX(K$5:K194)+1)</f>
        <v/>
      </c>
    </row>
    <row r="196" spans="2:12">
      <c r="B196" s="31" t="s">
        <v>80</v>
      </c>
      <c r="C196" s="30" t="str">
        <f>C$5</f>
        <v>$</v>
      </c>
      <c r="D196" s="36">
        <f>IFERROR(D194/D193,0)</f>
        <v>0</v>
      </c>
      <c r="E196" s="36">
        <f t="shared" ref="E196:J196" si="99">IFERROR(E194/E193,0)</f>
        <v>0</v>
      </c>
      <c r="F196" s="36">
        <f t="shared" si="99"/>
        <v>0</v>
      </c>
      <c r="G196" s="36">
        <f t="shared" si="99"/>
        <v>0</v>
      </c>
      <c r="H196" s="36">
        <f t="shared" si="99"/>
        <v>0</v>
      </c>
      <c r="I196" s="36">
        <f t="shared" si="99"/>
        <v>0</v>
      </c>
      <c r="J196" s="36">
        <f t="shared" si="99"/>
        <v>0</v>
      </c>
      <c r="K196" s="3" t="str">
        <f>IF(ISBLANK(L196),"",MAX(K$5:K195)+1)</f>
        <v/>
      </c>
      <c r="L196" s="32"/>
    </row>
    <row r="197" spans="2:12">
      <c r="K197" s="3" t="str">
        <f>IF(ISBLANK(L197),"",MAX(K$5:K196)+1)</f>
        <v/>
      </c>
      <c r="L197" s="32"/>
    </row>
    <row r="198" spans="2:12">
      <c r="B198" s="31" t="s">
        <v>87</v>
      </c>
      <c r="C198" s="30" t="str">
        <f>C5</f>
        <v>$</v>
      </c>
      <c r="D198" s="54">
        <f>D195+D184+D118+D162+D140</f>
        <v>0</v>
      </c>
      <c r="E198" s="54">
        <f t="shared" ref="E198:J198" si="100">E195+E184+E118+E162+E140</f>
        <v>0</v>
      </c>
      <c r="F198" s="54">
        <f t="shared" si="100"/>
        <v>0</v>
      </c>
      <c r="G198" s="54">
        <f t="shared" si="100"/>
        <v>0</v>
      </c>
      <c r="H198" s="54">
        <f t="shared" si="100"/>
        <v>0</v>
      </c>
      <c r="I198" s="54">
        <f t="shared" si="100"/>
        <v>0</v>
      </c>
      <c r="J198" s="54">
        <f t="shared" si="100"/>
        <v>0</v>
      </c>
      <c r="K198" s="3">
        <f>IF(ISBLANK(L198),"",MAX(K$5:K197)+1)</f>
        <v>65</v>
      </c>
      <c r="L198" s="32" t="s">
        <v>88</v>
      </c>
    </row>
    <row r="199" spans="2:12" s="56" customFormat="1">
      <c r="B199" s="34" t="s">
        <v>89</v>
      </c>
      <c r="C199" s="37" t="str">
        <f>C$5</f>
        <v>$</v>
      </c>
      <c r="D199" s="55">
        <f t="shared" ref="D199:J199" si="101">ROUND(D94-D198,1)</f>
        <v>0</v>
      </c>
      <c r="E199" s="55">
        <f t="shared" si="101"/>
        <v>0</v>
      </c>
      <c r="F199" s="55">
        <f t="shared" si="101"/>
        <v>0</v>
      </c>
      <c r="G199" s="55">
        <f t="shared" si="101"/>
        <v>0</v>
      </c>
      <c r="H199" s="55">
        <f t="shared" si="101"/>
        <v>0</v>
      </c>
      <c r="I199" s="55">
        <f t="shared" si="101"/>
        <v>0</v>
      </c>
      <c r="J199" s="55">
        <f t="shared" si="101"/>
        <v>0</v>
      </c>
      <c r="K199" s="3">
        <f>IF(ISBLANK(L199),"",MAX(K$5:K198)+1)</f>
        <v>66</v>
      </c>
      <c r="L199" s="38" t="s">
        <v>90</v>
      </c>
    </row>
    <row r="200" spans="2:12">
      <c r="D200" s="47"/>
      <c r="E200" s="47"/>
      <c r="F200" s="47"/>
      <c r="K200" s="3" t="str">
        <f>IF(ISBLANK(L200),"",MAX(K$5:K199)+1)</f>
        <v/>
      </c>
      <c r="L200" s="32"/>
    </row>
    <row r="201" spans="2:12">
      <c r="B201" s="34" t="s">
        <v>91</v>
      </c>
      <c r="F201" s="47"/>
      <c r="K201" s="3" t="str">
        <f>IF(ISBLANK(L201),"",MAX(K$5:K200)+1)</f>
        <v/>
      </c>
      <c r="L201" s="32"/>
    </row>
    <row r="202" spans="2:12">
      <c r="B202" s="31" t="str">
        <f>B99</f>
        <v>Preferred, C</v>
      </c>
      <c r="C202" s="30" t="str">
        <f t="shared" ref="C202:C207" si="102">C$5</f>
        <v>$</v>
      </c>
      <c r="D202" s="47">
        <f>D$118*$D71+D$140*$E71+D$162*$F71+D$184*$G71+D$195*$H71</f>
        <v>0</v>
      </c>
      <c r="E202" s="47">
        <f t="shared" ref="E202:J202" si="103">E$118*$D71+E$140*$E71+E$162*$F71+E$184*$G71+E$195*$H71</f>
        <v>0</v>
      </c>
      <c r="F202" s="47">
        <f t="shared" si="103"/>
        <v>0</v>
      </c>
      <c r="G202" s="47">
        <f t="shared" si="103"/>
        <v>0</v>
      </c>
      <c r="H202" s="47">
        <f t="shared" si="103"/>
        <v>0</v>
      </c>
      <c r="I202" s="47">
        <f t="shared" si="103"/>
        <v>0</v>
      </c>
      <c r="J202" s="47">
        <f t="shared" si="103"/>
        <v>0</v>
      </c>
      <c r="K202" s="3" t="str">
        <f>IF(ISBLANK(L202),"",MAX(K$5:K201)+1)</f>
        <v/>
      </c>
      <c r="L202" s="32"/>
    </row>
    <row r="203" spans="2:12">
      <c r="B203" s="31" t="str">
        <f>B121</f>
        <v>Preferred, B</v>
      </c>
      <c r="C203" s="30" t="str">
        <f t="shared" si="102"/>
        <v>$</v>
      </c>
      <c r="D203" s="47">
        <f t="shared" ref="D203:J205" si="104">D$118*$D72+D$140*$E72+D$162*$F72+D$184*$G72+D$195*$H72</f>
        <v>0</v>
      </c>
      <c r="E203" s="47">
        <f t="shared" si="104"/>
        <v>0</v>
      </c>
      <c r="F203" s="47">
        <f t="shared" si="104"/>
        <v>0</v>
      </c>
      <c r="G203" s="47">
        <f t="shared" si="104"/>
        <v>0</v>
      </c>
      <c r="H203" s="47">
        <f t="shared" si="104"/>
        <v>0</v>
      </c>
      <c r="I203" s="47">
        <f t="shared" si="104"/>
        <v>0</v>
      </c>
      <c r="J203" s="47">
        <f t="shared" si="104"/>
        <v>0</v>
      </c>
      <c r="K203" s="3" t="str">
        <f>IF(ISBLANK(L203),"",MAX(K$5:K202)+1)</f>
        <v/>
      </c>
      <c r="L203" s="32"/>
    </row>
    <row r="204" spans="2:12">
      <c r="B204" s="31" t="str">
        <f>B143</f>
        <v>Preferred, A</v>
      </c>
      <c r="C204" s="30" t="str">
        <f t="shared" si="102"/>
        <v>$</v>
      </c>
      <c r="D204" s="47">
        <f t="shared" si="104"/>
        <v>0</v>
      </c>
      <c r="E204" s="47">
        <f t="shared" si="104"/>
        <v>0</v>
      </c>
      <c r="F204" s="47">
        <f t="shared" si="104"/>
        <v>0</v>
      </c>
      <c r="G204" s="47">
        <f t="shared" si="104"/>
        <v>0</v>
      </c>
      <c r="H204" s="47">
        <f t="shared" si="104"/>
        <v>0</v>
      </c>
      <c r="I204" s="47">
        <f t="shared" si="104"/>
        <v>0</v>
      </c>
      <c r="J204" s="47">
        <f t="shared" si="104"/>
        <v>0</v>
      </c>
      <c r="K204" s="3" t="str">
        <f>IF(ISBLANK(L204),"",MAX(K$5:K203)+1)</f>
        <v/>
      </c>
      <c r="L204" s="32"/>
    </row>
    <row r="205" spans="2:12">
      <c r="B205" s="31" t="str">
        <f>B165</f>
        <v>Preferred, Seed</v>
      </c>
      <c r="C205" s="30" t="str">
        <f t="shared" si="102"/>
        <v>$</v>
      </c>
      <c r="D205" s="47">
        <f t="shared" si="104"/>
        <v>0</v>
      </c>
      <c r="E205" s="47">
        <f t="shared" si="104"/>
        <v>0</v>
      </c>
      <c r="F205" s="47">
        <f t="shared" si="104"/>
        <v>0</v>
      </c>
      <c r="G205" s="47">
        <f t="shared" si="104"/>
        <v>0</v>
      </c>
      <c r="H205" s="47">
        <f t="shared" si="104"/>
        <v>0</v>
      </c>
      <c r="I205" s="47">
        <f t="shared" si="104"/>
        <v>0</v>
      </c>
      <c r="J205" s="47">
        <f t="shared" si="104"/>
        <v>0</v>
      </c>
      <c r="K205" s="3" t="str">
        <f>IF(ISBLANK(L205),"",MAX(K$5:K204)+1)</f>
        <v/>
      </c>
      <c r="L205" s="32"/>
    </row>
    <row r="206" spans="2:12">
      <c r="B206" s="31" t="str">
        <f>B187&amp;" (including Options)"</f>
        <v>Common (including Options)</v>
      </c>
      <c r="C206" s="30" t="str">
        <f t="shared" si="102"/>
        <v>$</v>
      </c>
      <c r="D206" s="47">
        <f>D$118*$D75+D$140*$E75+D$162*$F75+D$184*$G75+D$195*($H75+$H76)</f>
        <v>0</v>
      </c>
      <c r="E206" s="47">
        <f t="shared" ref="E206:J206" si="105">E$118*$D75+E$140*$E75+E$162*$F75+E$184*$G75+E$195*($H75+$H76)</f>
        <v>0</v>
      </c>
      <c r="F206" s="47">
        <f t="shared" si="105"/>
        <v>0</v>
      </c>
      <c r="G206" s="47">
        <f t="shared" si="105"/>
        <v>0</v>
      </c>
      <c r="H206" s="47">
        <f t="shared" si="105"/>
        <v>0</v>
      </c>
      <c r="I206" s="47">
        <f t="shared" si="105"/>
        <v>0</v>
      </c>
      <c r="J206" s="47">
        <f t="shared" si="105"/>
        <v>0</v>
      </c>
      <c r="K206" s="3" t="str">
        <f>IF(ISBLANK(L206),"",MAX(K$5:K205)+1)</f>
        <v/>
      </c>
      <c r="L206" s="32"/>
    </row>
    <row r="207" spans="2:12">
      <c r="B207" s="31" t="s">
        <v>28</v>
      </c>
      <c r="C207" s="30" t="str">
        <f t="shared" si="102"/>
        <v>$</v>
      </c>
      <c r="D207" s="54">
        <f t="shared" ref="D207:J207" si="106">SUM(D202:D206)</f>
        <v>0</v>
      </c>
      <c r="E207" s="54">
        <f t="shared" si="106"/>
        <v>0</v>
      </c>
      <c r="F207" s="54">
        <f t="shared" si="106"/>
        <v>0</v>
      </c>
      <c r="G207" s="54">
        <f t="shared" si="106"/>
        <v>0</v>
      </c>
      <c r="H207" s="54">
        <f t="shared" si="106"/>
        <v>0</v>
      </c>
      <c r="I207" s="54">
        <f t="shared" si="106"/>
        <v>0</v>
      </c>
      <c r="J207" s="54">
        <f t="shared" si="106"/>
        <v>0</v>
      </c>
      <c r="K207" s="3">
        <f>IF(ISBLANK(L207),"",MAX(K$5:K206)+1)</f>
        <v>67</v>
      </c>
      <c r="L207" s="32" t="s">
        <v>88</v>
      </c>
    </row>
    <row r="208" spans="2:12">
      <c r="B208" s="34" t="s">
        <v>146</v>
      </c>
      <c r="C208" s="37" t="str">
        <f>C$5</f>
        <v>$</v>
      </c>
      <c r="D208" s="72">
        <f>D207-D198</f>
        <v>0</v>
      </c>
      <c r="E208" s="72">
        <f t="shared" ref="E208:J208" si="107">E207-E198</f>
        <v>0</v>
      </c>
      <c r="F208" s="72">
        <f t="shared" si="107"/>
        <v>0</v>
      </c>
      <c r="G208" s="72">
        <f t="shared" si="107"/>
        <v>0</v>
      </c>
      <c r="H208" s="72">
        <f t="shared" si="107"/>
        <v>0</v>
      </c>
      <c r="I208" s="72">
        <f t="shared" si="107"/>
        <v>0</v>
      </c>
      <c r="J208" s="72">
        <f t="shared" si="107"/>
        <v>0</v>
      </c>
      <c r="K208" s="3">
        <f>IF(ISBLANK(L208),"",MAX(K$5:K207)+1)</f>
        <v>68</v>
      </c>
      <c r="L208" s="32" t="s">
        <v>147</v>
      </c>
    </row>
    <row r="209" spans="2:12">
      <c r="K209" s="3" t="str">
        <f>IF(ISBLANK(L209),"",MAX(K$5:K208)+1)</f>
        <v/>
      </c>
      <c r="L209" s="32"/>
    </row>
    <row r="210" spans="2:12">
      <c r="B210" s="6" t="s">
        <v>148</v>
      </c>
      <c r="K210" s="3" t="str">
        <f>IF(ISBLANK(L210),"",MAX(K$5:K209)+1)</f>
        <v/>
      </c>
      <c r="L210" s="32"/>
    </row>
    <row r="211" spans="2:12">
      <c r="B211" s="52" t="str">
        <f>B202</f>
        <v>Preferred, C</v>
      </c>
      <c r="C211" s="30" t="str">
        <f t="shared" ref="C211:C215" si="108">C$5</f>
        <v>$</v>
      </c>
      <c r="D211" s="73">
        <f t="shared" ref="D211:J211" si="109">IFERROR(D202/$D24,0)</f>
        <v>0</v>
      </c>
      <c r="E211" s="73">
        <f t="shared" si="109"/>
        <v>0</v>
      </c>
      <c r="F211" s="73">
        <f t="shared" si="109"/>
        <v>0</v>
      </c>
      <c r="G211" s="73">
        <f t="shared" si="109"/>
        <v>0</v>
      </c>
      <c r="H211" s="73">
        <f t="shared" si="109"/>
        <v>0</v>
      </c>
      <c r="I211" s="73">
        <f t="shared" si="109"/>
        <v>0</v>
      </c>
      <c r="J211" s="73">
        <f t="shared" si="109"/>
        <v>0</v>
      </c>
      <c r="K211" s="3" t="str">
        <f>IF(ISBLANK(L211),"",MAX(K$5:K210)+1)</f>
        <v/>
      </c>
      <c r="L211" s="32"/>
    </row>
    <row r="212" spans="2:12">
      <c r="B212" s="52" t="str">
        <f>B203</f>
        <v>Preferred, B</v>
      </c>
      <c r="C212" s="30" t="str">
        <f t="shared" si="108"/>
        <v>$</v>
      </c>
      <c r="D212" s="73">
        <f t="shared" ref="D212:J212" si="110">IFERROR(D203/$E24,0)</f>
        <v>0</v>
      </c>
      <c r="E212" s="73">
        <f t="shared" si="110"/>
        <v>0</v>
      </c>
      <c r="F212" s="73">
        <f t="shared" si="110"/>
        <v>0</v>
      </c>
      <c r="G212" s="73">
        <f t="shared" si="110"/>
        <v>0</v>
      </c>
      <c r="H212" s="73">
        <f t="shared" si="110"/>
        <v>0</v>
      </c>
      <c r="I212" s="73">
        <f t="shared" si="110"/>
        <v>0</v>
      </c>
      <c r="J212" s="73">
        <f t="shared" si="110"/>
        <v>0</v>
      </c>
      <c r="K212" s="3" t="str">
        <f>IF(ISBLANK(L212),"",MAX(K$5:K211)+1)</f>
        <v/>
      </c>
      <c r="L212" s="32"/>
    </row>
    <row r="213" spans="2:12">
      <c r="B213" s="52" t="str">
        <f>B204</f>
        <v>Preferred, A</v>
      </c>
      <c r="C213" s="30" t="str">
        <f t="shared" si="108"/>
        <v>$</v>
      </c>
      <c r="D213" s="73">
        <f t="shared" ref="D213:J213" si="111">IFERROR(D204/$F24,0)</f>
        <v>0</v>
      </c>
      <c r="E213" s="73">
        <f t="shared" si="111"/>
        <v>0</v>
      </c>
      <c r="F213" s="73">
        <f t="shared" si="111"/>
        <v>0</v>
      </c>
      <c r="G213" s="73">
        <f t="shared" si="111"/>
        <v>0</v>
      </c>
      <c r="H213" s="73">
        <f t="shared" si="111"/>
        <v>0</v>
      </c>
      <c r="I213" s="73">
        <f t="shared" si="111"/>
        <v>0</v>
      </c>
      <c r="J213" s="73">
        <f t="shared" si="111"/>
        <v>0</v>
      </c>
      <c r="K213" s="3" t="str">
        <f>IF(ISBLANK(L213),"",MAX(K$5:K212)+1)</f>
        <v/>
      </c>
      <c r="L213" s="32"/>
    </row>
    <row r="214" spans="2:12">
      <c r="B214" s="52" t="str">
        <f>B205</f>
        <v>Preferred, Seed</v>
      </c>
      <c r="C214" s="30" t="str">
        <f t="shared" si="108"/>
        <v>$</v>
      </c>
      <c r="D214" s="73">
        <f t="shared" ref="D214:J214" si="112">IFERROR(D205/$G24,0)</f>
        <v>0</v>
      </c>
      <c r="E214" s="73">
        <f t="shared" si="112"/>
        <v>0</v>
      </c>
      <c r="F214" s="73">
        <f t="shared" si="112"/>
        <v>0</v>
      </c>
      <c r="G214" s="73">
        <f t="shared" si="112"/>
        <v>0</v>
      </c>
      <c r="H214" s="73">
        <f t="shared" si="112"/>
        <v>0</v>
      </c>
      <c r="I214" s="73">
        <f t="shared" si="112"/>
        <v>0</v>
      </c>
      <c r="J214" s="73">
        <f t="shared" si="112"/>
        <v>0</v>
      </c>
      <c r="K214" s="3" t="str">
        <f>IF(ISBLANK(L214),"",MAX(K$5:K213)+1)</f>
        <v/>
      </c>
      <c r="L214" s="32"/>
    </row>
    <row r="215" spans="2:12">
      <c r="B215" s="52" t="str">
        <f>B206</f>
        <v>Common (including Options)</v>
      </c>
      <c r="C215" s="30" t="str">
        <f t="shared" si="108"/>
        <v>$</v>
      </c>
      <c r="D215" s="73">
        <f t="shared" ref="D215:J215" si="113">IFERROR(D206/($H24+$I24),0)</f>
        <v>0</v>
      </c>
      <c r="E215" s="73">
        <f t="shared" si="113"/>
        <v>0</v>
      </c>
      <c r="F215" s="73">
        <f t="shared" si="113"/>
        <v>0</v>
      </c>
      <c r="G215" s="73">
        <f t="shared" si="113"/>
        <v>0</v>
      </c>
      <c r="H215" s="73">
        <f t="shared" si="113"/>
        <v>0</v>
      </c>
      <c r="I215" s="73">
        <f t="shared" si="113"/>
        <v>0</v>
      </c>
      <c r="J215" s="73">
        <f t="shared" si="113"/>
        <v>0</v>
      </c>
      <c r="K215" s="3" t="str">
        <f>IF(ISBLANK(L215),"",MAX(K$5:K214)+1)</f>
        <v/>
      </c>
      <c r="L215" s="32"/>
    </row>
    <row r="216" spans="2:12">
      <c r="K216" s="3" t="str">
        <f>IF(ISBLANK(L216),"",MAX(K$5:K215)+1)</f>
        <v/>
      </c>
      <c r="L216" s="32"/>
    </row>
    <row r="217" spans="2:12">
      <c r="B217" s="34" t="s">
        <v>92</v>
      </c>
      <c r="D217" s="28"/>
      <c r="E217" s="28"/>
      <c r="F217" s="28"/>
      <c r="G217" s="28"/>
      <c r="H217" s="28"/>
      <c r="I217" s="28"/>
      <c r="J217" s="28"/>
      <c r="K217" s="3" t="str">
        <f>IF(ISBLANK(L217),"",MAX(K$5:K216)+1)</f>
        <v/>
      </c>
      <c r="L217" s="32"/>
    </row>
    <row r="218" spans="2:12">
      <c r="B218" s="31" t="str">
        <f>B99</f>
        <v>Preferred, C</v>
      </c>
      <c r="C218" s="30" t="str">
        <f t="shared" ref="C218:C223" si="114">C$5</f>
        <v>$</v>
      </c>
      <c r="D218" s="47">
        <f t="shared" ref="D218:J218" si="115">IF($D$50=$B$328,MIN(D100,$D61),IF($D$50=$B$327,IF(D110=0,0,MIN(D100,$D61)),IF(D108&gt;D103,0,MIN(D100,$D61))))</f>
        <v>0</v>
      </c>
      <c r="E218" s="47">
        <f t="shared" si="115"/>
        <v>0</v>
      </c>
      <c r="F218" s="47">
        <f t="shared" si="115"/>
        <v>0</v>
      </c>
      <c r="G218" s="47">
        <f t="shared" si="115"/>
        <v>0</v>
      </c>
      <c r="H218" s="47">
        <f t="shared" si="115"/>
        <v>0</v>
      </c>
      <c r="I218" s="47">
        <f t="shared" si="115"/>
        <v>0</v>
      </c>
      <c r="J218" s="47">
        <f t="shared" si="115"/>
        <v>0</v>
      </c>
      <c r="K218" s="3">
        <f>IF(ISBLANK(L218),"",MAX(K$5:K217)+1)</f>
        <v>69</v>
      </c>
      <c r="L218" s="32" t="s">
        <v>93</v>
      </c>
    </row>
    <row r="219" spans="2:12">
      <c r="B219" s="31" t="str">
        <f>B121</f>
        <v>Preferred, B</v>
      </c>
      <c r="C219" s="30" t="str">
        <f t="shared" si="114"/>
        <v>$</v>
      </c>
      <c r="D219" s="47">
        <f t="shared" ref="D219:J219" si="116">IF($D$50=$B$328,MIN(D122,$E61),IF($D$50=$B$327,IF(D132=0,0,MIN(D122,$E61)),IF(D130&gt;D125,0,MIN(D122,$E61))))</f>
        <v>0</v>
      </c>
      <c r="E219" s="47">
        <f t="shared" si="116"/>
        <v>0</v>
      </c>
      <c r="F219" s="47">
        <f t="shared" si="116"/>
        <v>0</v>
      </c>
      <c r="G219" s="47">
        <f t="shared" si="116"/>
        <v>0</v>
      </c>
      <c r="H219" s="47">
        <f t="shared" si="116"/>
        <v>0</v>
      </c>
      <c r="I219" s="47">
        <f t="shared" si="116"/>
        <v>0</v>
      </c>
      <c r="J219" s="47">
        <f t="shared" si="116"/>
        <v>0</v>
      </c>
      <c r="K219" s="3" t="str">
        <f>IF(ISBLANK(L219),"",MAX(K$5:K218)+1)</f>
        <v/>
      </c>
      <c r="L219" s="32"/>
    </row>
    <row r="220" spans="2:12">
      <c r="B220" s="31" t="str">
        <f>B143</f>
        <v>Preferred, A</v>
      </c>
      <c r="C220" s="30" t="str">
        <f t="shared" si="114"/>
        <v>$</v>
      </c>
      <c r="D220" s="47">
        <f t="shared" ref="D220:J220" si="117">IF($F$50=$B$328,MIN(D144,$F61),IF($F$50=$B$327,IF(D154=0,0,MIN(D144,$F61)),IF(D152&gt;D147,0,MIN(D144,$F61))))</f>
        <v>0</v>
      </c>
      <c r="E220" s="47">
        <f t="shared" si="117"/>
        <v>0</v>
      </c>
      <c r="F220" s="47">
        <f t="shared" si="117"/>
        <v>0</v>
      </c>
      <c r="G220" s="47">
        <f t="shared" si="117"/>
        <v>0</v>
      </c>
      <c r="H220" s="47">
        <f t="shared" si="117"/>
        <v>0</v>
      </c>
      <c r="I220" s="47">
        <f t="shared" si="117"/>
        <v>0</v>
      </c>
      <c r="J220" s="47">
        <f t="shared" si="117"/>
        <v>0</v>
      </c>
      <c r="K220" s="3" t="str">
        <f>IF(ISBLANK(L220),"",MAX(K$5:K219)+1)</f>
        <v/>
      </c>
      <c r="L220" s="32"/>
    </row>
    <row r="221" spans="2:12">
      <c r="B221" s="31" t="str">
        <f>B165</f>
        <v>Preferred, Seed</v>
      </c>
      <c r="C221" s="30" t="str">
        <f t="shared" si="114"/>
        <v>$</v>
      </c>
      <c r="D221" s="47">
        <f t="shared" ref="D221:J221" si="118">IF($G$50=$B$328,MIN(D166,$G61),IF($G$50=$B$327,IF(AND(D182=0,D174&gt;D169),0,MIN(D166,$G61)),IF(D174&gt;D169,0,MIN(D166,$G61))))</f>
        <v>0</v>
      </c>
      <c r="E221" s="47">
        <f t="shared" si="118"/>
        <v>0</v>
      </c>
      <c r="F221" s="47">
        <f t="shared" si="118"/>
        <v>0</v>
      </c>
      <c r="G221" s="47">
        <f t="shared" si="118"/>
        <v>0</v>
      </c>
      <c r="H221" s="47">
        <f t="shared" si="118"/>
        <v>0</v>
      </c>
      <c r="I221" s="47">
        <f t="shared" si="118"/>
        <v>0</v>
      </c>
      <c r="J221" s="47">
        <f t="shared" si="118"/>
        <v>0</v>
      </c>
      <c r="K221" s="3" t="str">
        <f>IF(ISBLANK(L221),"",MAX(K$5:K220)+1)</f>
        <v/>
      </c>
      <c r="L221" s="41"/>
    </row>
    <row r="222" spans="2:12">
      <c r="B222" s="31" t="str">
        <f>B187&amp;" (including Options)"</f>
        <v>Common (including Options)</v>
      </c>
      <c r="C222" s="30" t="str">
        <f t="shared" si="114"/>
        <v>$</v>
      </c>
      <c r="D222" s="47">
        <v>0</v>
      </c>
      <c r="E222" s="47">
        <v>0</v>
      </c>
      <c r="F222" s="47">
        <v>0</v>
      </c>
      <c r="G222" s="47">
        <v>0</v>
      </c>
      <c r="H222" s="47">
        <v>0</v>
      </c>
      <c r="I222" s="47">
        <v>0</v>
      </c>
      <c r="J222" s="47">
        <v>0</v>
      </c>
      <c r="K222" s="3" t="str">
        <f>IF(ISBLANK(L222),"",MAX(K$5:K221)+1)</f>
        <v/>
      </c>
      <c r="L222" s="41"/>
    </row>
    <row r="223" spans="2:12">
      <c r="B223" s="31" t="s">
        <v>28</v>
      </c>
      <c r="C223" s="30" t="str">
        <f t="shared" si="114"/>
        <v>$</v>
      </c>
      <c r="D223" s="54">
        <f t="shared" ref="D223:J223" si="119">SUM(D218:D222)</f>
        <v>0</v>
      </c>
      <c r="E223" s="54">
        <f t="shared" si="119"/>
        <v>0</v>
      </c>
      <c r="F223" s="54">
        <f t="shared" si="119"/>
        <v>0</v>
      </c>
      <c r="G223" s="54">
        <f t="shared" si="119"/>
        <v>0</v>
      </c>
      <c r="H223" s="54">
        <f t="shared" si="119"/>
        <v>0</v>
      </c>
      <c r="I223" s="54">
        <f t="shared" si="119"/>
        <v>0</v>
      </c>
      <c r="J223" s="54">
        <f t="shared" si="119"/>
        <v>0</v>
      </c>
      <c r="K223" s="3" t="str">
        <f>IF(ISBLANK(L223),"",MAX(K$5:K222)+1)</f>
        <v/>
      </c>
      <c r="L223" s="4"/>
    </row>
    <row r="224" spans="2:12">
      <c r="K224" s="3" t="str">
        <f>IF(ISBLANK(L224),"",MAX(K$5:K223)+1)</f>
        <v/>
      </c>
      <c r="L224" s="4"/>
    </row>
    <row r="225" spans="2:12">
      <c r="B225" s="57" t="s">
        <v>125</v>
      </c>
      <c r="K225" s="3">
        <f>IF(ISBLANK(L225),"",MAX(K$5:K224)+1)</f>
        <v>70</v>
      </c>
      <c r="L225" s="4" t="s">
        <v>126</v>
      </c>
    </row>
    <row r="226" spans="2:12" outlineLevel="1">
      <c r="B226" s="58" t="str">
        <f t="shared" ref="B226:B233" si="120">B14</f>
        <v>Investor</v>
      </c>
      <c r="C226" s="30" t="str">
        <f t="shared" ref="C226:C234" si="121">C$5</f>
        <v>$</v>
      </c>
      <c r="D226" s="8">
        <v>0</v>
      </c>
      <c r="E226" s="8">
        <v>0</v>
      </c>
      <c r="F226" s="8">
        <v>0</v>
      </c>
      <c r="G226" s="8">
        <v>0</v>
      </c>
      <c r="H226" s="8">
        <v>0</v>
      </c>
      <c r="I226" s="8">
        <v>0</v>
      </c>
      <c r="J226" s="8">
        <v>0</v>
      </c>
      <c r="K226" s="3">
        <f>IF(ISBLANK(L226),"",MAX(K$5:K225)+1)</f>
        <v>71</v>
      </c>
      <c r="L226" s="4" t="s">
        <v>127</v>
      </c>
    </row>
    <row r="227" spans="2:12" outlineLevel="1">
      <c r="B227" s="58" t="str">
        <f t="shared" si="120"/>
        <v>Investor</v>
      </c>
      <c r="C227" s="30" t="str">
        <f t="shared" si="121"/>
        <v>$</v>
      </c>
      <c r="D227" s="8">
        <v>0</v>
      </c>
      <c r="E227" s="8">
        <v>0</v>
      </c>
      <c r="F227" s="8">
        <v>0</v>
      </c>
      <c r="G227" s="8">
        <v>0</v>
      </c>
      <c r="H227" s="8">
        <v>0</v>
      </c>
      <c r="I227" s="8">
        <v>0</v>
      </c>
      <c r="J227" s="8">
        <v>0</v>
      </c>
      <c r="K227" s="3" t="str">
        <f>IF(ISBLANK(L227),"",MAX(K$5:K226)+1)</f>
        <v/>
      </c>
      <c r="L227" s="4"/>
    </row>
    <row r="228" spans="2:12" outlineLevel="1">
      <c r="B228" s="58" t="str">
        <f t="shared" si="120"/>
        <v>Investor</v>
      </c>
      <c r="C228" s="30" t="str">
        <f t="shared" si="121"/>
        <v>$</v>
      </c>
      <c r="D228" s="8">
        <v>0</v>
      </c>
      <c r="E228" s="8">
        <v>0</v>
      </c>
      <c r="F228" s="8">
        <v>0</v>
      </c>
      <c r="G228" s="8">
        <v>0</v>
      </c>
      <c r="H228" s="8">
        <v>0</v>
      </c>
      <c r="I228" s="8">
        <v>0</v>
      </c>
      <c r="J228" s="8">
        <v>0</v>
      </c>
      <c r="K228" s="3" t="str">
        <f>IF(ISBLANK(L228),"",MAX(K$5:K227)+1)</f>
        <v/>
      </c>
      <c r="L228" s="4"/>
    </row>
    <row r="229" spans="2:12" outlineLevel="1">
      <c r="B229" s="58" t="str">
        <f t="shared" si="120"/>
        <v>Investor</v>
      </c>
      <c r="C229" s="30" t="str">
        <f t="shared" si="121"/>
        <v>$</v>
      </c>
      <c r="D229" s="8">
        <v>0</v>
      </c>
      <c r="E229" s="8">
        <v>0</v>
      </c>
      <c r="F229" s="8">
        <v>0</v>
      </c>
      <c r="G229" s="8">
        <v>0</v>
      </c>
      <c r="H229" s="8">
        <v>0</v>
      </c>
      <c r="I229" s="8">
        <v>0</v>
      </c>
      <c r="J229" s="8">
        <v>0</v>
      </c>
      <c r="K229" s="3" t="str">
        <f>IF(ISBLANK(L229),"",MAX(K$5:K228)+1)</f>
        <v/>
      </c>
      <c r="L229" s="4"/>
    </row>
    <row r="230" spans="2:12" outlineLevel="1">
      <c r="B230" s="58" t="str">
        <f t="shared" si="120"/>
        <v>Investor</v>
      </c>
      <c r="C230" s="30" t="str">
        <f t="shared" si="121"/>
        <v>$</v>
      </c>
      <c r="D230" s="8">
        <v>0</v>
      </c>
      <c r="E230" s="8">
        <v>0</v>
      </c>
      <c r="F230" s="8">
        <v>0</v>
      </c>
      <c r="G230" s="8">
        <v>0</v>
      </c>
      <c r="H230" s="8">
        <v>0</v>
      </c>
      <c r="I230" s="8">
        <v>0</v>
      </c>
      <c r="J230" s="8">
        <v>0</v>
      </c>
      <c r="K230" s="3" t="str">
        <f>IF(ISBLANK(L230),"",MAX(K$5:K229)+1)</f>
        <v/>
      </c>
      <c r="L230" s="4"/>
    </row>
    <row r="231" spans="2:12" outlineLevel="1">
      <c r="B231" s="58" t="str">
        <f t="shared" si="120"/>
        <v>Investor</v>
      </c>
      <c r="C231" s="30" t="str">
        <f t="shared" si="121"/>
        <v>$</v>
      </c>
      <c r="D231" s="8">
        <v>0</v>
      </c>
      <c r="E231" s="8">
        <v>0</v>
      </c>
      <c r="F231" s="8">
        <v>0</v>
      </c>
      <c r="G231" s="8">
        <v>0</v>
      </c>
      <c r="H231" s="8">
        <v>0</v>
      </c>
      <c r="I231" s="8">
        <v>0</v>
      </c>
      <c r="J231" s="8">
        <v>0</v>
      </c>
      <c r="K231" s="3" t="str">
        <f>IF(ISBLANK(L231),"",MAX(K$5:K230)+1)</f>
        <v/>
      </c>
      <c r="L231" s="4"/>
    </row>
    <row r="232" spans="2:12" outlineLevel="1">
      <c r="B232" s="58" t="str">
        <f t="shared" si="120"/>
        <v>Investor</v>
      </c>
      <c r="C232" s="30" t="str">
        <f t="shared" si="121"/>
        <v>$</v>
      </c>
      <c r="D232" s="8">
        <v>0</v>
      </c>
      <c r="E232" s="8">
        <v>0</v>
      </c>
      <c r="F232" s="8">
        <v>0</v>
      </c>
      <c r="G232" s="8">
        <v>0</v>
      </c>
      <c r="H232" s="8">
        <v>0</v>
      </c>
      <c r="I232" s="8">
        <v>0</v>
      </c>
      <c r="J232" s="8">
        <v>0</v>
      </c>
      <c r="K232" s="3" t="str">
        <f>IF(ISBLANK(L232),"",MAX(K$5:K231)+1)</f>
        <v/>
      </c>
      <c r="L232" s="4"/>
    </row>
    <row r="233" spans="2:12" outlineLevel="1">
      <c r="B233" s="58" t="str">
        <f t="shared" si="120"/>
        <v>Options Exercised</v>
      </c>
      <c r="C233" s="30" t="str">
        <f t="shared" si="121"/>
        <v>$</v>
      </c>
      <c r="D233" s="8">
        <v>0</v>
      </c>
      <c r="E233" s="8">
        <v>0</v>
      </c>
      <c r="F233" s="8">
        <v>0</v>
      </c>
      <c r="G233" s="8">
        <v>0</v>
      </c>
      <c r="H233" s="8">
        <v>0</v>
      </c>
      <c r="I233" s="8">
        <v>0</v>
      </c>
      <c r="J233" s="8">
        <v>0</v>
      </c>
      <c r="K233" s="3" t="str">
        <f>IF(ISBLANK(L233),"",MAX(K$5:K232)+1)</f>
        <v/>
      </c>
      <c r="L233" s="4"/>
    </row>
    <row r="234" spans="2:12" outlineLevel="1">
      <c r="B234" s="59" t="s">
        <v>28</v>
      </c>
      <c r="C234" s="30" t="str">
        <f t="shared" si="121"/>
        <v>$</v>
      </c>
      <c r="D234" s="54">
        <f t="shared" ref="D234:J234" si="122">SUM(D226:D233)</f>
        <v>0</v>
      </c>
      <c r="E234" s="54">
        <f t="shared" si="122"/>
        <v>0</v>
      </c>
      <c r="F234" s="54">
        <f t="shared" si="122"/>
        <v>0</v>
      </c>
      <c r="G234" s="54">
        <f t="shared" si="122"/>
        <v>0</v>
      </c>
      <c r="H234" s="54">
        <f t="shared" si="122"/>
        <v>0</v>
      </c>
      <c r="I234" s="54">
        <f t="shared" si="122"/>
        <v>0</v>
      </c>
      <c r="J234" s="54">
        <f t="shared" si="122"/>
        <v>0</v>
      </c>
      <c r="K234" s="3" t="str">
        <f>IF(ISBLANK(L234),"",MAX(K$5:K233)+1)</f>
        <v/>
      </c>
      <c r="L234" s="4"/>
    </row>
    <row r="235" spans="2:12" outlineLevel="1">
      <c r="B235" s="58"/>
      <c r="K235" s="3" t="str">
        <f>IF(ISBLANK(L235),"",MAX(K$5:K234)+1)</f>
        <v/>
      </c>
      <c r="L235" s="4"/>
    </row>
    <row r="236" spans="2:12">
      <c r="K236" s="3" t="str">
        <f>IF(ISBLANK(L236),"",MAX(K$5:K235)+1)</f>
        <v/>
      </c>
      <c r="L236" s="4"/>
    </row>
    <row r="237" spans="2:12">
      <c r="B237" s="60" t="s">
        <v>94</v>
      </c>
      <c r="K237" s="3">
        <f>IF(ISBLANK(L237),"",MAX(K$5:K236)+1)</f>
        <v>72</v>
      </c>
      <c r="L237" s="4" t="s">
        <v>95</v>
      </c>
    </row>
    <row r="238" spans="2:12">
      <c r="B238" s="56"/>
      <c r="K238" s="3">
        <f>IF(ISBLANK(L238),"",MAX(K$5:K237)+1)</f>
        <v>73</v>
      </c>
      <c r="L238" s="4" t="s">
        <v>96</v>
      </c>
    </row>
    <row r="239" spans="2:12">
      <c r="B239" s="47" t="str">
        <f t="shared" ref="B239:B246" si="123">B14</f>
        <v>Investor</v>
      </c>
      <c r="C239" s="30" t="str">
        <f t="shared" ref="C239:C248" si="124">C$5</f>
        <v>$</v>
      </c>
      <c r="D239" s="35">
        <f t="shared" ref="D239:J246" si="125">D$211*$D14+$E14*D$212+$F14*D$213+$G14*D$214+($H14+$I14)*D$215+D226</f>
        <v>0</v>
      </c>
      <c r="E239" s="35">
        <f t="shared" si="125"/>
        <v>0</v>
      </c>
      <c r="F239" s="35">
        <f t="shared" si="125"/>
        <v>0</v>
      </c>
      <c r="G239" s="35">
        <f t="shared" si="125"/>
        <v>0</v>
      </c>
      <c r="H239" s="35">
        <f t="shared" si="125"/>
        <v>0</v>
      </c>
      <c r="I239" s="35">
        <f t="shared" si="125"/>
        <v>0</v>
      </c>
      <c r="J239" s="35">
        <f t="shared" si="125"/>
        <v>0</v>
      </c>
      <c r="K239" s="3" t="str">
        <f>IF(ISBLANK(L239),"",MAX(K$5:K238)+1)</f>
        <v/>
      </c>
    </row>
    <row r="240" spans="2:12">
      <c r="B240" s="47" t="str">
        <f t="shared" si="123"/>
        <v>Investor</v>
      </c>
      <c r="C240" s="30" t="str">
        <f t="shared" si="124"/>
        <v>$</v>
      </c>
      <c r="D240" s="35">
        <f t="shared" si="125"/>
        <v>0</v>
      </c>
      <c r="E240" s="35">
        <f t="shared" si="125"/>
        <v>0</v>
      </c>
      <c r="F240" s="35">
        <f t="shared" si="125"/>
        <v>0</v>
      </c>
      <c r="G240" s="35">
        <f t="shared" si="125"/>
        <v>0</v>
      </c>
      <c r="H240" s="35">
        <f t="shared" si="125"/>
        <v>0</v>
      </c>
      <c r="I240" s="35">
        <f t="shared" si="125"/>
        <v>0</v>
      </c>
      <c r="J240" s="35">
        <f t="shared" si="125"/>
        <v>0</v>
      </c>
      <c r="K240" s="3" t="str">
        <f>IF(ISBLANK(L240),"",MAX(K$5:K239)+1)</f>
        <v/>
      </c>
    </row>
    <row r="241" spans="2:12">
      <c r="B241" s="47" t="str">
        <f t="shared" si="123"/>
        <v>Investor</v>
      </c>
      <c r="C241" s="30" t="str">
        <f t="shared" si="124"/>
        <v>$</v>
      </c>
      <c r="D241" s="35">
        <f t="shared" si="125"/>
        <v>0</v>
      </c>
      <c r="E241" s="35">
        <f t="shared" si="125"/>
        <v>0</v>
      </c>
      <c r="F241" s="35">
        <f t="shared" si="125"/>
        <v>0</v>
      </c>
      <c r="G241" s="35">
        <f t="shared" si="125"/>
        <v>0</v>
      </c>
      <c r="H241" s="35">
        <f t="shared" si="125"/>
        <v>0</v>
      </c>
      <c r="I241" s="35">
        <f t="shared" si="125"/>
        <v>0</v>
      </c>
      <c r="J241" s="35">
        <f t="shared" si="125"/>
        <v>0</v>
      </c>
      <c r="K241" s="3" t="str">
        <f>IF(ISBLANK(L241),"",MAX(K$5:K240)+1)</f>
        <v/>
      </c>
    </row>
    <row r="242" spans="2:12">
      <c r="B242" s="47" t="str">
        <f t="shared" si="123"/>
        <v>Investor</v>
      </c>
      <c r="C242" s="30" t="str">
        <f t="shared" si="124"/>
        <v>$</v>
      </c>
      <c r="D242" s="35">
        <f t="shared" si="125"/>
        <v>0</v>
      </c>
      <c r="E242" s="35">
        <f t="shared" si="125"/>
        <v>0</v>
      </c>
      <c r="F242" s="35">
        <f t="shared" si="125"/>
        <v>0</v>
      </c>
      <c r="G242" s="35">
        <f t="shared" si="125"/>
        <v>0</v>
      </c>
      <c r="H242" s="35">
        <f t="shared" si="125"/>
        <v>0</v>
      </c>
      <c r="I242" s="35">
        <f t="shared" si="125"/>
        <v>0</v>
      </c>
      <c r="J242" s="35">
        <f t="shared" si="125"/>
        <v>0</v>
      </c>
      <c r="K242" s="3" t="str">
        <f>IF(ISBLANK(L242),"",MAX(K$5:K241)+1)</f>
        <v/>
      </c>
    </row>
    <row r="243" spans="2:12">
      <c r="B243" s="47" t="str">
        <f t="shared" si="123"/>
        <v>Investor</v>
      </c>
      <c r="C243" s="30" t="str">
        <f t="shared" si="124"/>
        <v>$</v>
      </c>
      <c r="D243" s="35">
        <f t="shared" si="125"/>
        <v>0</v>
      </c>
      <c r="E243" s="35">
        <f t="shared" si="125"/>
        <v>0</v>
      </c>
      <c r="F243" s="35">
        <f t="shared" si="125"/>
        <v>0</v>
      </c>
      <c r="G243" s="35">
        <f t="shared" si="125"/>
        <v>0</v>
      </c>
      <c r="H243" s="35">
        <f t="shared" si="125"/>
        <v>0</v>
      </c>
      <c r="I243" s="35">
        <f t="shared" si="125"/>
        <v>0</v>
      </c>
      <c r="J243" s="35">
        <f t="shared" si="125"/>
        <v>0</v>
      </c>
      <c r="K243" s="3" t="str">
        <f>IF(ISBLANK(L243),"",MAX(K$5:K242)+1)</f>
        <v/>
      </c>
    </row>
    <row r="244" spans="2:12">
      <c r="B244" s="47" t="str">
        <f t="shared" si="123"/>
        <v>Investor</v>
      </c>
      <c r="C244" s="30" t="str">
        <f t="shared" si="124"/>
        <v>$</v>
      </c>
      <c r="D244" s="35">
        <f t="shared" si="125"/>
        <v>0</v>
      </c>
      <c r="E244" s="35">
        <f t="shared" si="125"/>
        <v>0</v>
      </c>
      <c r="F244" s="35">
        <f t="shared" si="125"/>
        <v>0</v>
      </c>
      <c r="G244" s="35">
        <f t="shared" si="125"/>
        <v>0</v>
      </c>
      <c r="H244" s="35">
        <f t="shared" si="125"/>
        <v>0</v>
      </c>
      <c r="I244" s="35">
        <f t="shared" si="125"/>
        <v>0</v>
      </c>
      <c r="J244" s="35">
        <f t="shared" si="125"/>
        <v>0</v>
      </c>
      <c r="K244" s="3" t="str">
        <f>IF(ISBLANK(L244),"",MAX(K$5:K243)+1)</f>
        <v/>
      </c>
    </row>
    <row r="245" spans="2:12">
      <c r="B245" s="47" t="str">
        <f t="shared" si="123"/>
        <v>Investor</v>
      </c>
      <c r="C245" s="30" t="str">
        <f t="shared" si="124"/>
        <v>$</v>
      </c>
      <c r="D245" s="35">
        <f t="shared" si="125"/>
        <v>0</v>
      </c>
      <c r="E245" s="35">
        <f t="shared" si="125"/>
        <v>0</v>
      </c>
      <c r="F245" s="35">
        <f t="shared" si="125"/>
        <v>0</v>
      </c>
      <c r="G245" s="35">
        <f t="shared" si="125"/>
        <v>0</v>
      </c>
      <c r="H245" s="35">
        <f t="shared" si="125"/>
        <v>0</v>
      </c>
      <c r="I245" s="35">
        <f t="shared" si="125"/>
        <v>0</v>
      </c>
      <c r="J245" s="35">
        <f t="shared" si="125"/>
        <v>0</v>
      </c>
      <c r="K245" s="3" t="str">
        <f>IF(ISBLANK(L245),"",MAX(K$5:K244)+1)</f>
        <v/>
      </c>
      <c r="L245" s="4"/>
    </row>
    <row r="246" spans="2:12">
      <c r="B246" s="47" t="str">
        <f t="shared" si="123"/>
        <v>Options Exercised</v>
      </c>
      <c r="C246" s="30" t="str">
        <f t="shared" si="124"/>
        <v>$</v>
      </c>
      <c r="D246" s="35">
        <f t="shared" si="125"/>
        <v>0</v>
      </c>
      <c r="E246" s="35">
        <f t="shared" si="125"/>
        <v>0</v>
      </c>
      <c r="F246" s="35">
        <f t="shared" si="125"/>
        <v>0</v>
      </c>
      <c r="G246" s="35">
        <f t="shared" si="125"/>
        <v>0</v>
      </c>
      <c r="H246" s="35">
        <f t="shared" si="125"/>
        <v>0</v>
      </c>
      <c r="I246" s="35">
        <f t="shared" si="125"/>
        <v>0</v>
      </c>
      <c r="J246" s="35">
        <f t="shared" si="125"/>
        <v>0</v>
      </c>
      <c r="K246" s="3" t="str">
        <f>IF(ISBLANK(L246),"",MAX(K$5:K245)+1)</f>
        <v/>
      </c>
      <c r="L246" s="4"/>
    </row>
    <row r="247" spans="2:12">
      <c r="B247" s="47" t="s">
        <v>28</v>
      </c>
      <c r="C247" s="30" t="str">
        <f t="shared" si="124"/>
        <v>$</v>
      </c>
      <c r="D247" s="54">
        <f t="shared" ref="D247:J247" si="126">SUM(D239:D246)</f>
        <v>0</v>
      </c>
      <c r="E247" s="54">
        <f t="shared" si="126"/>
        <v>0</v>
      </c>
      <c r="F247" s="54">
        <f t="shared" si="126"/>
        <v>0</v>
      </c>
      <c r="G247" s="54">
        <f t="shared" si="126"/>
        <v>0</v>
      </c>
      <c r="H247" s="54">
        <f t="shared" si="126"/>
        <v>0</v>
      </c>
      <c r="I247" s="54">
        <f t="shared" si="126"/>
        <v>0</v>
      </c>
      <c r="J247" s="54">
        <f t="shared" si="126"/>
        <v>0</v>
      </c>
      <c r="K247" s="3" t="str">
        <f>IF(ISBLANK(L247),"",MAX(K$5:K246)+1)</f>
        <v/>
      </c>
      <c r="L247" s="4"/>
    </row>
    <row r="248" spans="2:12">
      <c r="B248" s="55" t="s">
        <v>149</v>
      </c>
      <c r="C248" s="37" t="str">
        <f t="shared" si="124"/>
        <v>$</v>
      </c>
      <c r="D248" s="47">
        <f>D247-D198</f>
        <v>0</v>
      </c>
      <c r="E248" s="47">
        <f t="shared" ref="E248:J248" si="127">E247-E198</f>
        <v>0</v>
      </c>
      <c r="F248" s="47">
        <f t="shared" si="127"/>
        <v>0</v>
      </c>
      <c r="G248" s="47">
        <f t="shared" si="127"/>
        <v>0</v>
      </c>
      <c r="H248" s="47">
        <f t="shared" si="127"/>
        <v>0</v>
      </c>
      <c r="I248" s="47">
        <f t="shared" si="127"/>
        <v>0</v>
      </c>
      <c r="J248" s="47">
        <f t="shared" si="127"/>
        <v>0</v>
      </c>
      <c r="K248" s="3" t="str">
        <f>IF(ISBLANK(L248),"",MAX(K$5:K247)+1)</f>
        <v/>
      </c>
      <c r="L248" s="4"/>
    </row>
    <row r="249" spans="2:12">
      <c r="K249" s="3" t="str">
        <f>IF(ISBLANK(L249),"",MAX(K$5:K248)+1)</f>
        <v/>
      </c>
      <c r="L249" s="4"/>
    </row>
    <row r="250" spans="2:12">
      <c r="B250" s="60" t="s">
        <v>97</v>
      </c>
      <c r="K250" s="3" t="str">
        <f>IF(ISBLANK(L250),"",MAX(K$5:K249)+1)</f>
        <v/>
      </c>
      <c r="L250" s="4"/>
    </row>
    <row r="251" spans="2:12">
      <c r="K251" s="3" t="str">
        <f>IF(ISBLANK(L251),"",MAX(K$5:K250)+1)</f>
        <v/>
      </c>
      <c r="L251" s="4"/>
    </row>
    <row r="252" spans="2:12">
      <c r="B252" s="47" t="str">
        <f t="shared" ref="B252:B257" si="128">B14</f>
        <v>Investor</v>
      </c>
      <c r="C252" s="42" t="s">
        <v>12</v>
      </c>
      <c r="D252" s="39" t="str">
        <f t="shared" ref="D252:J259" si="129">IFERROR((D239-SUM($D28:$I28))/(SUM($D28:$I28)),"na")</f>
        <v>na</v>
      </c>
      <c r="E252" s="39" t="str">
        <f t="shared" si="129"/>
        <v>na</v>
      </c>
      <c r="F252" s="39" t="str">
        <f t="shared" si="129"/>
        <v>na</v>
      </c>
      <c r="G252" s="39" t="str">
        <f t="shared" si="129"/>
        <v>na</v>
      </c>
      <c r="H252" s="39" t="str">
        <f t="shared" si="129"/>
        <v>na</v>
      </c>
      <c r="I252" s="39" t="str">
        <f t="shared" si="129"/>
        <v>na</v>
      </c>
      <c r="J252" s="39" t="str">
        <f t="shared" si="129"/>
        <v>na</v>
      </c>
      <c r="K252" s="3">
        <f>IF(ISBLANK(L252),"",MAX(K$5:K251)+1)</f>
        <v>74</v>
      </c>
      <c r="L252" s="4" t="s">
        <v>98</v>
      </c>
    </row>
    <row r="253" spans="2:12">
      <c r="B253" s="47" t="str">
        <f t="shared" si="128"/>
        <v>Investor</v>
      </c>
      <c r="C253" s="42" t="s">
        <v>12</v>
      </c>
      <c r="D253" s="39" t="str">
        <f t="shared" si="129"/>
        <v>na</v>
      </c>
      <c r="E253" s="39" t="str">
        <f t="shared" si="129"/>
        <v>na</v>
      </c>
      <c r="F253" s="39" t="str">
        <f t="shared" si="129"/>
        <v>na</v>
      </c>
      <c r="G253" s="39" t="str">
        <f t="shared" si="129"/>
        <v>na</v>
      </c>
      <c r="H253" s="39" t="str">
        <f t="shared" si="129"/>
        <v>na</v>
      </c>
      <c r="I253" s="39" t="str">
        <f t="shared" si="129"/>
        <v>na</v>
      </c>
      <c r="J253" s="39" t="str">
        <f t="shared" si="129"/>
        <v>na</v>
      </c>
      <c r="K253" s="3" t="str">
        <f>IF(ISBLANK(L253),"",MAX(K$5:K252)+1)</f>
        <v/>
      </c>
      <c r="L253" s="4"/>
    </row>
    <row r="254" spans="2:12">
      <c r="B254" s="47" t="str">
        <f t="shared" si="128"/>
        <v>Investor</v>
      </c>
      <c r="C254" s="42" t="s">
        <v>12</v>
      </c>
      <c r="D254" s="39" t="str">
        <f t="shared" si="129"/>
        <v>na</v>
      </c>
      <c r="E254" s="39" t="str">
        <f t="shared" si="129"/>
        <v>na</v>
      </c>
      <c r="F254" s="39" t="str">
        <f t="shared" si="129"/>
        <v>na</v>
      </c>
      <c r="G254" s="39" t="str">
        <f t="shared" si="129"/>
        <v>na</v>
      </c>
      <c r="H254" s="39" t="str">
        <f t="shared" si="129"/>
        <v>na</v>
      </c>
      <c r="I254" s="39" t="str">
        <f t="shared" si="129"/>
        <v>na</v>
      </c>
      <c r="J254" s="39" t="str">
        <f t="shared" si="129"/>
        <v>na</v>
      </c>
      <c r="K254" s="3" t="str">
        <f>IF(ISBLANK(L254),"",MAX(K$5:K253)+1)</f>
        <v/>
      </c>
      <c r="L254" s="4"/>
    </row>
    <row r="255" spans="2:12">
      <c r="B255" s="47" t="str">
        <f t="shared" si="128"/>
        <v>Investor</v>
      </c>
      <c r="C255" s="42" t="s">
        <v>12</v>
      </c>
      <c r="D255" s="39" t="str">
        <f t="shared" si="129"/>
        <v>na</v>
      </c>
      <c r="E255" s="39" t="str">
        <f t="shared" si="129"/>
        <v>na</v>
      </c>
      <c r="F255" s="39" t="str">
        <f t="shared" si="129"/>
        <v>na</v>
      </c>
      <c r="G255" s="39" t="str">
        <f t="shared" si="129"/>
        <v>na</v>
      </c>
      <c r="H255" s="39" t="str">
        <f t="shared" si="129"/>
        <v>na</v>
      </c>
      <c r="I255" s="39" t="str">
        <f t="shared" si="129"/>
        <v>na</v>
      </c>
      <c r="J255" s="39" t="str">
        <f t="shared" si="129"/>
        <v>na</v>
      </c>
      <c r="K255" s="3" t="str">
        <f>IF(ISBLANK(L255),"",MAX(K$5:K254)+1)</f>
        <v/>
      </c>
      <c r="L255" s="4"/>
    </row>
    <row r="256" spans="2:12">
      <c r="B256" s="47" t="str">
        <f t="shared" si="128"/>
        <v>Investor</v>
      </c>
      <c r="C256" s="42" t="s">
        <v>12</v>
      </c>
      <c r="D256" s="39" t="str">
        <f t="shared" si="129"/>
        <v>na</v>
      </c>
      <c r="E256" s="39" t="str">
        <f t="shared" si="129"/>
        <v>na</v>
      </c>
      <c r="F256" s="39" t="str">
        <f t="shared" si="129"/>
        <v>na</v>
      </c>
      <c r="G256" s="39" t="str">
        <f t="shared" si="129"/>
        <v>na</v>
      </c>
      <c r="H256" s="39" t="str">
        <f t="shared" si="129"/>
        <v>na</v>
      </c>
      <c r="I256" s="39" t="str">
        <f t="shared" si="129"/>
        <v>na</v>
      </c>
      <c r="J256" s="39" t="str">
        <f t="shared" si="129"/>
        <v>na</v>
      </c>
      <c r="K256" s="3" t="str">
        <f>IF(ISBLANK(L256),"",MAX(K$5:K255)+1)</f>
        <v/>
      </c>
      <c r="L256" s="4"/>
    </row>
    <row r="257" spans="2:12">
      <c r="B257" s="47" t="str">
        <f t="shared" si="128"/>
        <v>Investor</v>
      </c>
      <c r="C257" s="42" t="s">
        <v>12</v>
      </c>
      <c r="D257" s="39" t="str">
        <f t="shared" si="129"/>
        <v>na</v>
      </c>
      <c r="E257" s="39" t="str">
        <f t="shared" si="129"/>
        <v>na</v>
      </c>
      <c r="F257" s="39" t="str">
        <f t="shared" si="129"/>
        <v>na</v>
      </c>
      <c r="G257" s="39" t="str">
        <f t="shared" si="129"/>
        <v>na</v>
      </c>
      <c r="H257" s="39" t="str">
        <f t="shared" si="129"/>
        <v>na</v>
      </c>
      <c r="I257" s="39" t="str">
        <f t="shared" si="129"/>
        <v>na</v>
      </c>
      <c r="J257" s="39" t="str">
        <f t="shared" si="129"/>
        <v>na</v>
      </c>
      <c r="K257" s="3" t="str">
        <f>IF(ISBLANK(L257),"",MAX(K$5:K256)+1)</f>
        <v/>
      </c>
      <c r="L257" s="4"/>
    </row>
    <row r="258" spans="2:12">
      <c r="B258" s="47" t="str">
        <f>B$20</f>
        <v>Investor</v>
      </c>
      <c r="C258" s="42" t="s">
        <v>12</v>
      </c>
      <c r="D258" s="39" t="str">
        <f t="shared" si="129"/>
        <v>na</v>
      </c>
      <c r="E258" s="39" t="str">
        <f t="shared" si="129"/>
        <v>na</v>
      </c>
      <c r="F258" s="39" t="str">
        <f t="shared" si="129"/>
        <v>na</v>
      </c>
      <c r="G258" s="39" t="str">
        <f t="shared" si="129"/>
        <v>na</v>
      </c>
      <c r="H258" s="39" t="str">
        <f t="shared" si="129"/>
        <v>na</v>
      </c>
      <c r="I258" s="39" t="str">
        <f t="shared" si="129"/>
        <v>na</v>
      </c>
      <c r="J258" s="39" t="str">
        <f t="shared" si="129"/>
        <v>na</v>
      </c>
      <c r="K258" s="3" t="str">
        <f>IF(ISBLANK(L258),"",MAX(K$5:K257)+1)</f>
        <v/>
      </c>
      <c r="L258" s="4"/>
    </row>
    <row r="259" spans="2:12">
      <c r="B259" s="47" t="str">
        <f>B$21</f>
        <v>Options Exercised</v>
      </c>
      <c r="C259" s="42" t="s">
        <v>12</v>
      </c>
      <c r="D259" s="39" t="str">
        <f t="shared" si="129"/>
        <v>na</v>
      </c>
      <c r="E259" s="39" t="str">
        <f t="shared" si="129"/>
        <v>na</v>
      </c>
      <c r="F259" s="39" t="str">
        <f t="shared" si="129"/>
        <v>na</v>
      </c>
      <c r="G259" s="39" t="str">
        <f t="shared" si="129"/>
        <v>na</v>
      </c>
      <c r="H259" s="39" t="str">
        <f t="shared" si="129"/>
        <v>na</v>
      </c>
      <c r="I259" s="39" t="str">
        <f t="shared" si="129"/>
        <v>na</v>
      </c>
      <c r="J259" s="39" t="str">
        <f t="shared" si="129"/>
        <v>na</v>
      </c>
      <c r="K259" s="3" t="str">
        <f>IF(ISBLANK(L259),"",MAX(K$5:K258)+1)</f>
        <v/>
      </c>
      <c r="L259" s="4"/>
    </row>
    <row r="260" spans="2:12">
      <c r="B260" s="47" t="s">
        <v>28</v>
      </c>
      <c r="C260" s="42" t="s">
        <v>12</v>
      </c>
      <c r="D260" s="40">
        <f t="shared" ref="D260:J260" si="130">IFERROR((D247-$J39)/$J39,0)</f>
        <v>0</v>
      </c>
      <c r="E260" s="40">
        <f t="shared" si="130"/>
        <v>0</v>
      </c>
      <c r="F260" s="40">
        <f t="shared" si="130"/>
        <v>0</v>
      </c>
      <c r="G260" s="40">
        <f t="shared" si="130"/>
        <v>0</v>
      </c>
      <c r="H260" s="40">
        <f t="shared" si="130"/>
        <v>0</v>
      </c>
      <c r="I260" s="40">
        <f t="shared" si="130"/>
        <v>0</v>
      </c>
      <c r="J260" s="40">
        <f t="shared" si="130"/>
        <v>0</v>
      </c>
      <c r="K260" s="3" t="str">
        <f>IF(ISBLANK(L260),"",MAX(K$5:K259)+1)</f>
        <v/>
      </c>
    </row>
    <row r="261" spans="2:12">
      <c r="K261" s="3" t="str">
        <f>IF(ISBLANK(L261),"",MAX(K$5:K260)+1)</f>
        <v/>
      </c>
    </row>
    <row r="262" spans="2:12">
      <c r="K262" s="3" t="str">
        <f>IF(ISBLANK(L262),"",MAX(K$5:K261)+1)</f>
        <v/>
      </c>
    </row>
    <row r="263" spans="2:12">
      <c r="K263" s="3" t="str">
        <f>IF(ISBLANK(L263),"",MAX(K$5:K262)+1)</f>
        <v/>
      </c>
    </row>
    <row r="264" spans="2:12">
      <c r="K264" s="3">
        <f>IF(ISBLANK(L264),"",MAX(K$5:K263)+1)</f>
        <v>75</v>
      </c>
      <c r="L264" s="4" t="s">
        <v>128</v>
      </c>
    </row>
    <row r="265" spans="2:12">
      <c r="K265" s="3" t="str">
        <f>IF(ISBLANK(L265),"",MAX(K$5:K264)+1)</f>
        <v/>
      </c>
    </row>
    <row r="266" spans="2:12">
      <c r="K266" s="3" t="str">
        <f>IF(ISBLANK(L266),"",MAX(K$5:K265)+1)</f>
        <v/>
      </c>
    </row>
    <row r="267" spans="2:12" s="44" customFormat="1">
      <c r="C267" s="42"/>
      <c r="D267" s="41"/>
      <c r="E267" s="41"/>
      <c r="F267" s="41"/>
      <c r="G267" s="41"/>
      <c r="H267" s="41"/>
      <c r="I267" s="41"/>
      <c r="J267" s="41"/>
      <c r="K267" s="3" t="str">
        <f>IF(ISBLANK(L267),"",MAX(K$5:K266)+1)</f>
        <v/>
      </c>
    </row>
    <row r="268" spans="2:12" s="44" customFormat="1">
      <c r="C268" s="42"/>
      <c r="D268" s="41"/>
      <c r="E268" s="41"/>
      <c r="F268" s="41"/>
      <c r="G268" s="41"/>
      <c r="H268" s="41"/>
      <c r="I268" s="41"/>
      <c r="J268" s="41"/>
      <c r="K268" s="3" t="str">
        <f>IF(ISBLANK(L268),"",MAX(K$5:K267)+1)</f>
        <v/>
      </c>
    </row>
    <row r="269" spans="2:12" s="44" customFormat="1">
      <c r="C269" s="42"/>
      <c r="D269" s="41"/>
      <c r="E269" s="41"/>
      <c r="F269" s="41"/>
      <c r="G269" s="41"/>
      <c r="H269" s="41"/>
      <c r="I269" s="41"/>
      <c r="J269" s="41"/>
      <c r="K269" s="3" t="str">
        <f>IF(ISBLANK(L269),"",MAX(K$5:K268)+1)</f>
        <v/>
      </c>
    </row>
    <row r="270" spans="2:12" s="44" customFormat="1">
      <c r="C270" s="42"/>
      <c r="D270" s="41"/>
      <c r="E270" s="41"/>
      <c r="F270" s="41"/>
      <c r="G270" s="41"/>
      <c r="H270" s="41"/>
      <c r="I270" s="41"/>
      <c r="J270" s="41"/>
      <c r="K270" s="3" t="str">
        <f>IF(ISBLANK(L270),"",MAX(K$5:K269)+1)</f>
        <v/>
      </c>
    </row>
    <row r="271" spans="2:12" s="44" customFormat="1">
      <c r="C271" s="42"/>
      <c r="D271" s="41"/>
      <c r="E271" s="41"/>
      <c r="F271" s="41"/>
      <c r="G271" s="41"/>
      <c r="H271" s="41"/>
      <c r="I271" s="41"/>
      <c r="J271" s="41"/>
      <c r="K271" s="3" t="str">
        <f>IF(ISBLANK(L271),"",MAX(K$5:K270)+1)</f>
        <v/>
      </c>
    </row>
    <row r="272" spans="2:12" s="44" customFormat="1">
      <c r="C272" s="42"/>
      <c r="D272" s="41"/>
      <c r="E272" s="41"/>
      <c r="F272" s="41"/>
      <c r="G272" s="41"/>
      <c r="H272" s="41"/>
      <c r="I272" s="41"/>
      <c r="J272" s="41"/>
      <c r="K272" s="3" t="str">
        <f>IF(ISBLANK(L272),"",MAX(K$5:K271)+1)</f>
        <v/>
      </c>
    </row>
    <row r="273" spans="1:25" s="44" customFormat="1">
      <c r="C273" s="42"/>
      <c r="D273" s="41"/>
      <c r="E273" s="41"/>
      <c r="F273" s="41"/>
      <c r="G273" s="41"/>
      <c r="H273" s="41"/>
      <c r="I273" s="41"/>
      <c r="J273" s="41"/>
      <c r="K273" s="3" t="str">
        <f>IF(ISBLANK(L273),"",MAX(K$5:K272)+1)</f>
        <v/>
      </c>
    </row>
    <row r="274" spans="1:25" s="44" customFormat="1">
      <c r="C274" s="42"/>
      <c r="D274" s="41"/>
      <c r="E274" s="41"/>
      <c r="F274" s="41"/>
      <c r="G274" s="41"/>
      <c r="H274" s="41"/>
      <c r="I274" s="41"/>
      <c r="J274" s="41"/>
      <c r="K274" s="3" t="str">
        <f>IF(ISBLANK(L274),"",MAX(K$5:K273)+1)</f>
        <v/>
      </c>
    </row>
    <row r="275" spans="1:25" s="44" customFormat="1">
      <c r="C275" s="42"/>
      <c r="D275" s="41"/>
      <c r="E275" s="41"/>
      <c r="F275" s="41"/>
      <c r="G275" s="41"/>
      <c r="H275" s="41"/>
      <c r="I275" s="41"/>
      <c r="J275" s="41"/>
      <c r="K275" s="3" t="str">
        <f>IF(ISBLANK(L275),"",MAX(K$5:K274)+1)</f>
        <v/>
      </c>
    </row>
    <row r="276" spans="1:25" s="44" customFormat="1">
      <c r="C276" s="42"/>
      <c r="D276" s="41"/>
      <c r="E276" s="41"/>
      <c r="F276" s="41"/>
      <c r="G276" s="41"/>
      <c r="H276" s="41"/>
      <c r="I276" s="41"/>
      <c r="J276" s="41"/>
      <c r="K276" s="3" t="str">
        <f>IF(ISBLANK(L276),"",MAX(K$5:K275)+1)</f>
        <v/>
      </c>
    </row>
    <row r="277" spans="1:25" s="44" customFormat="1">
      <c r="C277" s="42"/>
      <c r="D277" s="41"/>
      <c r="E277" s="41"/>
      <c r="F277" s="41"/>
      <c r="G277" s="41"/>
      <c r="H277" s="41"/>
      <c r="I277" s="41"/>
      <c r="J277" s="41"/>
      <c r="K277" s="3" t="str">
        <f>IF(ISBLANK(L277),"",MAX(K$5:K276)+1)</f>
        <v/>
      </c>
    </row>
    <row r="278" spans="1:25" s="44" customFormat="1">
      <c r="C278" s="42"/>
      <c r="D278" s="41"/>
      <c r="E278" s="41"/>
      <c r="F278" s="41"/>
      <c r="G278" s="41"/>
      <c r="H278" s="41"/>
      <c r="I278" s="41"/>
      <c r="J278" s="41"/>
      <c r="K278" s="3" t="str">
        <f>IF(ISBLANK(L278),"",MAX(K$5:K277)+1)</f>
        <v/>
      </c>
    </row>
    <row r="279" spans="1:25" s="44" customFormat="1">
      <c r="C279" s="42"/>
      <c r="D279" s="41"/>
      <c r="E279" s="41"/>
      <c r="F279" s="41"/>
      <c r="G279" s="41"/>
      <c r="H279" s="41"/>
      <c r="I279" s="41"/>
      <c r="J279" s="41"/>
      <c r="K279" s="3" t="str">
        <f>IF(ISBLANK(L279),"",MAX(K$5:K278)+1)</f>
        <v/>
      </c>
    </row>
    <row r="280" spans="1:25" s="44" customFormat="1">
      <c r="C280" s="42"/>
      <c r="D280" s="41"/>
      <c r="E280" s="41"/>
      <c r="F280" s="41"/>
      <c r="G280" s="41"/>
      <c r="H280" s="41"/>
      <c r="I280" s="41"/>
      <c r="J280" s="41"/>
      <c r="K280" s="3" t="str">
        <f>IF(ISBLANK(L280),"",MAX(K$5:K279)+1)</f>
        <v/>
      </c>
    </row>
    <row r="281" spans="1:25" s="44" customFormat="1">
      <c r="C281" s="42"/>
      <c r="D281" s="41"/>
      <c r="E281" s="41"/>
      <c r="F281" s="41"/>
      <c r="G281" s="41"/>
      <c r="H281" s="41"/>
      <c r="I281" s="41"/>
      <c r="J281" s="41"/>
      <c r="K281" s="3" t="str">
        <f>IF(ISBLANK(L281),"",MAX(K$5:K280)+1)</f>
        <v/>
      </c>
    </row>
    <row r="282" spans="1:25" s="44" customFormat="1">
      <c r="C282" s="42"/>
      <c r="D282" s="41"/>
      <c r="E282" s="41"/>
      <c r="F282" s="41"/>
      <c r="G282" s="41"/>
      <c r="H282" s="41"/>
      <c r="I282" s="41"/>
      <c r="J282" s="41"/>
      <c r="K282" s="3" t="str">
        <f>IF(ISBLANK(L282),"",MAX(K$5:K281)+1)</f>
        <v/>
      </c>
    </row>
    <row r="283" spans="1:25" s="44" customFormat="1">
      <c r="A283" s="41"/>
      <c r="B283" s="41"/>
      <c r="C283" s="42"/>
      <c r="D283" s="41"/>
      <c r="E283" s="41"/>
      <c r="F283" s="41"/>
      <c r="G283" s="41"/>
      <c r="H283" s="41"/>
      <c r="I283" s="41"/>
      <c r="J283" s="41"/>
      <c r="K283" s="3" t="str">
        <f>IF(ISBLANK(L283),"",MAX(K$5:K282)+1)</f>
        <v/>
      </c>
      <c r="M283" s="41"/>
      <c r="N283" s="41"/>
      <c r="O283" s="41"/>
      <c r="P283" s="41"/>
      <c r="Q283" s="41"/>
      <c r="R283" s="41"/>
      <c r="S283" s="41"/>
      <c r="T283" s="41"/>
      <c r="U283" s="41"/>
      <c r="V283" s="41"/>
      <c r="W283" s="41"/>
      <c r="X283" s="41"/>
      <c r="Y283" s="41"/>
    </row>
    <row r="284" spans="1:25" s="44" customFormat="1">
      <c r="A284" s="41"/>
      <c r="B284" s="41"/>
      <c r="C284" s="42"/>
      <c r="D284" s="41"/>
      <c r="E284" s="41"/>
      <c r="F284" s="41"/>
      <c r="G284" s="41"/>
      <c r="H284" s="41"/>
      <c r="I284" s="41"/>
      <c r="J284" s="41"/>
      <c r="K284" s="3" t="str">
        <f>IF(ISBLANK(L284),"",MAX(K$5:K283)+1)</f>
        <v/>
      </c>
      <c r="M284" s="41"/>
      <c r="N284" s="41"/>
      <c r="O284" s="41"/>
      <c r="P284" s="41"/>
      <c r="Q284" s="41"/>
      <c r="R284" s="41"/>
      <c r="S284" s="41"/>
      <c r="T284" s="41"/>
      <c r="U284" s="41"/>
      <c r="V284" s="41"/>
      <c r="W284" s="41"/>
      <c r="X284" s="41"/>
      <c r="Y284" s="41"/>
    </row>
    <row r="285" spans="1:25" s="44" customFormat="1">
      <c r="A285" s="41"/>
      <c r="B285" s="41"/>
      <c r="C285" s="42"/>
      <c r="D285" s="41"/>
      <c r="E285" s="41"/>
      <c r="F285" s="41"/>
      <c r="G285" s="41"/>
      <c r="H285" s="41"/>
      <c r="I285" s="41"/>
      <c r="J285" s="41"/>
      <c r="K285" s="3" t="str">
        <f>IF(ISBLANK(L285),"",MAX(K$5:K284)+1)</f>
        <v/>
      </c>
      <c r="M285" s="41"/>
      <c r="N285" s="41"/>
      <c r="O285" s="41"/>
      <c r="P285" s="41"/>
      <c r="Q285" s="41"/>
      <c r="R285" s="41"/>
      <c r="S285" s="41"/>
      <c r="T285" s="41"/>
      <c r="U285" s="41"/>
      <c r="V285" s="41"/>
      <c r="W285" s="41"/>
      <c r="X285" s="41"/>
      <c r="Y285" s="41"/>
    </row>
    <row r="286" spans="1:25" s="44" customFormat="1">
      <c r="A286" s="41"/>
      <c r="B286" s="41"/>
      <c r="C286" s="42"/>
      <c r="D286" s="41"/>
      <c r="E286" s="41"/>
      <c r="F286" s="41"/>
      <c r="G286" s="41"/>
      <c r="H286" s="41"/>
      <c r="I286" s="41"/>
      <c r="J286" s="41"/>
      <c r="K286" s="3" t="str">
        <f>IF(ISBLANK(L286),"",MAX(K$5:K285)+1)</f>
        <v/>
      </c>
      <c r="M286" s="41"/>
      <c r="N286" s="41"/>
      <c r="O286" s="41"/>
      <c r="P286" s="41"/>
      <c r="Q286" s="41"/>
      <c r="R286" s="41"/>
      <c r="S286" s="41"/>
      <c r="T286" s="41"/>
      <c r="U286" s="41"/>
      <c r="V286" s="41"/>
      <c r="W286" s="41"/>
      <c r="X286" s="41"/>
      <c r="Y286" s="41"/>
    </row>
    <row r="287" spans="1:25" s="44" customFormat="1">
      <c r="A287" s="41"/>
      <c r="B287" s="41"/>
      <c r="C287" s="42"/>
      <c r="D287" s="41"/>
      <c r="E287" s="41"/>
      <c r="F287" s="41"/>
      <c r="G287" s="41"/>
      <c r="H287" s="41"/>
      <c r="I287" s="41"/>
      <c r="J287" s="41"/>
      <c r="K287" s="3" t="str">
        <f>IF(ISBLANK(L287),"",MAX(K$5:K286)+1)</f>
        <v/>
      </c>
      <c r="M287" s="41"/>
      <c r="N287" s="41"/>
      <c r="O287" s="41"/>
      <c r="P287" s="41"/>
      <c r="Q287" s="41"/>
      <c r="R287" s="41"/>
      <c r="S287" s="41"/>
      <c r="T287" s="41"/>
      <c r="U287" s="41"/>
      <c r="V287" s="41"/>
      <c r="W287" s="41"/>
      <c r="X287" s="41"/>
      <c r="Y287" s="41"/>
    </row>
    <row r="288" spans="1:25" s="44" customFormat="1">
      <c r="A288" s="41"/>
      <c r="B288" s="41"/>
      <c r="C288" s="42"/>
      <c r="D288" s="41"/>
      <c r="E288" s="41"/>
      <c r="F288" s="41"/>
      <c r="G288" s="41"/>
      <c r="H288" s="41"/>
      <c r="I288" s="41"/>
      <c r="J288" s="41"/>
      <c r="K288" s="3" t="str">
        <f>IF(ISBLANK(L288),"",MAX(K$5:K287)+1)</f>
        <v/>
      </c>
      <c r="M288" s="41"/>
      <c r="N288" s="41"/>
      <c r="O288" s="41"/>
      <c r="P288" s="41"/>
      <c r="Q288" s="41"/>
      <c r="R288" s="41"/>
      <c r="S288" s="41"/>
      <c r="T288" s="41"/>
      <c r="U288" s="41"/>
      <c r="V288" s="41"/>
      <c r="W288" s="41"/>
      <c r="X288" s="41"/>
      <c r="Y288" s="41"/>
    </row>
    <row r="289" spans="1:25" s="44" customFormat="1">
      <c r="A289" s="41"/>
      <c r="B289" s="41"/>
      <c r="C289" s="42"/>
      <c r="D289" s="41"/>
      <c r="E289" s="41"/>
      <c r="F289" s="41"/>
      <c r="G289" s="41"/>
      <c r="H289" s="41"/>
      <c r="I289" s="41"/>
      <c r="J289" s="41"/>
      <c r="K289" s="3" t="str">
        <f>IF(ISBLANK(L289),"",MAX(K$5:K288)+1)</f>
        <v/>
      </c>
      <c r="M289" s="41"/>
      <c r="N289" s="41"/>
      <c r="O289" s="41"/>
      <c r="P289" s="41"/>
      <c r="Q289" s="41"/>
      <c r="R289" s="41"/>
      <c r="S289" s="41"/>
      <c r="T289" s="41"/>
      <c r="U289" s="41"/>
      <c r="V289" s="41"/>
      <c r="W289" s="41"/>
      <c r="X289" s="41"/>
      <c r="Y289" s="41"/>
    </row>
    <row r="290" spans="1:25" s="44" customFormat="1">
      <c r="A290" s="41"/>
      <c r="B290" s="41"/>
      <c r="C290" s="42"/>
      <c r="D290" s="41"/>
      <c r="E290" s="41"/>
      <c r="F290" s="41"/>
      <c r="G290" s="41"/>
      <c r="H290" s="41"/>
      <c r="I290" s="41"/>
      <c r="J290" s="41"/>
      <c r="K290" s="3" t="str">
        <f>IF(ISBLANK(L290),"",MAX(K$5:K289)+1)</f>
        <v/>
      </c>
      <c r="M290" s="41"/>
      <c r="N290" s="41"/>
      <c r="O290" s="41"/>
      <c r="P290" s="41"/>
      <c r="Q290" s="41"/>
      <c r="R290" s="41"/>
      <c r="S290" s="41"/>
      <c r="T290" s="41"/>
      <c r="U290" s="41"/>
      <c r="V290" s="41"/>
      <c r="W290" s="41"/>
      <c r="X290" s="41"/>
      <c r="Y290" s="41"/>
    </row>
    <row r="291" spans="1:25" s="44" customFormat="1">
      <c r="A291" s="41"/>
      <c r="B291" s="41"/>
      <c r="C291" s="42"/>
      <c r="D291" s="41"/>
      <c r="E291" s="41"/>
      <c r="F291" s="41"/>
      <c r="G291" s="41"/>
      <c r="H291" s="41"/>
      <c r="I291" s="41"/>
      <c r="J291" s="41"/>
      <c r="K291" s="3" t="str">
        <f>IF(ISBLANK(L291),"",MAX(K$5:K290)+1)</f>
        <v/>
      </c>
      <c r="M291" s="41"/>
      <c r="N291" s="41"/>
      <c r="O291" s="41"/>
      <c r="P291" s="41"/>
      <c r="Q291" s="41"/>
      <c r="R291" s="41"/>
      <c r="S291" s="41"/>
      <c r="T291" s="41"/>
      <c r="U291" s="41"/>
      <c r="V291" s="41"/>
      <c r="W291" s="41"/>
      <c r="X291" s="41"/>
      <c r="Y291" s="41"/>
    </row>
    <row r="292" spans="1:25" s="44" customFormat="1">
      <c r="A292" s="41"/>
      <c r="B292" s="41"/>
      <c r="C292" s="42"/>
      <c r="D292" s="41"/>
      <c r="E292" s="41"/>
      <c r="F292" s="41"/>
      <c r="G292" s="41"/>
      <c r="H292" s="41"/>
      <c r="I292" s="41"/>
      <c r="J292" s="41"/>
      <c r="K292" s="3" t="str">
        <f>IF(ISBLANK(L292),"",MAX(K$5:K291)+1)</f>
        <v/>
      </c>
      <c r="M292" s="41"/>
      <c r="N292" s="41"/>
      <c r="O292" s="41"/>
      <c r="P292" s="41"/>
      <c r="Q292" s="41"/>
      <c r="R292" s="41"/>
      <c r="S292" s="41"/>
      <c r="T292" s="41"/>
      <c r="U292" s="41"/>
      <c r="V292" s="41"/>
      <c r="W292" s="41"/>
      <c r="X292" s="41"/>
      <c r="Y292" s="41"/>
    </row>
    <row r="293" spans="1:25">
      <c r="K293" s="3">
        <f>IF(ISBLANK(L293),"",MAX(K$5:K292)+1)</f>
        <v>76</v>
      </c>
      <c r="L293" s="4" t="s">
        <v>129</v>
      </c>
    </row>
    <row r="294" spans="1:25">
      <c r="K294" s="3" t="str">
        <f>IF(ISBLANK(L294),"",MAX(K$5:K293)+1)</f>
        <v/>
      </c>
    </row>
    <row r="295" spans="1:25">
      <c r="K295" s="3" t="str">
        <f>IF(ISBLANK(L295),"",MAX(K$5:K294)+1)</f>
        <v/>
      </c>
    </row>
    <row r="296" spans="1:25" s="44" customFormat="1">
      <c r="A296" s="41"/>
      <c r="B296" s="41"/>
      <c r="C296" s="42"/>
      <c r="D296" s="41"/>
      <c r="E296" s="41"/>
      <c r="F296" s="41"/>
      <c r="G296" s="41"/>
      <c r="H296" s="41"/>
      <c r="I296" s="41"/>
      <c r="J296" s="41"/>
      <c r="K296" s="3" t="str">
        <f>IF(ISBLANK(L296),"",MAX(K$5:K295)+1)</f>
        <v/>
      </c>
      <c r="M296" s="41"/>
      <c r="N296" s="41"/>
      <c r="O296" s="41"/>
      <c r="P296" s="41"/>
      <c r="Q296" s="41"/>
      <c r="R296" s="41"/>
      <c r="S296" s="41"/>
      <c r="T296" s="41"/>
      <c r="U296" s="41"/>
      <c r="V296" s="41"/>
      <c r="W296" s="41"/>
      <c r="X296" s="41"/>
      <c r="Y296" s="41"/>
    </row>
    <row r="297" spans="1:25" s="44" customFormat="1">
      <c r="A297" s="41"/>
      <c r="B297" s="41"/>
      <c r="C297" s="42"/>
      <c r="D297" s="41"/>
      <c r="E297" s="41"/>
      <c r="F297" s="41"/>
      <c r="G297" s="41"/>
      <c r="H297" s="41"/>
      <c r="I297" s="41"/>
      <c r="J297" s="41"/>
      <c r="K297" s="3" t="str">
        <f>IF(ISBLANK(L297),"",MAX(K$5:K296)+1)</f>
        <v/>
      </c>
      <c r="M297" s="41"/>
      <c r="N297" s="41"/>
      <c r="O297" s="41"/>
      <c r="P297" s="41"/>
      <c r="Q297" s="41"/>
      <c r="R297" s="41"/>
      <c r="S297" s="41"/>
      <c r="T297" s="41"/>
      <c r="U297" s="41"/>
      <c r="V297" s="41"/>
      <c r="W297" s="41"/>
      <c r="X297" s="41"/>
      <c r="Y297" s="41"/>
    </row>
    <row r="298" spans="1:25" s="44" customFormat="1">
      <c r="A298" s="41"/>
      <c r="B298" s="41"/>
      <c r="C298" s="42"/>
      <c r="D298" s="41"/>
      <c r="E298" s="41"/>
      <c r="F298" s="41"/>
      <c r="G298" s="41"/>
      <c r="H298" s="41"/>
      <c r="I298" s="41"/>
      <c r="J298" s="41"/>
      <c r="K298" s="3" t="str">
        <f>IF(ISBLANK(L298),"",MAX(K$5:K297)+1)</f>
        <v/>
      </c>
      <c r="M298" s="41"/>
      <c r="N298" s="41"/>
      <c r="O298" s="41"/>
      <c r="P298" s="41"/>
      <c r="Q298" s="41"/>
      <c r="R298" s="41"/>
      <c r="S298" s="41"/>
      <c r="T298" s="41"/>
      <c r="U298" s="41"/>
      <c r="V298" s="41"/>
      <c r="W298" s="41"/>
      <c r="X298" s="41"/>
      <c r="Y298" s="41"/>
    </row>
    <row r="299" spans="1:25" s="44" customFormat="1">
      <c r="C299" s="42"/>
      <c r="D299" s="41"/>
      <c r="E299" s="41"/>
      <c r="F299" s="41"/>
      <c r="G299" s="41"/>
      <c r="H299" s="41"/>
      <c r="I299" s="41"/>
      <c r="J299" s="41"/>
      <c r="K299" s="3" t="str">
        <f>IF(ISBLANK(L299),"",MAX(K$5:K298)+1)</f>
        <v/>
      </c>
    </row>
    <row r="300" spans="1:25" s="44" customFormat="1">
      <c r="C300" s="42"/>
      <c r="D300" s="41"/>
      <c r="E300" s="41"/>
      <c r="F300" s="41"/>
      <c r="G300" s="41"/>
      <c r="H300" s="41"/>
      <c r="I300" s="41"/>
      <c r="J300" s="41"/>
      <c r="K300" s="3" t="str">
        <f>IF(ISBLANK(L300),"",MAX(K$5:K299)+1)</f>
        <v/>
      </c>
    </row>
    <row r="301" spans="1:25" s="44" customFormat="1">
      <c r="C301" s="42"/>
      <c r="D301" s="41"/>
      <c r="E301" s="41"/>
      <c r="F301" s="41"/>
      <c r="G301" s="41"/>
      <c r="H301" s="41"/>
      <c r="I301" s="41"/>
      <c r="J301" s="41"/>
      <c r="K301" s="3" t="str">
        <f>IF(ISBLANK(L301),"",MAX(K$5:K300)+1)</f>
        <v/>
      </c>
    </row>
    <row r="302" spans="1:25" s="44" customFormat="1">
      <c r="C302" s="42"/>
      <c r="D302" s="41"/>
      <c r="E302" s="41"/>
      <c r="F302" s="41"/>
      <c r="G302" s="41"/>
      <c r="H302" s="41"/>
      <c r="I302" s="41"/>
      <c r="J302" s="41"/>
      <c r="K302" s="3" t="str">
        <f>IF(ISBLANK(L302),"",MAX(K$5:K301)+1)</f>
        <v/>
      </c>
    </row>
    <row r="303" spans="1:25" s="44" customFormat="1">
      <c r="C303" s="42"/>
      <c r="D303" s="41"/>
      <c r="E303" s="41"/>
      <c r="F303" s="41"/>
      <c r="G303" s="41"/>
      <c r="H303" s="41"/>
      <c r="I303" s="41"/>
      <c r="J303" s="41"/>
      <c r="K303" s="3" t="str">
        <f>IF(ISBLANK(L303),"",MAX(K$5:K302)+1)</f>
        <v/>
      </c>
    </row>
    <row r="304" spans="1:25" s="44" customFormat="1">
      <c r="C304" s="42"/>
      <c r="D304" s="41"/>
      <c r="E304" s="41"/>
      <c r="F304" s="41"/>
      <c r="G304" s="41"/>
      <c r="H304" s="41"/>
      <c r="I304" s="41"/>
      <c r="J304" s="41"/>
      <c r="K304" s="3" t="str">
        <f>IF(ISBLANK(L304),"",MAX(K$5:K303)+1)</f>
        <v/>
      </c>
    </row>
    <row r="305" spans="1:25" s="44" customFormat="1">
      <c r="C305" s="42"/>
      <c r="D305" s="41"/>
      <c r="E305" s="41"/>
      <c r="F305" s="41"/>
      <c r="G305" s="41"/>
      <c r="H305" s="41"/>
      <c r="I305" s="41"/>
      <c r="J305" s="41"/>
      <c r="K305" s="3" t="str">
        <f>IF(ISBLANK(L305),"",MAX(K$5:K304)+1)</f>
        <v/>
      </c>
    </row>
    <row r="306" spans="1:25" s="44" customFormat="1">
      <c r="C306" s="42"/>
      <c r="D306" s="41"/>
      <c r="E306" s="41"/>
      <c r="F306" s="41"/>
      <c r="G306" s="41"/>
      <c r="H306" s="41"/>
      <c r="I306" s="41"/>
      <c r="J306" s="41"/>
      <c r="K306" s="3" t="str">
        <f>IF(ISBLANK(L306),"",MAX(K$5:K305)+1)</f>
        <v/>
      </c>
    </row>
    <row r="307" spans="1:25" s="44" customFormat="1">
      <c r="C307" s="42"/>
      <c r="D307" s="41"/>
      <c r="E307" s="41"/>
      <c r="F307" s="41"/>
      <c r="G307" s="41"/>
      <c r="H307" s="41"/>
      <c r="I307" s="41"/>
      <c r="J307" s="41"/>
      <c r="K307" s="3" t="str">
        <f>IF(ISBLANK(L307),"",MAX(K$5:K306)+1)</f>
        <v/>
      </c>
    </row>
    <row r="308" spans="1:25" s="44" customFormat="1">
      <c r="C308" s="42"/>
      <c r="D308" s="41"/>
      <c r="E308" s="41"/>
      <c r="F308" s="41"/>
      <c r="G308" s="41"/>
      <c r="H308" s="41"/>
      <c r="I308" s="41"/>
      <c r="J308" s="41"/>
      <c r="K308" s="3" t="str">
        <f>IF(ISBLANK(L308),"",MAX(K$5:K307)+1)</f>
        <v/>
      </c>
    </row>
    <row r="309" spans="1:25" s="44" customFormat="1">
      <c r="C309" s="42"/>
      <c r="D309" s="41"/>
      <c r="E309" s="41"/>
      <c r="F309" s="41"/>
      <c r="G309" s="41"/>
      <c r="H309" s="41"/>
      <c r="I309" s="41"/>
      <c r="J309" s="41"/>
      <c r="K309" s="3" t="str">
        <f>IF(ISBLANK(L309),"",MAX(K$5:K308)+1)</f>
        <v/>
      </c>
    </row>
    <row r="310" spans="1:25" s="44" customFormat="1">
      <c r="C310" s="42"/>
      <c r="D310" s="41"/>
      <c r="E310" s="41"/>
      <c r="F310" s="41"/>
      <c r="G310" s="41"/>
      <c r="H310" s="41"/>
      <c r="I310" s="41"/>
      <c r="J310" s="41"/>
      <c r="K310" s="3" t="str">
        <f>IF(ISBLANK(L310),"",MAX(K$5:K309)+1)</f>
        <v/>
      </c>
    </row>
    <row r="311" spans="1:25" s="44" customFormat="1">
      <c r="C311" s="42"/>
      <c r="D311" s="41"/>
      <c r="E311" s="41"/>
      <c r="F311" s="41"/>
      <c r="G311" s="41"/>
      <c r="H311" s="41"/>
      <c r="I311" s="41"/>
      <c r="J311" s="41"/>
      <c r="K311" s="3" t="str">
        <f>IF(ISBLANK(L311),"",MAX(K$5:K310)+1)</f>
        <v/>
      </c>
    </row>
    <row r="312" spans="1:25" s="44" customFormat="1">
      <c r="C312" s="42"/>
      <c r="D312" s="41"/>
      <c r="E312" s="41"/>
      <c r="F312" s="41"/>
      <c r="G312" s="41"/>
      <c r="H312" s="41"/>
      <c r="I312" s="41"/>
      <c r="J312" s="41"/>
      <c r="K312" s="3" t="str">
        <f>IF(ISBLANK(L312),"",MAX(K$5:K311)+1)</f>
        <v/>
      </c>
    </row>
    <row r="313" spans="1:25" s="44" customFormat="1">
      <c r="C313" s="42"/>
      <c r="D313" s="41"/>
      <c r="E313" s="41"/>
      <c r="F313" s="41"/>
      <c r="G313" s="41"/>
      <c r="H313" s="41"/>
      <c r="I313" s="41"/>
      <c r="J313" s="41"/>
      <c r="K313" s="3" t="str">
        <f>IF(ISBLANK(L313),"",MAX(K$5:K312)+1)</f>
        <v/>
      </c>
    </row>
    <row r="314" spans="1:25" s="44" customFormat="1">
      <c r="C314" s="42"/>
      <c r="D314" s="41"/>
      <c r="E314" s="41"/>
      <c r="F314" s="41"/>
      <c r="G314" s="41"/>
      <c r="H314" s="41"/>
      <c r="I314" s="41"/>
      <c r="J314" s="41"/>
      <c r="K314" s="3" t="str">
        <f>IF(ISBLANK(L314),"",MAX(K$5:K313)+1)</f>
        <v/>
      </c>
    </row>
    <row r="315" spans="1:25" s="44" customFormat="1">
      <c r="A315" s="41"/>
      <c r="B315" s="41"/>
      <c r="C315" s="42"/>
      <c r="D315" s="41"/>
      <c r="E315" s="41"/>
      <c r="F315" s="41"/>
      <c r="G315" s="41"/>
      <c r="H315" s="41"/>
      <c r="I315" s="41"/>
      <c r="J315" s="41"/>
      <c r="K315" s="3" t="str">
        <f>IF(ISBLANK(L315),"",MAX(K$5:K314)+1)</f>
        <v/>
      </c>
      <c r="M315" s="41"/>
      <c r="N315" s="41"/>
      <c r="O315" s="41"/>
      <c r="P315" s="41"/>
      <c r="Q315" s="41"/>
      <c r="R315" s="41"/>
      <c r="S315" s="41"/>
      <c r="T315" s="41"/>
      <c r="U315" s="41"/>
      <c r="V315" s="41"/>
      <c r="W315" s="41"/>
      <c r="X315" s="41"/>
      <c r="Y315" s="41"/>
    </row>
    <row r="316" spans="1:25">
      <c r="K316" s="3" t="str">
        <f>IF(ISBLANK(L316),"",MAX(K$5:K315)+1)</f>
        <v/>
      </c>
    </row>
    <row r="317" spans="1:25">
      <c r="K317" s="3" t="str">
        <f>IF(ISBLANK(L317),"",MAX(K$5:K316)+1)</f>
        <v/>
      </c>
    </row>
    <row r="318" spans="1:25">
      <c r="K318" s="3" t="str">
        <f>IF(ISBLANK(L318),"",MAX(K$5:K317)+1)</f>
        <v/>
      </c>
    </row>
    <row r="319" spans="1:25">
      <c r="K319" s="3" t="str">
        <f>IF(ISBLANK(L319),"",MAX(K$5:K318)+1)</f>
        <v/>
      </c>
    </row>
    <row r="320" spans="1:25">
      <c r="K320" s="3" t="str">
        <f>IF(ISBLANK(L320),"",MAX(K$5:K319)+1)</f>
        <v/>
      </c>
    </row>
    <row r="321" spans="2:25">
      <c r="K321" s="3" t="str">
        <f>IF(ISBLANK(L321),"",MAX(K$5:K320)+1)</f>
        <v/>
      </c>
    </row>
    <row r="322" spans="2:25">
      <c r="K322" s="3" t="str">
        <f>IF(ISBLANK(L322),"",MAX(K$5:K321)+1)</f>
        <v/>
      </c>
    </row>
    <row r="323" spans="2:25">
      <c r="K323" s="3" t="str">
        <f>IF(ISBLANK(L323),"",MAX(K$5:K322)+1)</f>
        <v/>
      </c>
    </row>
    <row r="324" spans="2:25">
      <c r="B324" s="74" t="s">
        <v>150</v>
      </c>
      <c r="K324" s="3">
        <f>IF(ISBLANK(L324),"",MAX(K$5:K323)+1)</f>
        <v>77</v>
      </c>
      <c r="L324" s="44" t="s">
        <v>151</v>
      </c>
    </row>
    <row r="325" spans="2:25" outlineLevel="1">
      <c r="B325" s="6" t="s">
        <v>99</v>
      </c>
      <c r="K325" s="3">
        <f>IF(ISBLANK(L325),"",MAX(K$5:K324)+1)</f>
        <v>78</v>
      </c>
      <c r="L325" s="44" t="s">
        <v>100</v>
      </c>
    </row>
    <row r="326" spans="2:25" outlineLevel="1">
      <c r="B326" s="67" t="s">
        <v>47</v>
      </c>
      <c r="K326" s="3" t="str">
        <f>IF(ISBLANK(L326),"",MAX(K$5:K325)+1)</f>
        <v/>
      </c>
    </row>
    <row r="327" spans="2:25" outlineLevel="1">
      <c r="B327" s="67" t="s">
        <v>101</v>
      </c>
      <c r="K327" s="3" t="str">
        <f>IF(ISBLANK(L327),"",MAX(K$5:K326)+1)</f>
        <v/>
      </c>
    </row>
    <row r="328" spans="2:25" outlineLevel="1">
      <c r="B328" s="67" t="s">
        <v>102</v>
      </c>
      <c r="K328" s="3" t="str">
        <f>IF(ISBLANK(L328),"",MAX(K$5:K327)+1)</f>
        <v/>
      </c>
    </row>
    <row r="329" spans="2:25" outlineLevel="1">
      <c r="B329" s="65"/>
      <c r="K329" s="3" t="str">
        <f>IF(ISBLANK(L329),"",MAX(K$5:K328)+1)</f>
        <v/>
      </c>
    </row>
    <row r="330" spans="2:25" outlineLevel="1">
      <c r="B330" s="6" t="s">
        <v>103</v>
      </c>
      <c r="K330" s="3">
        <f>IF(ISBLANK(L330),"",MAX(K$5:K329)+1)</f>
        <v>79</v>
      </c>
      <c r="L330" s="44" t="s">
        <v>104</v>
      </c>
    </row>
    <row r="331" spans="2:25" outlineLevel="1">
      <c r="B331" s="65" t="s">
        <v>105</v>
      </c>
      <c r="K331" s="3" t="str">
        <f>IF(ISBLANK(L331),"",MAX(K$5:K330)+1)</f>
        <v/>
      </c>
    </row>
    <row r="332" spans="2:25" outlineLevel="1">
      <c r="B332" s="65" t="s">
        <v>106</v>
      </c>
      <c r="K332" s="3" t="str">
        <f>IF(ISBLANK(L332),"",MAX(K$5:K331)+1)</f>
        <v/>
      </c>
    </row>
    <row r="333" spans="2:25" s="44" customFormat="1" outlineLevel="1">
      <c r="B333" s="65" t="s">
        <v>107</v>
      </c>
      <c r="C333" s="42"/>
      <c r="D333" s="41"/>
      <c r="E333" s="41"/>
      <c r="F333" s="41"/>
      <c r="G333" s="41"/>
      <c r="H333" s="41"/>
      <c r="I333" s="41"/>
      <c r="J333" s="41"/>
      <c r="K333" s="3" t="str">
        <f>IF(ISBLANK(L333),"",MAX(K$5:K332)+1)</f>
        <v/>
      </c>
      <c r="M333" s="41"/>
      <c r="N333" s="41"/>
      <c r="O333" s="41"/>
      <c r="P333" s="41"/>
      <c r="Q333" s="41"/>
      <c r="R333" s="41"/>
      <c r="S333" s="41"/>
      <c r="T333" s="41"/>
      <c r="U333" s="41"/>
      <c r="V333" s="41"/>
      <c r="W333" s="41"/>
      <c r="X333" s="41"/>
      <c r="Y333" s="41"/>
    </row>
    <row r="334" spans="2:25" s="44" customFormat="1" outlineLevel="1">
      <c r="B334" s="41"/>
      <c r="C334" s="42"/>
      <c r="D334" s="41"/>
      <c r="E334" s="41"/>
      <c r="F334" s="41"/>
      <c r="G334" s="41"/>
      <c r="H334" s="41"/>
      <c r="I334" s="41"/>
      <c r="J334" s="41"/>
      <c r="K334" s="3" t="str">
        <f>IF(ISBLANK(L334),"",MAX(K$5:K333)+1)</f>
        <v/>
      </c>
      <c r="M334" s="41"/>
      <c r="N334" s="41"/>
      <c r="O334" s="41"/>
      <c r="P334" s="41"/>
      <c r="Q334" s="41"/>
      <c r="R334" s="41"/>
      <c r="S334" s="41"/>
      <c r="T334" s="41"/>
      <c r="U334" s="41"/>
      <c r="V334" s="41"/>
      <c r="W334" s="41"/>
      <c r="X334" s="41"/>
      <c r="Y334" s="41"/>
    </row>
  </sheetData>
  <conditionalFormatting sqref="D9">
    <cfRule type="expression" dxfId="0" priority="4">
      <formula>SUM(D199:J199)&lt;&gt;0</formula>
    </cfRule>
  </conditionalFormatting>
  <conditionalFormatting sqref="D202:J206">
    <cfRule type="colorScale" priority="3">
      <colorScale>
        <cfvo type="min"/>
        <cfvo type="percentile" val="50"/>
        <cfvo type="max"/>
        <color theme="0"/>
        <color rgb="FFFFEB84"/>
        <color rgb="FF63BE7B"/>
      </colorScale>
    </cfRule>
  </conditionalFormatting>
  <conditionalFormatting sqref="D211:J215">
    <cfRule type="colorScale" priority="2">
      <colorScale>
        <cfvo type="min"/>
        <cfvo type="percentile" val="50"/>
        <cfvo type="max"/>
        <color theme="0"/>
        <color rgb="FFFFEB84"/>
        <color rgb="FF63BE7B"/>
      </colorScale>
    </cfRule>
  </conditionalFormatting>
  <conditionalFormatting sqref="D239:J246">
    <cfRule type="colorScale" priority="1">
      <colorScale>
        <cfvo type="min"/>
        <cfvo type="percentile" val="50"/>
        <cfvo type="max"/>
        <color theme="0"/>
        <color rgb="FFFFEB84"/>
        <color rgb="FF63BE7B"/>
      </colorScale>
    </cfRule>
  </conditionalFormatting>
  <dataValidations count="5">
    <dataValidation type="list" allowBlank="1" showInputMessage="1" showErrorMessage="1" sqref="D8" xr:uid="{A483118C-5081-134D-9AB7-29245583F043}">
      <formula1>"no,yes"</formula1>
    </dataValidation>
    <dataValidation type="list" allowBlank="1" showInputMessage="1" showErrorMessage="1" sqref="D50:G50" xr:uid="{5F5C7327-6AB0-0C45-973F-A0329E23C714}">
      <formula1>$B$326:$B$328</formula1>
    </dataValidation>
    <dataValidation type="list" allowBlank="1" showInputMessage="1" showErrorMessage="1" sqref="D45:G45" xr:uid="{C1AEFF3E-0A48-9A4A-929A-9DC530282EAE}">
      <formula1>B332:B334</formula1>
    </dataValidation>
    <dataValidation type="list" allowBlank="1" showInputMessage="1" showErrorMessage="1" sqref="D57:I58" xr:uid="{6A5269CC-63F7-4140-AF88-37B9B0F1B84D}">
      <formula1>$D$56:$J$56</formula1>
    </dataValidation>
    <dataValidation type="list" allowBlank="1" showInputMessage="1" showErrorMessage="1" sqref="D44:G44" xr:uid="{7E6016FC-76A4-0246-8061-D112259B4FA6}">
      <formula1>$B$331:$B$333</formula1>
    </dataValidation>
  </dataValidations>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B4AB-F6DB-FB4C-B2B6-E10479D4F7B5}">
  <sheetPr codeName="Sheet3"/>
  <dimension ref="B2:B12"/>
  <sheetViews>
    <sheetView showGridLines="0" workbookViewId="0">
      <pane ySplit="2" topLeftCell="A3" activePane="bottomLeft" state="frozen"/>
      <selection activeCell="B9" sqref="B9"/>
      <selection pane="bottomLeft" activeCell="B7" sqref="B7"/>
    </sheetView>
  </sheetViews>
  <sheetFormatPr baseColWidth="10" defaultColWidth="9" defaultRowHeight="21"/>
  <cols>
    <col min="1" max="1" width="3" style="91" customWidth="1"/>
    <col min="2" max="2" width="160" style="94" customWidth="1"/>
    <col min="3" max="8" width="13.5" style="91" customWidth="1"/>
    <col min="9" max="10" width="12" style="91" customWidth="1"/>
    <col min="11" max="18" width="10.5" style="91" customWidth="1"/>
    <col min="19" max="23" width="12" style="91" customWidth="1"/>
    <col min="24" max="26" width="10.5" style="91" customWidth="1"/>
    <col min="27" max="27" width="12.83203125" style="91" bestFit="1" customWidth="1"/>
    <col min="28" max="16384" width="9" style="91"/>
  </cols>
  <sheetData>
    <row r="2" spans="2:2">
      <c r="B2" s="92" t="s">
        <v>192</v>
      </c>
    </row>
    <row r="4" spans="2:2">
      <c r="B4" s="92" t="s">
        <v>196</v>
      </c>
    </row>
    <row r="5" spans="2:2" ht="22">
      <c r="B5" s="93" t="s">
        <v>197</v>
      </c>
    </row>
    <row r="6" spans="2:2" ht="22">
      <c r="B6" s="93" t="s">
        <v>198</v>
      </c>
    </row>
    <row r="7" spans="2:2" ht="22">
      <c r="B7" s="93" t="s">
        <v>199</v>
      </c>
    </row>
    <row r="9" spans="2:2">
      <c r="B9" s="92" t="s">
        <v>193</v>
      </c>
    </row>
    <row r="10" spans="2:2" ht="22">
      <c r="B10" s="93" t="s">
        <v>195</v>
      </c>
    </row>
    <row r="11" spans="2:2">
      <c r="B11" s="93"/>
    </row>
    <row r="12" spans="2:2" ht="22">
      <c r="B12" s="93" t="s">
        <v>194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Exit Waterfall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2020-04-01T10:53:12Z</dcterms:created>
  <dcterms:modified xsi:type="dcterms:W3CDTF">2020-04-18T05:07:13Z</dcterms:modified>
</cp:coreProperties>
</file>