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s/slicer2.xml" ContentType="application/vnd.ms-excel.slicer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3.xml" ContentType="application/vnd.ms-excel.slicer+xml"/>
  <Override PartName="/xl/comments1.xml" ContentType="application/vnd.openxmlformats-officedocument.spreadsheetml.comments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slicers/slicer4.xml" ContentType="application/vnd.ms-excel.slicer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iagrams/data11.xml" ContentType="application/vnd.openxmlformats-officedocument.drawingml.diagramData+xml"/>
  <Override PartName="/xl/diagrams/layout11.xml" ContentType="application/vnd.openxmlformats-officedocument.drawingml.diagramLayout+xml"/>
  <Override PartName="/xl/diagrams/quickStyle11.xml" ContentType="application/vnd.openxmlformats-officedocument.drawingml.diagramStyle+xml"/>
  <Override PartName="/xl/diagrams/colors11.xml" ContentType="application/vnd.openxmlformats-officedocument.drawingml.diagramColors+xml"/>
  <Override PartName="/xl/diagrams/drawing11.xml" ContentType="application/vnd.ms-office.drawingml.diagramDrawing+xml"/>
  <Override PartName="/xl/diagrams/data12.xml" ContentType="application/vnd.openxmlformats-officedocument.drawingml.diagramData+xml"/>
  <Override PartName="/xl/diagrams/layout12.xml" ContentType="application/vnd.openxmlformats-officedocument.drawingml.diagramLayout+xml"/>
  <Override PartName="/xl/diagrams/quickStyle12.xml" ContentType="application/vnd.openxmlformats-officedocument.drawingml.diagramStyle+xml"/>
  <Override PartName="/xl/diagrams/colors12.xml" ContentType="application/vnd.openxmlformats-officedocument.drawingml.diagramColors+xml"/>
  <Override PartName="/xl/diagrams/drawing12.xml" ContentType="application/vnd.ms-office.drawingml.diagramDrawing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3.xml" ContentType="application/vnd.openxmlformats-officedocument.spreadsheetml.comments+xml"/>
  <Override PartName="/xl/diagrams/data13.xml" ContentType="application/vnd.openxmlformats-officedocument.drawingml.diagramData+xml"/>
  <Override PartName="/xl/diagrams/layout13.xml" ContentType="application/vnd.openxmlformats-officedocument.drawingml.diagramLayout+xml"/>
  <Override PartName="/xl/diagrams/quickStyle13.xml" ContentType="application/vnd.openxmlformats-officedocument.drawingml.diagramStyle+xml"/>
  <Override PartName="/xl/diagrams/colors13.xml" ContentType="application/vnd.openxmlformats-officedocument.drawingml.diagramColors+xml"/>
  <Override PartName="/xl/diagrams/drawing13.xml" ContentType="application/vnd.ms-office.drawingml.diagramDrawing+xml"/>
  <Override PartName="/xl/diagrams/data14.xml" ContentType="application/vnd.openxmlformats-officedocument.drawingml.diagramData+xml"/>
  <Override PartName="/xl/diagrams/layout14.xml" ContentType="application/vnd.openxmlformats-officedocument.drawingml.diagramLayout+xml"/>
  <Override PartName="/xl/diagrams/quickStyle14.xml" ContentType="application/vnd.openxmlformats-officedocument.drawingml.diagramStyle+xml"/>
  <Override PartName="/xl/diagrams/colors14.xml" ContentType="application/vnd.openxmlformats-officedocument.drawingml.diagramColors+xml"/>
  <Override PartName="/xl/diagrams/drawing14.xml" ContentType="application/vnd.ms-office.drawingml.diagramDrawing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iagrams/data15.xml" ContentType="application/vnd.openxmlformats-officedocument.drawingml.diagramData+xml"/>
  <Override PartName="/xl/diagrams/layout15.xml" ContentType="application/vnd.openxmlformats-officedocument.drawingml.diagramLayout+xml"/>
  <Override PartName="/xl/diagrams/quickStyle15.xml" ContentType="application/vnd.openxmlformats-officedocument.drawingml.diagramStyle+xml"/>
  <Override PartName="/xl/diagrams/colors15.xml" ContentType="application/vnd.openxmlformats-officedocument.drawingml.diagramColors+xml"/>
  <Override PartName="/xl/diagrams/drawing15.xml" ContentType="application/vnd.ms-office.drawingml.diagramDrawing+xml"/>
  <Override PartName="/xl/diagrams/data16.xml" ContentType="application/vnd.openxmlformats-officedocument.drawingml.diagramData+xml"/>
  <Override PartName="/xl/diagrams/layout16.xml" ContentType="application/vnd.openxmlformats-officedocument.drawingml.diagramLayout+xml"/>
  <Override PartName="/xl/diagrams/quickStyle16.xml" ContentType="application/vnd.openxmlformats-officedocument.drawingml.diagramStyle+xml"/>
  <Override PartName="/xl/diagrams/colors16.xml" ContentType="application/vnd.openxmlformats-officedocument.drawingml.diagramColors+xml"/>
  <Override PartName="/xl/diagrams/drawing16.xml" ContentType="application/vnd.ms-office.drawingml.diagramDrawing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iagrams/data17.xml" ContentType="application/vnd.openxmlformats-officedocument.drawingml.diagramData+xml"/>
  <Override PartName="/xl/diagrams/layout17.xml" ContentType="application/vnd.openxmlformats-officedocument.drawingml.diagramLayout+xml"/>
  <Override PartName="/xl/diagrams/quickStyle17.xml" ContentType="application/vnd.openxmlformats-officedocument.drawingml.diagramStyle+xml"/>
  <Override PartName="/xl/diagrams/colors17.xml" ContentType="application/vnd.openxmlformats-officedocument.drawingml.diagramColors+xml"/>
  <Override PartName="/xl/diagrams/drawing17.xml" ContentType="application/vnd.ms-office.drawingml.diagramDrawing+xml"/>
  <Override PartName="/xl/diagrams/data18.xml" ContentType="application/vnd.openxmlformats-officedocument.drawingml.diagramData+xml"/>
  <Override PartName="/xl/diagrams/layout18.xml" ContentType="application/vnd.openxmlformats-officedocument.drawingml.diagramLayout+xml"/>
  <Override PartName="/xl/diagrams/quickStyle18.xml" ContentType="application/vnd.openxmlformats-officedocument.drawingml.diagramStyle+xml"/>
  <Override PartName="/xl/diagrams/colors18.xml" ContentType="application/vnd.openxmlformats-officedocument.drawingml.diagramColors+xml"/>
  <Override PartName="/xl/diagrams/drawing18.xml" ContentType="application/vnd.ms-office.drawingml.diagramDrawing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4.xml" ContentType="application/vnd.openxmlformats-officedocument.spreadsheetml.comments+xml"/>
  <Override PartName="/xl/diagrams/data19.xml" ContentType="application/vnd.openxmlformats-officedocument.drawingml.diagramData+xml"/>
  <Override PartName="/xl/diagrams/layout19.xml" ContentType="application/vnd.openxmlformats-officedocument.drawingml.diagramLayout+xml"/>
  <Override PartName="/xl/diagrams/quickStyle19.xml" ContentType="application/vnd.openxmlformats-officedocument.drawingml.diagramStyle+xml"/>
  <Override PartName="/xl/diagrams/colors19.xml" ContentType="application/vnd.openxmlformats-officedocument.drawingml.diagramColors+xml"/>
  <Override PartName="/xl/diagrams/drawing19.xml" ContentType="application/vnd.ms-office.drawingml.diagramDrawing+xml"/>
  <Override PartName="/xl/diagrams/data20.xml" ContentType="application/vnd.openxmlformats-officedocument.drawingml.diagramData+xml"/>
  <Override PartName="/xl/diagrams/layout20.xml" ContentType="application/vnd.openxmlformats-officedocument.drawingml.diagramLayout+xml"/>
  <Override PartName="/xl/diagrams/quickStyle20.xml" ContentType="application/vnd.openxmlformats-officedocument.drawingml.diagramStyle+xml"/>
  <Override PartName="/xl/diagrams/colors20.xml" ContentType="application/vnd.openxmlformats-officedocument.drawingml.diagramColors+xml"/>
  <Override PartName="/xl/diagrams/drawing20.xml" ContentType="application/vnd.ms-office.drawingml.diagramDrawing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iagrams/data21.xml" ContentType="application/vnd.openxmlformats-officedocument.drawingml.diagramData+xml"/>
  <Override PartName="/xl/diagrams/layout21.xml" ContentType="application/vnd.openxmlformats-officedocument.drawingml.diagramLayout+xml"/>
  <Override PartName="/xl/diagrams/quickStyle21.xml" ContentType="application/vnd.openxmlformats-officedocument.drawingml.diagramStyle+xml"/>
  <Override PartName="/xl/diagrams/colors21.xml" ContentType="application/vnd.openxmlformats-officedocument.drawingml.diagramColors+xml"/>
  <Override PartName="/xl/diagrams/drawing21.xml" ContentType="application/vnd.ms-office.drawingml.diagramDrawing+xml"/>
  <Override PartName="/xl/diagrams/data22.xml" ContentType="application/vnd.openxmlformats-officedocument.drawingml.diagramData+xml"/>
  <Override PartName="/xl/diagrams/layout22.xml" ContentType="application/vnd.openxmlformats-officedocument.drawingml.diagramLayout+xml"/>
  <Override PartName="/xl/diagrams/quickStyle22.xml" ContentType="application/vnd.openxmlformats-officedocument.drawingml.diagramStyle+xml"/>
  <Override PartName="/xl/diagrams/colors22.xml" ContentType="application/vnd.openxmlformats-officedocument.drawingml.diagramColors+xml"/>
  <Override PartName="/xl/diagrams/drawing22.xml" ContentType="application/vnd.ms-office.drawingml.diagramDrawing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5.xml" ContentType="application/vnd.openxmlformats-officedocument.spreadsheetml.comments+xml"/>
  <Override PartName="/xl/diagrams/data23.xml" ContentType="application/vnd.openxmlformats-officedocument.drawingml.diagramData+xml"/>
  <Override PartName="/xl/diagrams/layout23.xml" ContentType="application/vnd.openxmlformats-officedocument.drawingml.diagramLayout+xml"/>
  <Override PartName="/xl/diagrams/quickStyle23.xml" ContentType="application/vnd.openxmlformats-officedocument.drawingml.diagramStyle+xml"/>
  <Override PartName="/xl/diagrams/colors23.xml" ContentType="application/vnd.openxmlformats-officedocument.drawingml.diagramColors+xml"/>
  <Override PartName="/xl/diagrams/drawing23.xml" ContentType="application/vnd.ms-office.drawingml.diagramDrawing+xml"/>
  <Override PartName="/xl/diagrams/data24.xml" ContentType="application/vnd.openxmlformats-officedocument.drawingml.diagramData+xml"/>
  <Override PartName="/xl/diagrams/layout24.xml" ContentType="application/vnd.openxmlformats-officedocument.drawingml.diagramLayout+xml"/>
  <Override PartName="/xl/diagrams/quickStyle24.xml" ContentType="application/vnd.openxmlformats-officedocument.drawingml.diagramStyle+xml"/>
  <Override PartName="/xl/diagrams/colors24.xml" ContentType="application/vnd.openxmlformats-officedocument.drawingml.diagramColors+xml"/>
  <Override PartName="/xl/diagrams/drawing24.xml" ContentType="application/vnd.ms-office.drawingml.diagramDrawing+xml"/>
  <Override PartName="/xl/drawings/drawing13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iagrams/data25.xml" ContentType="application/vnd.openxmlformats-officedocument.drawingml.diagramData+xml"/>
  <Override PartName="/xl/diagrams/layout25.xml" ContentType="application/vnd.openxmlformats-officedocument.drawingml.diagramLayout+xml"/>
  <Override PartName="/xl/diagrams/quickStyle25.xml" ContentType="application/vnd.openxmlformats-officedocument.drawingml.diagramStyle+xml"/>
  <Override PartName="/xl/diagrams/colors25.xml" ContentType="application/vnd.openxmlformats-officedocument.drawingml.diagramColors+xml"/>
  <Override PartName="/xl/diagrams/drawing25.xml" ContentType="application/vnd.ms-office.drawingml.diagramDrawing+xml"/>
  <Override PartName="/xl/diagrams/data26.xml" ContentType="application/vnd.openxmlformats-officedocument.drawingml.diagramData+xml"/>
  <Override PartName="/xl/diagrams/layout26.xml" ContentType="application/vnd.openxmlformats-officedocument.drawingml.diagramLayout+xml"/>
  <Override PartName="/xl/diagrams/quickStyle26.xml" ContentType="application/vnd.openxmlformats-officedocument.drawingml.diagramStyle+xml"/>
  <Override PartName="/xl/diagrams/colors26.xml" ContentType="application/vnd.openxmlformats-officedocument.drawingml.diagramColors+xml"/>
  <Override PartName="/xl/diagrams/drawing26.xml" ContentType="application/vnd.ms-office.drawingml.diagramDrawing+xml"/>
  <Override PartName="/xl/drawings/drawing14.xml" ContentType="application/vnd.openxmlformats-officedocument.drawing+xml"/>
  <Override PartName="/xl/tables/table38.xml" ContentType="application/vnd.openxmlformats-officedocument.spreadsheetml.table+xml"/>
  <Override PartName="/xl/diagrams/data27.xml" ContentType="application/vnd.openxmlformats-officedocument.drawingml.diagramData+xml"/>
  <Override PartName="/xl/diagrams/layout27.xml" ContentType="application/vnd.openxmlformats-officedocument.drawingml.diagramLayout+xml"/>
  <Override PartName="/xl/diagrams/quickStyle27.xml" ContentType="application/vnd.openxmlformats-officedocument.drawingml.diagramStyle+xml"/>
  <Override PartName="/xl/diagrams/colors27.xml" ContentType="application/vnd.openxmlformats-officedocument.drawingml.diagramColors+xml"/>
  <Override PartName="/xl/diagrams/drawing27.xml" ContentType="application/vnd.ms-office.drawingml.diagramDrawing+xml"/>
  <Override PartName="/xl/diagrams/data28.xml" ContentType="application/vnd.openxmlformats-officedocument.drawingml.diagramData+xml"/>
  <Override PartName="/xl/diagrams/layout28.xml" ContentType="application/vnd.openxmlformats-officedocument.drawingml.diagramLayout+xml"/>
  <Override PartName="/xl/diagrams/quickStyle28.xml" ContentType="application/vnd.openxmlformats-officedocument.drawingml.diagramStyle+xml"/>
  <Override PartName="/xl/diagrams/colors28.xml" ContentType="application/vnd.openxmlformats-officedocument.drawingml.diagramColors+xml"/>
  <Override PartName="/xl/diagrams/drawing28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tables/table39.xml" ContentType="application/vnd.openxmlformats-officedocument.spreadsheetml.table+xml"/>
  <Override PartName="/xl/diagrams/data29.xml" ContentType="application/vnd.openxmlformats-officedocument.drawingml.diagramData+xml"/>
  <Override PartName="/xl/diagrams/layout29.xml" ContentType="application/vnd.openxmlformats-officedocument.drawingml.diagramLayout+xml"/>
  <Override PartName="/xl/diagrams/quickStyle29.xml" ContentType="application/vnd.openxmlformats-officedocument.drawingml.diagramStyle+xml"/>
  <Override PartName="/xl/diagrams/colors29.xml" ContentType="application/vnd.openxmlformats-officedocument.drawingml.diagramColors+xml"/>
  <Override PartName="/xl/diagrams/drawing29.xml" ContentType="application/vnd.ms-office.drawingml.diagramDrawing+xml"/>
  <Override PartName="/xl/drawings/drawing16.xml" ContentType="application/vnd.openxmlformats-officedocument.drawing+xml"/>
  <Override PartName="/xl/diagrams/data30.xml" ContentType="application/vnd.openxmlformats-officedocument.drawingml.diagramData+xml"/>
  <Override PartName="/xl/diagrams/layout30.xml" ContentType="application/vnd.openxmlformats-officedocument.drawingml.diagramLayout+xml"/>
  <Override PartName="/xl/diagrams/quickStyle30.xml" ContentType="application/vnd.openxmlformats-officedocument.drawingml.diagramStyle+xml"/>
  <Override PartName="/xl/diagrams/colors30.xml" ContentType="application/vnd.openxmlformats-officedocument.drawingml.diagramColors+xml"/>
  <Override PartName="/xl/diagrams/drawing30.xml" ContentType="application/vnd.ms-office.drawingml.diagramDrawing+xml"/>
  <Override PartName="/xl/diagrams/data31.xml" ContentType="application/vnd.openxmlformats-officedocument.drawingml.diagramData+xml"/>
  <Override PartName="/xl/diagrams/layout31.xml" ContentType="application/vnd.openxmlformats-officedocument.drawingml.diagramLayout+xml"/>
  <Override PartName="/xl/diagrams/quickStyle31.xml" ContentType="application/vnd.openxmlformats-officedocument.drawingml.diagramStyle+xml"/>
  <Override PartName="/xl/diagrams/colors31.xml" ContentType="application/vnd.openxmlformats-officedocument.drawingml.diagramColors+xml"/>
  <Override PartName="/xl/diagrams/drawing31.xml" ContentType="application/vnd.ms-office.drawingml.diagramDrawing+xml"/>
  <Override PartName="/xl/drawings/drawing17.xml" ContentType="application/vnd.openxmlformats-officedocument.drawing+xml"/>
  <Override PartName="/xl/diagrams/data32.xml" ContentType="application/vnd.openxmlformats-officedocument.drawingml.diagramData+xml"/>
  <Override PartName="/xl/diagrams/layout32.xml" ContentType="application/vnd.openxmlformats-officedocument.drawingml.diagramLayout+xml"/>
  <Override PartName="/xl/diagrams/quickStyle32.xml" ContentType="application/vnd.openxmlformats-officedocument.drawingml.diagramStyle+xml"/>
  <Override PartName="/xl/diagrams/colors32.xml" ContentType="application/vnd.openxmlformats-officedocument.drawingml.diagramColors+xml"/>
  <Override PartName="/xl/diagrams/drawing32.xml" ContentType="application/vnd.ms-office.drawingml.diagramDrawing+xml"/>
  <Override PartName="/xl/diagrams/data33.xml" ContentType="application/vnd.openxmlformats-officedocument.drawingml.diagramData+xml"/>
  <Override PartName="/xl/diagrams/layout33.xml" ContentType="application/vnd.openxmlformats-officedocument.drawingml.diagramLayout+xml"/>
  <Override PartName="/xl/diagrams/quickStyle33.xml" ContentType="application/vnd.openxmlformats-officedocument.drawingml.diagramStyle+xml"/>
  <Override PartName="/xl/diagrams/colors33.xml" ContentType="application/vnd.openxmlformats-officedocument.drawingml.diagramColors+xml"/>
  <Override PartName="/xl/diagrams/drawing33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carlos\Tesis\"/>
    </mc:Choice>
  </mc:AlternateContent>
  <xr:revisionPtr revIDLastSave="0" documentId="13_ncr:1_{27845ED0-469D-4319-B7FC-603031CB3BCF}" xr6:coauthVersionLast="47" xr6:coauthVersionMax="47" xr10:uidLastSave="{00000000-0000-0000-0000-000000000000}"/>
  <bookViews>
    <workbookView xWindow="-108" yWindow="-108" windowWidth="23256" windowHeight="12576" tabRatio="822" firstSheet="8" activeTab="15" xr2:uid="{E1C7491C-B5D8-477A-92A3-639B4CC06792}"/>
  </bookViews>
  <sheets>
    <sheet name="m2 Referencias" sheetId="11" r:id="rId1"/>
    <sheet name="m2 Volteo" sheetId="19" r:id="rId2"/>
    <sheet name="m2 Madereo" sheetId="20" r:id="rId3"/>
    <sheet name="m2 Procesado" sheetId="21" r:id="rId4"/>
    <sheet name="m2 Carguío" sheetId="22" r:id="rId5"/>
    <sheet name="m2 Transporte" sheetId="23" r:id="rId6"/>
    <sheet name="m3 Volteo" sheetId="14" r:id="rId7"/>
    <sheet name="m3 Madereo" sheetId="24" r:id="rId8"/>
    <sheet name="m3 Procesado" sheetId="25" r:id="rId9"/>
    <sheet name="m3 Carguío" sheetId="26" r:id="rId10"/>
    <sheet name="m3 Transporte" sheetId="27" r:id="rId11"/>
    <sheet name="BD Costos" sheetId="35" r:id="rId12"/>
    <sheet name="m4 Análisis de sistema" sheetId="15" r:id="rId13"/>
    <sheet name="m4 Comparac sistemas" sheetId="37" r:id="rId14"/>
    <sheet name="BD_PC_Ref" sheetId="36" r:id="rId15"/>
    <sheet name="m1 Descrip_rodal" sheetId="8" r:id="rId16"/>
    <sheet name="m1 Fac_oper" sheetId="7" r:id="rId17"/>
  </sheets>
  <functionGroups builtInGroupCount="19"/>
  <definedNames>
    <definedName name="_xlnm._FilterDatabase" localSheetId="15" hidden="1">'m1 Descrip_rodal'!$D$92:$F$159</definedName>
    <definedName name="_xlnm._FilterDatabase" localSheetId="6" hidden="1">'m3 Procesado'!$E$25:$E$30</definedName>
    <definedName name="_xlnm._FilterDatabase" localSheetId="13" hidden="1">'m4 Comparac sistemas'!$P$60:$R$75</definedName>
    <definedName name="SegmentaciónDeDatos_Máquina">#N/A</definedName>
    <definedName name="SegmentaciónDeDatos_Máquina1">#N/A</definedName>
    <definedName name="SegmentaciónDeDatos_MÁQUINA2">#N/A</definedName>
    <definedName name="SegmentaciónDeDatos_Máquina3">#N/A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46BE6895-7355-4a93-B00E-2C351335B9C9}">
      <x15:slicerCaches xmlns:x14="http://schemas.microsoft.com/office/spreadsheetml/2009/9/main"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8" l="1"/>
  <c r="C42" i="25"/>
  <c r="F28" i="37"/>
  <c r="D28" i="37"/>
  <c r="F23" i="37"/>
  <c r="D23" i="37"/>
  <c r="D24" i="15"/>
  <c r="F54" i="24"/>
  <c r="F53" i="24"/>
  <c r="F49" i="24"/>
  <c r="F48" i="24"/>
  <c r="F45" i="24"/>
  <c r="F44" i="24"/>
  <c r="F43" i="24"/>
  <c r="C26" i="8" l="1"/>
  <c r="D15" i="15" s="1"/>
  <c r="C16" i="14" l="1"/>
  <c r="D45" i="26" l="1"/>
  <c r="D46" i="26" s="1"/>
  <c r="D55" i="26"/>
  <c r="D56" i="26" s="1"/>
  <c r="D47" i="26" l="1"/>
  <c r="D50" i="26" s="1"/>
  <c r="D51" i="26" s="1"/>
  <c r="E43" i="14" l="1"/>
  <c r="D39" i="15" l="1"/>
  <c r="D38" i="15"/>
  <c r="F59" i="24" l="1"/>
  <c r="F59" i="14" l="1"/>
  <c r="M25" i="15" l="1"/>
  <c r="O39" i="15"/>
  <c r="O25" i="15"/>
  <c r="M39" i="15"/>
  <c r="O38" i="15"/>
  <c r="O37" i="15"/>
  <c r="F26" i="37" s="1"/>
  <c r="O36" i="15"/>
  <c r="F25" i="37" s="1"/>
  <c r="O35" i="15"/>
  <c r="F24" i="37" s="1"/>
  <c r="O24" i="15"/>
  <c r="F22" i="37" s="1"/>
  <c r="O23" i="15"/>
  <c r="O22" i="15"/>
  <c r="O21" i="15"/>
  <c r="F19" i="37" s="1"/>
  <c r="E40" i="15"/>
  <c r="E39" i="15"/>
  <c r="E38" i="15"/>
  <c r="E37" i="15"/>
  <c r="E36" i="15"/>
  <c r="D42" i="25"/>
  <c r="D44" i="25" s="1"/>
  <c r="D47" i="25" s="1"/>
  <c r="D52" i="25"/>
  <c r="D53" i="25" s="1"/>
  <c r="D58" i="25"/>
  <c r="F43" i="14"/>
  <c r="F44" i="14" s="1"/>
  <c r="F53" i="14"/>
  <c r="F54" i="14" s="1"/>
  <c r="E25" i="15"/>
  <c r="E24" i="15"/>
  <c r="H24" i="15" s="1"/>
  <c r="E23" i="15"/>
  <c r="E22" i="15"/>
  <c r="E21" i="15"/>
  <c r="L21" i="15"/>
  <c r="H38" i="15" l="1"/>
  <c r="D43" i="25"/>
  <c r="F45" i="14"/>
  <c r="F48" i="14" s="1"/>
  <c r="F49" i="14" s="1"/>
  <c r="O40" i="15"/>
  <c r="O26" i="15"/>
  <c r="F27" i="37"/>
  <c r="C46" i="27"/>
  <c r="D48" i="25" l="1"/>
  <c r="F38" i="37"/>
  <c r="C58" i="27"/>
  <c r="C48" i="27"/>
  <c r="C49" i="27" s="1"/>
  <c r="E25" i="22"/>
  <c r="E26" i="22"/>
  <c r="E27" i="22"/>
  <c r="C55" i="26"/>
  <c r="C56" i="26" s="1"/>
  <c r="C45" i="26"/>
  <c r="C47" i="26" s="1"/>
  <c r="C50" i="26" s="1"/>
  <c r="C44" i="25"/>
  <c r="C47" i="25" s="1"/>
  <c r="C52" i="25"/>
  <c r="D43" i="24"/>
  <c r="D45" i="24" s="1"/>
  <c r="D48" i="24" s="1"/>
  <c r="E43" i="24"/>
  <c r="E44" i="24" s="1"/>
  <c r="D25" i="15" l="1"/>
  <c r="H25" i="15" s="1"/>
  <c r="I25" i="15" s="1"/>
  <c r="I28" i="15" s="1"/>
  <c r="D40" i="15"/>
  <c r="H40" i="15" s="1"/>
  <c r="I40" i="15" s="1"/>
  <c r="I38" i="15"/>
  <c r="I24" i="15"/>
  <c r="H39" i="15"/>
  <c r="I39" i="15" s="1"/>
  <c r="D44" i="24"/>
  <c r="D49" i="24" s="1"/>
  <c r="E45" i="24"/>
  <c r="E48" i="24" s="1"/>
  <c r="E49" i="24" s="1"/>
  <c r="C50" i="27"/>
  <c r="C53" i="27" s="1"/>
  <c r="C54" i="27" s="1"/>
  <c r="C59" i="27"/>
  <c r="C46" i="26"/>
  <c r="C43" i="25"/>
  <c r="C53" i="25"/>
  <c r="C48" i="25" l="1"/>
  <c r="I43" i="15"/>
  <c r="C51" i="26"/>
  <c r="V66" i="35" l="1"/>
  <c r="U66" i="35"/>
  <c r="E37" i="24"/>
  <c r="E53" i="24" s="1"/>
  <c r="E54" i="24" s="1"/>
  <c r="D37" i="24"/>
  <c r="D53" i="24" s="1"/>
  <c r="D54" i="24" s="1"/>
  <c r="C37" i="24"/>
  <c r="C53" i="24" s="1"/>
  <c r="C54" i="24" s="1"/>
  <c r="AD80" i="35"/>
  <c r="AC80" i="35"/>
  <c r="AB80" i="35"/>
  <c r="AA80" i="35"/>
  <c r="Z80" i="35"/>
  <c r="Y80" i="35"/>
  <c r="X80" i="35"/>
  <c r="W80" i="35"/>
  <c r="V80" i="35"/>
  <c r="D17" i="26" s="1"/>
  <c r="U80" i="35"/>
  <c r="AD79" i="35"/>
  <c r="AC79" i="35"/>
  <c r="AB79" i="35"/>
  <c r="AA79" i="35"/>
  <c r="Z79" i="35"/>
  <c r="Y79" i="35"/>
  <c r="X79" i="35"/>
  <c r="W79" i="35"/>
  <c r="V79" i="35"/>
  <c r="D16" i="26" s="1"/>
  <c r="U79" i="35"/>
  <c r="AD78" i="35"/>
  <c r="AC78" i="35"/>
  <c r="AB78" i="35"/>
  <c r="AA78" i="35"/>
  <c r="Z78" i="35"/>
  <c r="Y78" i="35"/>
  <c r="X78" i="35"/>
  <c r="W78" i="35"/>
  <c r="V78" i="35"/>
  <c r="D15" i="26" s="1"/>
  <c r="U78" i="35"/>
  <c r="AD68" i="35"/>
  <c r="AC68" i="35"/>
  <c r="AA68" i="35"/>
  <c r="Z68" i="35"/>
  <c r="Y68" i="35"/>
  <c r="W68" i="35"/>
  <c r="V68" i="35"/>
  <c r="U68" i="35"/>
  <c r="AD67" i="35"/>
  <c r="AC67" i="35"/>
  <c r="AA67" i="35"/>
  <c r="Z67" i="35"/>
  <c r="Y67" i="35"/>
  <c r="W67" i="35"/>
  <c r="V67" i="35"/>
  <c r="U67" i="35"/>
  <c r="AD66" i="35"/>
  <c r="AC66" i="35"/>
  <c r="AA66" i="35"/>
  <c r="Z66" i="35"/>
  <c r="Y66" i="35"/>
  <c r="W66" i="35"/>
  <c r="AD52" i="35"/>
  <c r="AC52" i="35"/>
  <c r="AB52" i="35"/>
  <c r="AA52" i="35"/>
  <c r="Z52" i="35"/>
  <c r="Y52" i="35"/>
  <c r="X52" i="35"/>
  <c r="W52" i="35"/>
  <c r="V52" i="35"/>
  <c r="U52" i="35"/>
  <c r="AD51" i="35"/>
  <c r="AC51" i="35"/>
  <c r="AB51" i="35"/>
  <c r="AA51" i="35"/>
  <c r="G18" i="24" s="1"/>
  <c r="Z51" i="35"/>
  <c r="Y51" i="35"/>
  <c r="X51" i="35"/>
  <c r="W51" i="35"/>
  <c r="V51" i="35"/>
  <c r="U51" i="35"/>
  <c r="AD50" i="35"/>
  <c r="AC50" i="35"/>
  <c r="AB50" i="35"/>
  <c r="AA50" i="35"/>
  <c r="Z50" i="35"/>
  <c r="Y50" i="35"/>
  <c r="X50" i="35"/>
  <c r="W50" i="35"/>
  <c r="V50" i="35"/>
  <c r="U50" i="35"/>
  <c r="C43" i="24"/>
  <c r="C45" i="24" s="1"/>
  <c r="C48" i="24" s="1"/>
  <c r="D26" i="14"/>
  <c r="G17" i="24" l="1"/>
  <c r="G19" i="24"/>
  <c r="C44" i="24"/>
  <c r="C49" i="24" s="1"/>
  <c r="D43" i="14" l="1"/>
  <c r="D44" i="14" s="1"/>
  <c r="D53" i="14"/>
  <c r="D54" i="14" s="1"/>
  <c r="K17" i="20"/>
  <c r="J168" i="35"/>
  <c r="L168" i="35"/>
  <c r="J167" i="35"/>
  <c r="L167" i="35"/>
  <c r="D45" i="14" l="1"/>
  <c r="Q165" i="35"/>
  <c r="Q166" i="35"/>
  <c r="L166" i="35"/>
  <c r="L165" i="35"/>
  <c r="Q30" i="35"/>
  <c r="Q31" i="35"/>
  <c r="Q32" i="35"/>
  <c r="Q33" i="35"/>
  <c r="Q34" i="35"/>
  <c r="Q35" i="35"/>
  <c r="Q36" i="35"/>
  <c r="Q37" i="35"/>
  <c r="Q38" i="35"/>
  <c r="Q39" i="35"/>
  <c r="Q40" i="35"/>
  <c r="Q41" i="35"/>
  <c r="Q42" i="35"/>
  <c r="Q43" i="35"/>
  <c r="Q44" i="35"/>
  <c r="Q45" i="35"/>
  <c r="Q46" i="35"/>
  <c r="Q47" i="35"/>
  <c r="Q48" i="35"/>
  <c r="Q49" i="35"/>
  <c r="Q50" i="35"/>
  <c r="Q51" i="35"/>
  <c r="Q52" i="35"/>
  <c r="Q53" i="35"/>
  <c r="Q54" i="35"/>
  <c r="Q55" i="35"/>
  <c r="Q56" i="35"/>
  <c r="Q57" i="35"/>
  <c r="Q58" i="35"/>
  <c r="Q59" i="35"/>
  <c r="Q60" i="35"/>
  <c r="Q61" i="35"/>
  <c r="Q62" i="35"/>
  <c r="Q63" i="35"/>
  <c r="Q64" i="35"/>
  <c r="Q65" i="35"/>
  <c r="Q66" i="35"/>
  <c r="Q67" i="35"/>
  <c r="Q68" i="35"/>
  <c r="Q69" i="35"/>
  <c r="Q70" i="35"/>
  <c r="Q71" i="35"/>
  <c r="Q72" i="35"/>
  <c r="Q73" i="35"/>
  <c r="Q74" i="35"/>
  <c r="Q75" i="35"/>
  <c r="Q76" i="35"/>
  <c r="Q77" i="35"/>
  <c r="Q78" i="35"/>
  <c r="Q79" i="35"/>
  <c r="Q80" i="35"/>
  <c r="Q81" i="35"/>
  <c r="Q82" i="35"/>
  <c r="Q83" i="35"/>
  <c r="Q84" i="35"/>
  <c r="Q85" i="35"/>
  <c r="Q86" i="35"/>
  <c r="Q87" i="35"/>
  <c r="Q88" i="35"/>
  <c r="Q89" i="35"/>
  <c r="Q90" i="35"/>
  <c r="Q91" i="35"/>
  <c r="Q92" i="35"/>
  <c r="Q93" i="35"/>
  <c r="Q94" i="35"/>
  <c r="Q95" i="35"/>
  <c r="Q96" i="35"/>
  <c r="Q97" i="35"/>
  <c r="Q98" i="35"/>
  <c r="Q99" i="35"/>
  <c r="Q100" i="35"/>
  <c r="Q101" i="35"/>
  <c r="Q102" i="35"/>
  <c r="Q103" i="35"/>
  <c r="Q104" i="35"/>
  <c r="Q105" i="35"/>
  <c r="Q106" i="35"/>
  <c r="Q107" i="35"/>
  <c r="Q108" i="35"/>
  <c r="Q109" i="35"/>
  <c r="Q110" i="35"/>
  <c r="Q111" i="35"/>
  <c r="Q112" i="35"/>
  <c r="Q113" i="35"/>
  <c r="Q114" i="35"/>
  <c r="Q115" i="35"/>
  <c r="Q116" i="35"/>
  <c r="Q117" i="35"/>
  <c r="Q118" i="35"/>
  <c r="Q119" i="35"/>
  <c r="Q120" i="35"/>
  <c r="Q121" i="35"/>
  <c r="Q122" i="35"/>
  <c r="Q123" i="35"/>
  <c r="Q124" i="35"/>
  <c r="Q125" i="35"/>
  <c r="Q126" i="35"/>
  <c r="Q127" i="35"/>
  <c r="Q128" i="35"/>
  <c r="Q129" i="35"/>
  <c r="AC64" i="35" s="1"/>
  <c r="J163" i="35"/>
  <c r="AB89" i="35" s="1"/>
  <c r="L163" i="35"/>
  <c r="X89" i="35" s="1"/>
  <c r="AC87" i="35"/>
  <c r="L164" i="35"/>
  <c r="C53" i="14"/>
  <c r="E53" i="14"/>
  <c r="E54" i="14" s="1"/>
  <c r="E45" i="14"/>
  <c r="J132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J37" i="35"/>
  <c r="J38" i="35"/>
  <c r="J39" i="35"/>
  <c r="J40" i="35"/>
  <c r="J41" i="35"/>
  <c r="J42" i="35"/>
  <c r="J43" i="35"/>
  <c r="J44" i="35"/>
  <c r="J45" i="35"/>
  <c r="J46" i="35"/>
  <c r="J47" i="35"/>
  <c r="J48" i="35"/>
  <c r="J49" i="35"/>
  <c r="J50" i="35"/>
  <c r="J51" i="35"/>
  <c r="J52" i="35"/>
  <c r="J53" i="35"/>
  <c r="J54" i="35"/>
  <c r="J55" i="35"/>
  <c r="J56" i="35"/>
  <c r="J57" i="35"/>
  <c r="J58" i="35"/>
  <c r="J59" i="35"/>
  <c r="J60" i="35"/>
  <c r="J61" i="35"/>
  <c r="J62" i="35"/>
  <c r="J63" i="35"/>
  <c r="J64" i="35"/>
  <c r="J65" i="35"/>
  <c r="J66" i="35"/>
  <c r="J67" i="35"/>
  <c r="J68" i="35"/>
  <c r="J69" i="35"/>
  <c r="J70" i="35"/>
  <c r="J71" i="35"/>
  <c r="J72" i="35"/>
  <c r="J73" i="35"/>
  <c r="J74" i="35"/>
  <c r="J75" i="35"/>
  <c r="J76" i="35"/>
  <c r="J77" i="35"/>
  <c r="J78" i="35"/>
  <c r="J79" i="35"/>
  <c r="J80" i="35"/>
  <c r="J81" i="35"/>
  <c r="J82" i="35"/>
  <c r="J83" i="35"/>
  <c r="J84" i="35"/>
  <c r="J85" i="35"/>
  <c r="J86" i="35"/>
  <c r="J87" i="35"/>
  <c r="J88" i="35"/>
  <c r="J89" i="35"/>
  <c r="J90" i="35"/>
  <c r="J91" i="35"/>
  <c r="J92" i="35"/>
  <c r="J93" i="35"/>
  <c r="J94" i="35"/>
  <c r="J95" i="35"/>
  <c r="J96" i="35"/>
  <c r="J97" i="35"/>
  <c r="J98" i="35"/>
  <c r="J99" i="35"/>
  <c r="J100" i="35"/>
  <c r="J101" i="35"/>
  <c r="J102" i="35"/>
  <c r="J103" i="35"/>
  <c r="J104" i="35"/>
  <c r="J105" i="35"/>
  <c r="J106" i="35"/>
  <c r="J107" i="35"/>
  <c r="J108" i="35"/>
  <c r="J109" i="35"/>
  <c r="J110" i="35"/>
  <c r="J111" i="35"/>
  <c r="J112" i="35"/>
  <c r="J113" i="35"/>
  <c r="J114" i="35"/>
  <c r="J115" i="35"/>
  <c r="J116" i="35"/>
  <c r="J117" i="35"/>
  <c r="J118" i="35"/>
  <c r="J119" i="35"/>
  <c r="J120" i="35"/>
  <c r="J121" i="35"/>
  <c r="J122" i="35"/>
  <c r="J123" i="35"/>
  <c r="J124" i="35"/>
  <c r="J125" i="35"/>
  <c r="J126" i="35"/>
  <c r="J127" i="35"/>
  <c r="J128" i="35"/>
  <c r="J129" i="35"/>
  <c r="J130" i="35"/>
  <c r="AB45" i="35" s="1"/>
  <c r="J20" i="35"/>
  <c r="D18" i="23"/>
  <c r="C43" i="14"/>
  <c r="I145" i="35"/>
  <c r="J145" i="35" s="1"/>
  <c r="I146" i="35"/>
  <c r="J146" i="35" s="1"/>
  <c r="I147" i="35"/>
  <c r="J147" i="35" s="1"/>
  <c r="I148" i="35"/>
  <c r="J148" i="35" s="1"/>
  <c r="I144" i="35"/>
  <c r="J144" i="35" s="1"/>
  <c r="I150" i="35"/>
  <c r="J150" i="35" s="1"/>
  <c r="I151" i="35"/>
  <c r="J151" i="35" s="1"/>
  <c r="I152" i="35"/>
  <c r="J152" i="35" s="1"/>
  <c r="I153" i="35"/>
  <c r="J153" i="35" s="1"/>
  <c r="I154" i="35"/>
  <c r="J154" i="35" s="1"/>
  <c r="I149" i="35"/>
  <c r="J149" i="35" s="1"/>
  <c r="I138" i="35"/>
  <c r="J138" i="35" s="1"/>
  <c r="I139" i="35"/>
  <c r="J139" i="35" s="1"/>
  <c r="I140" i="35"/>
  <c r="J140" i="35" s="1"/>
  <c r="I141" i="35"/>
  <c r="J141" i="35" s="1"/>
  <c r="I142" i="35"/>
  <c r="J142" i="35" s="1"/>
  <c r="I143" i="35"/>
  <c r="J143" i="35" s="1"/>
  <c r="I137" i="35"/>
  <c r="J137" i="35" s="1"/>
  <c r="L156" i="35"/>
  <c r="L157" i="35"/>
  <c r="L158" i="35"/>
  <c r="L159" i="35"/>
  <c r="L160" i="35"/>
  <c r="L161" i="35"/>
  <c r="L155" i="35"/>
  <c r="AD89" i="35"/>
  <c r="AA89" i="35"/>
  <c r="AC89" i="35"/>
  <c r="Z89" i="35"/>
  <c r="Y89" i="35"/>
  <c r="W89" i="35"/>
  <c r="V89" i="35"/>
  <c r="U89" i="35"/>
  <c r="AD88" i="35"/>
  <c r="AA88" i="35"/>
  <c r="AC88" i="35"/>
  <c r="Z88" i="35"/>
  <c r="Y88" i="35"/>
  <c r="W88" i="35"/>
  <c r="V88" i="35"/>
  <c r="U88" i="35"/>
  <c r="AD87" i="35"/>
  <c r="AA87" i="35"/>
  <c r="Z87" i="35"/>
  <c r="Y87" i="35"/>
  <c r="W87" i="35"/>
  <c r="V87" i="35"/>
  <c r="U87" i="35"/>
  <c r="AD32" i="35"/>
  <c r="AD31" i="35"/>
  <c r="AD30" i="35"/>
  <c r="AD29" i="35"/>
  <c r="AD28" i="35"/>
  <c r="AD27" i="35"/>
  <c r="AD26" i="35"/>
  <c r="AD25" i="35"/>
  <c r="AD24" i="35"/>
  <c r="AA24" i="35"/>
  <c r="AC46" i="35"/>
  <c r="AC45" i="35"/>
  <c r="AC44" i="35"/>
  <c r="W39" i="35"/>
  <c r="W38" i="35"/>
  <c r="C26" i="7"/>
  <c r="AD77" i="35"/>
  <c r="AD76" i="35"/>
  <c r="AD75" i="35"/>
  <c r="AA77" i="35"/>
  <c r="AA76" i="35"/>
  <c r="AA75" i="35"/>
  <c r="Z77" i="35"/>
  <c r="Z76" i="35"/>
  <c r="Z75" i="35"/>
  <c r="Y77" i="35"/>
  <c r="Y76" i="35"/>
  <c r="Y75" i="35"/>
  <c r="W77" i="35"/>
  <c r="W76" i="35"/>
  <c r="W75" i="35"/>
  <c r="V77" i="35"/>
  <c r="C17" i="26" s="1"/>
  <c r="V76" i="35"/>
  <c r="C16" i="26" s="1"/>
  <c r="V75" i="35"/>
  <c r="V60" i="35"/>
  <c r="U76" i="35"/>
  <c r="U75" i="35"/>
  <c r="U77" i="35"/>
  <c r="U60" i="35"/>
  <c r="L130" i="35"/>
  <c r="L128" i="35"/>
  <c r="L127" i="35"/>
  <c r="L126" i="35"/>
  <c r="L125" i="35"/>
  <c r="L124" i="35"/>
  <c r="L123" i="35"/>
  <c r="L122" i="35"/>
  <c r="L121" i="35"/>
  <c r="L120" i="35"/>
  <c r="L119" i="35"/>
  <c r="L118" i="35"/>
  <c r="L117" i="35"/>
  <c r="L116" i="35"/>
  <c r="L115" i="35"/>
  <c r="L114" i="35"/>
  <c r="L113" i="35"/>
  <c r="L112" i="35"/>
  <c r="L111" i="35"/>
  <c r="L110" i="35"/>
  <c r="L109" i="35"/>
  <c r="L108" i="35"/>
  <c r="L107" i="35"/>
  <c r="L106" i="35"/>
  <c r="L105" i="35"/>
  <c r="L104" i="35"/>
  <c r="L103" i="35"/>
  <c r="L102" i="35"/>
  <c r="L101" i="35"/>
  <c r="L100" i="35"/>
  <c r="L99" i="35"/>
  <c r="L98" i="35"/>
  <c r="L97" i="35"/>
  <c r="L96" i="35"/>
  <c r="L95" i="35"/>
  <c r="L94" i="35"/>
  <c r="L93" i="35"/>
  <c r="L92" i="35"/>
  <c r="L91" i="35"/>
  <c r="L90" i="35"/>
  <c r="L89" i="35"/>
  <c r="L88" i="35"/>
  <c r="L87" i="35"/>
  <c r="L86" i="35"/>
  <c r="L85" i="35"/>
  <c r="L84" i="35"/>
  <c r="L83" i="35"/>
  <c r="L82" i="35"/>
  <c r="L81" i="35"/>
  <c r="L80" i="35"/>
  <c r="L79" i="35"/>
  <c r="L78" i="35"/>
  <c r="L77" i="35"/>
  <c r="L76" i="35"/>
  <c r="L75" i="35"/>
  <c r="L74" i="35"/>
  <c r="L73" i="35"/>
  <c r="L72" i="35"/>
  <c r="L71" i="35"/>
  <c r="L70" i="35"/>
  <c r="L69" i="35"/>
  <c r="L68" i="35"/>
  <c r="L67" i="35"/>
  <c r="L66" i="35"/>
  <c r="L65" i="35"/>
  <c r="L64" i="35"/>
  <c r="AD65" i="35"/>
  <c r="D18" i="25" s="1"/>
  <c r="AA65" i="35"/>
  <c r="Z65" i="35"/>
  <c r="Y65" i="35"/>
  <c r="W65" i="35"/>
  <c r="V65" i="35"/>
  <c r="U65" i="35"/>
  <c r="L63" i="35"/>
  <c r="AD64" i="35"/>
  <c r="AA64" i="35"/>
  <c r="Z64" i="35"/>
  <c r="Y64" i="35"/>
  <c r="W64" i="35"/>
  <c r="V64" i="35"/>
  <c r="U64" i="35"/>
  <c r="L62" i="35"/>
  <c r="AD63" i="35"/>
  <c r="AA63" i="35"/>
  <c r="Z63" i="35"/>
  <c r="Y63" i="35"/>
  <c r="W63" i="35"/>
  <c r="V63" i="35"/>
  <c r="U63" i="35"/>
  <c r="L61" i="35"/>
  <c r="L60" i="35"/>
  <c r="L59" i="35"/>
  <c r="L58" i="35"/>
  <c r="AD62" i="35"/>
  <c r="C18" i="25" s="1"/>
  <c r="AA62" i="35"/>
  <c r="Z62" i="35"/>
  <c r="Y62" i="35"/>
  <c r="W62" i="35"/>
  <c r="V62" i="35"/>
  <c r="U62" i="35"/>
  <c r="L57" i="35"/>
  <c r="AD61" i="35"/>
  <c r="C17" i="25" s="1"/>
  <c r="AA61" i="35"/>
  <c r="Z61" i="35"/>
  <c r="Y61" i="35"/>
  <c r="W61" i="35"/>
  <c r="V61" i="35"/>
  <c r="U61" i="35"/>
  <c r="L56" i="35"/>
  <c r="AD60" i="35"/>
  <c r="C16" i="25" s="1"/>
  <c r="AA60" i="35"/>
  <c r="Z60" i="35"/>
  <c r="Y60" i="35"/>
  <c r="W60" i="35"/>
  <c r="L55" i="35"/>
  <c r="L54" i="35"/>
  <c r="L53" i="35"/>
  <c r="L52" i="35"/>
  <c r="L51" i="35"/>
  <c r="L50" i="35"/>
  <c r="AD49" i="35"/>
  <c r="AA49" i="35"/>
  <c r="Z49" i="35"/>
  <c r="Y49" i="35"/>
  <c r="W49" i="35"/>
  <c r="V49" i="35"/>
  <c r="U49" i="35"/>
  <c r="L49" i="35"/>
  <c r="AD48" i="35"/>
  <c r="AA48" i="35"/>
  <c r="Z48" i="35"/>
  <c r="Y48" i="35"/>
  <c r="W48" i="35"/>
  <c r="V48" i="35"/>
  <c r="U48" i="35"/>
  <c r="L48" i="35"/>
  <c r="AD47" i="35"/>
  <c r="AA47" i="35"/>
  <c r="Z47" i="35"/>
  <c r="Y47" i="35"/>
  <c r="W47" i="35"/>
  <c r="V47" i="35"/>
  <c r="U47" i="35"/>
  <c r="L47" i="35"/>
  <c r="AD46" i="35"/>
  <c r="AA46" i="35"/>
  <c r="Z46" i="35"/>
  <c r="Y46" i="35"/>
  <c r="W46" i="35"/>
  <c r="V46" i="35"/>
  <c r="U46" i="35"/>
  <c r="L46" i="35"/>
  <c r="AD45" i="35"/>
  <c r="AA45" i="35"/>
  <c r="Z45" i="35"/>
  <c r="Y45" i="35"/>
  <c r="W45" i="35"/>
  <c r="V45" i="35"/>
  <c r="U45" i="35"/>
  <c r="L45" i="35"/>
  <c r="AD44" i="35"/>
  <c r="AA44" i="35"/>
  <c r="Z44" i="35"/>
  <c r="Y44" i="35"/>
  <c r="W44" i="35"/>
  <c r="V44" i="35"/>
  <c r="U44" i="35"/>
  <c r="L44" i="35"/>
  <c r="AD43" i="35"/>
  <c r="AA43" i="35"/>
  <c r="Z43" i="35"/>
  <c r="Y43" i="35"/>
  <c r="W43" i="35"/>
  <c r="V43" i="35"/>
  <c r="U43" i="35"/>
  <c r="L43" i="35"/>
  <c r="AD42" i="35"/>
  <c r="AA42" i="35"/>
  <c r="Z42" i="35"/>
  <c r="Y42" i="35"/>
  <c r="W42" i="35"/>
  <c r="V42" i="35"/>
  <c r="U42" i="35"/>
  <c r="L42" i="35"/>
  <c r="AD41" i="35"/>
  <c r="AA41" i="35"/>
  <c r="Z41" i="35"/>
  <c r="Y41" i="35"/>
  <c r="W41" i="35"/>
  <c r="V41" i="35"/>
  <c r="U41" i="35"/>
  <c r="L41" i="35"/>
  <c r="AD40" i="35"/>
  <c r="AA40" i="35"/>
  <c r="Z40" i="35"/>
  <c r="Y40" i="35"/>
  <c r="W40" i="35"/>
  <c r="V40" i="35"/>
  <c r="U40" i="35"/>
  <c r="L40" i="35"/>
  <c r="AD39" i="35"/>
  <c r="AA39" i="35"/>
  <c r="Z39" i="35"/>
  <c r="Y39" i="35"/>
  <c r="V39" i="35"/>
  <c r="U39" i="35"/>
  <c r="L39" i="35"/>
  <c r="AD38" i="35"/>
  <c r="AA38" i="35"/>
  <c r="F17" i="24" s="1"/>
  <c r="Z38" i="35"/>
  <c r="Y38" i="35"/>
  <c r="V38" i="35"/>
  <c r="U38" i="35"/>
  <c r="L38" i="35"/>
  <c r="L37" i="35"/>
  <c r="L36" i="35"/>
  <c r="L35" i="35"/>
  <c r="L34" i="35"/>
  <c r="L33" i="35"/>
  <c r="AA32" i="35"/>
  <c r="Z32" i="35"/>
  <c r="Y32" i="35"/>
  <c r="W32" i="35"/>
  <c r="V32" i="35"/>
  <c r="U32" i="35"/>
  <c r="L32" i="35"/>
  <c r="AA31" i="35"/>
  <c r="Z31" i="35"/>
  <c r="Y31" i="35"/>
  <c r="W31" i="35"/>
  <c r="V31" i="35"/>
  <c r="U31" i="35"/>
  <c r="L31" i="35"/>
  <c r="AA30" i="35"/>
  <c r="Z30" i="35"/>
  <c r="Y30" i="35"/>
  <c r="W30" i="35"/>
  <c r="V30" i="35"/>
  <c r="U30" i="35"/>
  <c r="L30" i="35"/>
  <c r="AA29" i="35"/>
  <c r="Z29" i="35"/>
  <c r="Y29" i="35"/>
  <c r="W29" i="35"/>
  <c r="V29" i="35"/>
  <c r="U29" i="35"/>
  <c r="L29" i="35"/>
  <c r="AA28" i="35"/>
  <c r="Z28" i="35"/>
  <c r="Y28" i="35"/>
  <c r="W28" i="35"/>
  <c r="V28" i="35"/>
  <c r="U28" i="35"/>
  <c r="L28" i="35"/>
  <c r="AA27" i="35"/>
  <c r="Z27" i="35"/>
  <c r="Y27" i="35"/>
  <c r="W27" i="35"/>
  <c r="V27" i="35"/>
  <c r="U27" i="35"/>
  <c r="L27" i="35"/>
  <c r="AA26" i="35"/>
  <c r="Z26" i="35"/>
  <c r="Y26" i="35"/>
  <c r="W26" i="35"/>
  <c r="V26" i="35"/>
  <c r="U26" i="35"/>
  <c r="L26" i="35"/>
  <c r="AA25" i="35"/>
  <c r="Z25" i="35"/>
  <c r="Y25" i="35"/>
  <c r="W25" i="35"/>
  <c r="V25" i="35"/>
  <c r="U25" i="35"/>
  <c r="L25" i="35"/>
  <c r="X65" i="35" s="1"/>
  <c r="Z24" i="35"/>
  <c r="Y24" i="35"/>
  <c r="W24" i="35"/>
  <c r="V24" i="35"/>
  <c r="U24" i="35"/>
  <c r="L24" i="35"/>
  <c r="L23" i="35"/>
  <c r="L22" i="35"/>
  <c r="L21" i="35"/>
  <c r="L20" i="35"/>
  <c r="C59" i="25" l="1"/>
  <c r="C58" i="25"/>
  <c r="D61" i="26"/>
  <c r="D62" i="26"/>
  <c r="C61" i="26"/>
  <c r="D48" i="14"/>
  <c r="D49" i="14" s="1"/>
  <c r="E48" i="14"/>
  <c r="C60" i="24"/>
  <c r="C60" i="14"/>
  <c r="C59" i="14" s="1"/>
  <c r="E60" i="14"/>
  <c r="E59" i="14" s="1"/>
  <c r="D60" i="14"/>
  <c r="D59" i="14" s="1"/>
  <c r="C27" i="7"/>
  <c r="F46" i="24" s="1"/>
  <c r="C65" i="27"/>
  <c r="C64" i="27"/>
  <c r="D59" i="24"/>
  <c r="C59" i="24"/>
  <c r="D60" i="24"/>
  <c r="E60" i="24"/>
  <c r="E59" i="24"/>
  <c r="C62" i="26"/>
  <c r="X87" i="35"/>
  <c r="X88" i="35"/>
  <c r="AC43" i="35"/>
  <c r="C15" i="26"/>
  <c r="F18" i="24"/>
  <c r="F19" i="24"/>
  <c r="E17" i="24"/>
  <c r="AB42" i="35"/>
  <c r="X68" i="35"/>
  <c r="X67" i="35"/>
  <c r="X66" i="35"/>
  <c r="AB66" i="35"/>
  <c r="AB68" i="35"/>
  <c r="AB67" i="35"/>
  <c r="E18" i="24"/>
  <c r="E19" i="24"/>
  <c r="D17" i="24"/>
  <c r="AC41" i="35"/>
  <c r="AC42" i="35"/>
  <c r="AB64" i="35"/>
  <c r="C17" i="24"/>
  <c r="D18" i="24"/>
  <c r="C18" i="24"/>
  <c r="D19" i="24"/>
  <c r="AB41" i="35"/>
  <c r="C19" i="24"/>
  <c r="AB43" i="35"/>
  <c r="C18" i="27"/>
  <c r="C19" i="27"/>
  <c r="C20" i="27"/>
  <c r="E44" i="14"/>
  <c r="AB87" i="35"/>
  <c r="AB88" i="35"/>
  <c r="C44" i="14"/>
  <c r="C54" i="14"/>
  <c r="C45" i="14"/>
  <c r="C48" i="14" s="1"/>
  <c r="AB32" i="35"/>
  <c r="AB46" i="35"/>
  <c r="AB49" i="35"/>
  <c r="AB38" i="35"/>
  <c r="AB60" i="35"/>
  <c r="AB77" i="35"/>
  <c r="AB39" i="35"/>
  <c r="AB40" i="35"/>
  <c r="AB62" i="35"/>
  <c r="AB75" i="35"/>
  <c r="AB65" i="35"/>
  <c r="AB47" i="35"/>
  <c r="AB61" i="35"/>
  <c r="AB76" i="35"/>
  <c r="AB44" i="35"/>
  <c r="AB48" i="35"/>
  <c r="AB63" i="35"/>
  <c r="AB29" i="35"/>
  <c r="AB31" i="35"/>
  <c r="AB24" i="35"/>
  <c r="AB28" i="35"/>
  <c r="AB25" i="35"/>
  <c r="AB26" i="35"/>
  <c r="AB30" i="35"/>
  <c r="AB27" i="35"/>
  <c r="AC77" i="35"/>
  <c r="AC40" i="35"/>
  <c r="D17" i="25"/>
  <c r="AC60" i="35"/>
  <c r="AC76" i="35"/>
  <c r="AC49" i="35"/>
  <c r="AC38" i="35"/>
  <c r="AC32" i="35"/>
  <c r="AC39" i="35"/>
  <c r="AC47" i="35"/>
  <c r="AC61" i="35"/>
  <c r="AC65" i="35"/>
  <c r="AC30" i="35"/>
  <c r="E16" i="14" s="1"/>
  <c r="AC48" i="35"/>
  <c r="AC62" i="35"/>
  <c r="AC75" i="35"/>
  <c r="AC63" i="35"/>
  <c r="AC31" i="35"/>
  <c r="D16" i="25"/>
  <c r="AC28" i="35"/>
  <c r="AC26" i="35"/>
  <c r="AC24" i="35"/>
  <c r="AC29" i="35"/>
  <c r="AC25" i="35"/>
  <c r="AC27" i="35"/>
  <c r="X77" i="35"/>
  <c r="X38" i="35"/>
  <c r="X24" i="35"/>
  <c r="X75" i="35"/>
  <c r="X40" i="35"/>
  <c r="X49" i="35"/>
  <c r="X76" i="35"/>
  <c r="X45" i="35"/>
  <c r="X43" i="35"/>
  <c r="X29" i="35"/>
  <c r="D18" i="14" s="1"/>
  <c r="X60" i="35"/>
  <c r="X25" i="35"/>
  <c r="C17" i="14" s="1"/>
  <c r="X61" i="35"/>
  <c r="X31" i="35"/>
  <c r="X27" i="35"/>
  <c r="D16" i="14" s="1"/>
  <c r="X26" i="35"/>
  <c r="C18" i="14" s="1"/>
  <c r="X62" i="35"/>
  <c r="X39" i="35"/>
  <c r="X28" i="35"/>
  <c r="D17" i="14" s="1"/>
  <c r="X64" i="35"/>
  <c r="X42" i="35"/>
  <c r="X44" i="35"/>
  <c r="X46" i="35"/>
  <c r="X48" i="35"/>
  <c r="X30" i="35"/>
  <c r="X32" i="35"/>
  <c r="X63" i="35"/>
  <c r="X41" i="35"/>
  <c r="X47" i="35"/>
  <c r="C46" i="14" l="1"/>
  <c r="C55" i="14" s="1"/>
  <c r="C56" i="14" s="1"/>
  <c r="C57" i="14" s="1"/>
  <c r="F55" i="24"/>
  <c r="F50" i="24"/>
  <c r="D51" i="14"/>
  <c r="D48" i="26"/>
  <c r="D53" i="26"/>
  <c r="F46" i="14"/>
  <c r="D45" i="25"/>
  <c r="D54" i="25" s="1"/>
  <c r="D50" i="25"/>
  <c r="M37" i="15" s="1"/>
  <c r="F51" i="14"/>
  <c r="M21" i="15" s="1"/>
  <c r="F51" i="24"/>
  <c r="M22" i="15" s="1"/>
  <c r="F21" i="37"/>
  <c r="C51" i="27"/>
  <c r="E46" i="24"/>
  <c r="E46" i="14"/>
  <c r="E55" i="14" s="1"/>
  <c r="E56" i="14" s="1"/>
  <c r="E57" i="14" s="1"/>
  <c r="C48" i="26"/>
  <c r="C57" i="26" s="1"/>
  <c r="C51" i="24"/>
  <c r="C45" i="25"/>
  <c r="C54" i="25" s="1"/>
  <c r="C55" i="25" s="1"/>
  <c r="C56" i="25" s="1"/>
  <c r="D46" i="24"/>
  <c r="D51" i="24"/>
  <c r="M24" i="15"/>
  <c r="E51" i="24"/>
  <c r="C50" i="25"/>
  <c r="C56" i="27"/>
  <c r="C53" i="26"/>
  <c r="C46" i="24"/>
  <c r="D46" i="14"/>
  <c r="D55" i="14" s="1"/>
  <c r="E18" i="14"/>
  <c r="E17" i="14"/>
  <c r="E49" i="14"/>
  <c r="C49" i="14"/>
  <c r="C51" i="14" s="1"/>
  <c r="C17" i="22"/>
  <c r="B17" i="20"/>
  <c r="E50" i="14" l="1"/>
  <c r="M38" i="15"/>
  <c r="D57" i="26"/>
  <c r="D58" i="26" s="1"/>
  <c r="D59" i="26" s="1"/>
  <c r="D52" i="26"/>
  <c r="D19" i="37"/>
  <c r="M36" i="15"/>
  <c r="M35" i="15"/>
  <c r="F56" i="24"/>
  <c r="F57" i="24" s="1"/>
  <c r="D55" i="25"/>
  <c r="D56" i="25" s="1"/>
  <c r="D49" i="25"/>
  <c r="F55" i="14"/>
  <c r="F56" i="14" s="1"/>
  <c r="F57" i="14" s="1"/>
  <c r="F50" i="14"/>
  <c r="M23" i="15"/>
  <c r="D20" i="37"/>
  <c r="F20" i="37"/>
  <c r="D22" i="37"/>
  <c r="X80" i="15"/>
  <c r="X74" i="15"/>
  <c r="D56" i="14"/>
  <c r="D57" i="14" s="1"/>
  <c r="D50" i="14"/>
  <c r="C55" i="24"/>
  <c r="C56" i="24" s="1"/>
  <c r="C57" i="24" s="1"/>
  <c r="C50" i="24"/>
  <c r="D55" i="24"/>
  <c r="D56" i="24" s="1"/>
  <c r="D57" i="24" s="1"/>
  <c r="D50" i="24"/>
  <c r="C58" i="26"/>
  <c r="C59" i="26" s="1"/>
  <c r="C52" i="26"/>
  <c r="C49" i="25"/>
  <c r="C60" i="27"/>
  <c r="C61" i="27" s="1"/>
  <c r="C62" i="27" s="1"/>
  <c r="C55" i="27"/>
  <c r="E55" i="24"/>
  <c r="E56" i="24" s="1"/>
  <c r="E57" i="24" s="1"/>
  <c r="E50" i="24"/>
  <c r="E51" i="14"/>
  <c r="C50" i="14"/>
  <c r="G18" i="23"/>
  <c r="D17" i="22"/>
  <c r="E19" i="21"/>
  <c r="D19" i="21"/>
  <c r="D27" i="37" l="1"/>
  <c r="D24" i="37"/>
  <c r="D25" i="37"/>
  <c r="D26" i="37"/>
  <c r="M40" i="15"/>
  <c r="F37" i="37"/>
  <c r="D21" i="37"/>
  <c r="V80" i="15"/>
  <c r="V74" i="15"/>
  <c r="M26" i="15"/>
  <c r="F25" i="22"/>
  <c r="F27" i="22"/>
  <c r="G27" i="22"/>
  <c r="D38" i="37" l="1"/>
  <c r="D37" i="37"/>
  <c r="E30" i="20"/>
  <c r="E26" i="24" s="1"/>
  <c r="D37" i="15" s="1"/>
  <c r="H37" i="15" s="1"/>
  <c r="I37" i="15" s="1"/>
  <c r="C17" i="20"/>
  <c r="F19" i="21"/>
  <c r="C19" i="21"/>
  <c r="J31" i="21" s="1"/>
  <c r="I17" i="20"/>
  <c r="C19" i="19"/>
  <c r="G19" i="19"/>
  <c r="F19" i="19"/>
  <c r="E19" i="19"/>
  <c r="I29" i="19" s="1"/>
  <c r="D19" i="19"/>
  <c r="D17" i="20"/>
  <c r="I31" i="19"/>
  <c r="J29" i="21"/>
  <c r="J30" i="19"/>
  <c r="I33" i="19"/>
  <c r="I34" i="19"/>
  <c r="J28" i="21"/>
  <c r="I27" i="19" l="1"/>
  <c r="K31" i="21"/>
  <c r="J28" i="19"/>
  <c r="I28" i="19" s="1"/>
  <c r="K29" i="21"/>
  <c r="C25" i="25" s="1"/>
  <c r="D23" i="15" s="1"/>
  <c r="J30" i="21"/>
  <c r="K28" i="21"/>
  <c r="E31" i="20"/>
  <c r="J34" i="19"/>
  <c r="J33" i="19"/>
  <c r="E26" i="14" s="1"/>
  <c r="J32" i="19"/>
  <c r="C26" i="14" s="1"/>
  <c r="M37" i="11"/>
  <c r="D27" i="20"/>
  <c r="D36" i="15" l="1"/>
  <c r="H36" i="15" s="1"/>
  <c r="I36" i="15" s="1"/>
  <c r="I41" i="15" s="1"/>
  <c r="J40" i="15" s="1"/>
  <c r="N39" i="15" s="1"/>
  <c r="D21" i="15"/>
  <c r="J27" i="19"/>
  <c r="K30" i="21"/>
  <c r="J38" i="15" l="1"/>
  <c r="I44" i="15"/>
  <c r="J36" i="15"/>
  <c r="J39" i="15"/>
  <c r="J37" i="15"/>
  <c r="P39" i="15"/>
  <c r="G28" i="37" s="1"/>
  <c r="E28" i="37"/>
  <c r="E18" i="23"/>
  <c r="C18" i="23" s="1"/>
  <c r="F18" i="23" l="1"/>
  <c r="E24" i="23"/>
  <c r="G24" i="23" s="1" a="1"/>
  <c r="G24" i="23" l="1"/>
  <c r="C31" i="27" s="1"/>
  <c r="F24" i="23" l="1"/>
  <c r="H23" i="15"/>
  <c r="I23" i="15" s="1"/>
  <c r="G26" i="7" l="1"/>
  <c r="C15" i="15" s="1"/>
  <c r="C6" i="37" s="1" a="1"/>
  <c r="C6" i="37" s="1"/>
  <c r="L22" i="15"/>
  <c r="L23" i="15"/>
  <c r="L24" i="15"/>
  <c r="L25" i="15"/>
  <c r="G37" i="37" l="1"/>
  <c r="G38" i="37"/>
  <c r="G25" i="22"/>
  <c r="C28" i="26" s="1"/>
  <c r="G26" i="22"/>
  <c r="D28" i="26" s="1"/>
  <c r="F26" i="22" l="1"/>
  <c r="I32" i="19" l="1"/>
  <c r="H17" i="20" a="1"/>
  <c r="H17" i="20" s="1"/>
  <c r="I30" i="19" a="1"/>
  <c r="I30" i="19" s="1"/>
  <c r="H21" i="15"/>
  <c r="I21" i="15" s="1"/>
  <c r="J31" i="19"/>
  <c r="D29" i="20"/>
  <c r="D28" i="20" l="1"/>
  <c r="N35" i="15"/>
  <c r="N36" i="15"/>
  <c r="Q39" i="15"/>
  <c r="H28" i="37" s="1"/>
  <c r="D31" i="20"/>
  <c r="D30" i="20"/>
  <c r="E29" i="20"/>
  <c r="D26" i="24" s="1"/>
  <c r="E27" i="20"/>
  <c r="C26" i="24" s="1"/>
  <c r="D22" i="15" s="1"/>
  <c r="H22" i="15" s="1"/>
  <c r="I22" i="15" s="1"/>
  <c r="I26" i="15" s="1"/>
  <c r="D26" i="20"/>
  <c r="E26" i="20" s="1"/>
  <c r="J24" i="15" l="1"/>
  <c r="I27" i="15"/>
  <c r="I30" i="15" s="1"/>
  <c r="J21" i="15"/>
  <c r="J25" i="15"/>
  <c r="N25" i="15" s="1"/>
  <c r="J22" i="15"/>
  <c r="J23" i="15"/>
  <c r="I29" i="15"/>
  <c r="I38" i="37"/>
  <c r="I42" i="15"/>
  <c r="I45" i="15" s="1"/>
  <c r="P25" i="15" l="1"/>
  <c r="G23" i="37" s="1"/>
  <c r="E23" i="37"/>
  <c r="G49" i="37"/>
  <c r="F49" i="37"/>
  <c r="D49" i="37"/>
  <c r="N22" i="15"/>
  <c r="N23" i="15"/>
  <c r="N21" i="15"/>
  <c r="E19" i="37" s="1"/>
  <c r="N24" i="15"/>
  <c r="N38" i="15"/>
  <c r="N37" i="15"/>
  <c r="I37" i="37"/>
  <c r="Q25" i="15" l="1"/>
  <c r="H23" i="37" s="1"/>
  <c r="G48" i="37"/>
  <c r="F48" i="37"/>
  <c r="D48" i="37"/>
  <c r="G19" i="37"/>
  <c r="N40" i="15"/>
  <c r="E24" i="37"/>
  <c r="P35" i="15"/>
  <c r="E26" i="37"/>
  <c r="P37" i="15"/>
  <c r="P38" i="15"/>
  <c r="E27" i="37"/>
  <c r="E25" i="37"/>
  <c r="P36" i="15"/>
  <c r="P23" i="15"/>
  <c r="E21" i="37"/>
  <c r="P24" i="15"/>
  <c r="E22" i="37"/>
  <c r="G24" i="37" l="1"/>
  <c r="P40" i="15"/>
  <c r="P21" i="15"/>
  <c r="Q21" i="15" s="1"/>
  <c r="G27" i="37"/>
  <c r="G26" i="37"/>
  <c r="G25" i="37"/>
  <c r="Q38" i="15"/>
  <c r="Q36" i="15"/>
  <c r="Q35" i="15"/>
  <c r="E38" i="37"/>
  <c r="H38" i="37" s="1"/>
  <c r="Q37" i="15"/>
  <c r="Q24" i="15"/>
  <c r="G22" i="37"/>
  <c r="H22" i="37" s="1"/>
  <c r="W80" i="15"/>
  <c r="E20" i="37"/>
  <c r="E37" i="37" s="1"/>
  <c r="H37" i="37" s="1"/>
  <c r="G21" i="37"/>
  <c r="N26" i="15"/>
  <c r="W74" i="15"/>
  <c r="P22" i="15"/>
  <c r="Q23" i="15"/>
  <c r="H24" i="37" l="1"/>
  <c r="E49" i="37"/>
  <c r="E48" i="37"/>
  <c r="H25" i="37"/>
  <c r="H27" i="37"/>
  <c r="H26" i="37"/>
  <c r="H21" i="37"/>
  <c r="H19" i="37"/>
  <c r="Q40" i="15"/>
  <c r="Q22" i="15"/>
  <c r="G20" i="37"/>
  <c r="P26" i="15"/>
  <c r="H49" i="37" l="1"/>
  <c r="H20" i="37"/>
  <c r="Q26" i="15"/>
  <c r="H4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  <author>Carlos</author>
  </authors>
  <commentList>
    <comment ref="D16" authorId="0" shapeId="0" xr:uid="{E2C4A17A-F6BA-4904-8882-489EF3D45C14}">
      <text>
        <r>
          <rPr>
            <b/>
            <sz val="14"/>
            <color indexed="81"/>
            <rFont val="Tahoma"/>
            <family val="2"/>
          </rPr>
          <t>Método extraído desde Kluender et al 1996, pg 57.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 xr:uid="{147820C6-AA95-41AA-BD31-3D4DD647B630}">
      <text>
        <r>
          <rPr>
            <b/>
            <sz val="9"/>
            <color indexed="81"/>
            <rFont val="Tahoma"/>
            <family val="2"/>
          </rPr>
          <t xml:space="preserve">Volumen Carga Skidder Cable
</t>
        </r>
      </text>
    </comment>
    <comment ref="F16" authorId="1" shapeId="0" xr:uid="{DE76E650-EB6E-40C0-B7D1-D958C4793A05}">
      <text>
        <r>
          <rPr>
            <b/>
            <sz val="9"/>
            <color indexed="81"/>
            <rFont val="Tahoma"/>
            <family val="2"/>
          </rPr>
          <t>Volúmen de carga skidder garra</t>
        </r>
      </text>
    </comment>
    <comment ref="G16" authorId="0" shapeId="0" xr:uid="{6757D7D6-FA03-4200-BF55-0D91CAE910C2}">
      <text>
        <r>
          <rPr>
            <b/>
            <sz val="9"/>
            <color indexed="81"/>
            <rFont val="Tahoma"/>
            <family val="2"/>
          </rPr>
          <t xml:space="preserve">Volumen Carga Forwarder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F16" authorId="0" shapeId="0" xr:uid="{0B090300-230D-43B9-9402-C1E9ACF2020B}">
      <text>
        <r>
          <rPr>
            <b/>
            <sz val="18"/>
            <color indexed="81"/>
            <rFont val="Tahoma"/>
            <family val="2"/>
          </rPr>
          <t xml:space="preserve">Número de Trozas de Carga Camión en base al
Volúmen de Troza Medio.
</t>
        </r>
        <r>
          <rPr>
            <sz val="1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</author>
  </authors>
  <commentList>
    <comment ref="B31" authorId="0" shapeId="0" xr:uid="{B2EE27EE-2B5E-4061-A9FD-494CF3501604}">
      <text>
        <r>
          <rPr>
            <b/>
            <sz val="9"/>
            <color indexed="81"/>
            <rFont val="Tahoma"/>
            <family val="2"/>
          </rPr>
          <t xml:space="preserve">
            EXPLICAR LOS PARÁMETROS
                       EN EL TEXTO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</author>
  </authors>
  <commentList>
    <comment ref="G34" authorId="0" shapeId="0" xr:uid="{D07D0949-DAC8-4645-AFDD-667EF0CEC73A}">
      <text>
        <r>
          <rPr>
            <b/>
            <sz val="9"/>
            <color indexed="81"/>
            <rFont val="Tahoma"/>
            <family val="2"/>
          </rPr>
          <t xml:space="preserve">
            EXPLICAR LOS PARÁMETROS
                       EN EL TEXTO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M19" authorId="0" shapeId="0" xr:uid="{9E9532E6-1AEC-484E-9F26-BEE75C111EAB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P19" authorId="0" shapeId="0" xr:uid="{77F7B682-BCB2-4A08-84B9-74F70FCFA607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23" authorId="0" shapeId="0" xr:uid="{C0773E42-7DA5-4283-8668-819825F81CE8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23" authorId="0" shapeId="0" xr:uid="{91E4AB7E-BC76-4360-A073-C19D3B5D7F30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AA23" authorId="0" shapeId="0" xr:uid="{8FBC2573-72C1-49CE-8F34-EBCBC99ED2FE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37" authorId="0" shapeId="0" xr:uid="{FB43277D-C599-4797-B599-5204B033B90B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37" authorId="0" shapeId="0" xr:uid="{B0344BC1-9C4F-4790-81CA-D7AE0266BD7D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AA37" authorId="0" shapeId="0" xr:uid="{685694C8-3513-47B8-B01F-20DE43341CF3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59" authorId="0" shapeId="0" xr:uid="{72FAA7A1-D402-40DD-AD02-3A6B66196045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59" authorId="0" shapeId="0" xr:uid="{BD0F2016-6ACD-4FDB-8F2E-CC103CC6764A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Y74" authorId="0" shapeId="0" xr:uid="{EC89E0EE-503C-4319-A763-6CA0AADBCBC5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74" authorId="0" shapeId="0" xr:uid="{7531B244-51ED-4BE2-BC2A-4BA7EE633F69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Y86" authorId="0" shapeId="0" xr:uid="{27EE8879-674B-43E1-BE26-4DD08F13A1B0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86" authorId="0" shapeId="0" xr:uid="{8573E233-FF59-4B7A-8374-BD6380BD52DB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A352B2-4B27-43C4-8EEF-517F5AA85CCC}" keepAlive="1" name="Consulta - Page045" description="Conexión a la consulta 'Page045' en el libro." type="5" refreshedVersion="7" background="1" saveData="1">
    <dbPr connection="Provider=Microsoft.Mashup.OleDb.1;Data Source=$Workbook$;Location=Page045;Extended Properties=&quot;&quot;" command="SELECT * FROM [Page045]"/>
  </connection>
  <connection id="2" xr16:uid="{AC003590-809F-4816-B32A-31B4AB0DB3A0}" keepAlive="1" name="Consulta - Page057" description="Conexión a la consulta 'Page057' en el libro." type="5" refreshedVersion="7" background="1" saveData="1">
    <dbPr connection="Provider=Microsoft.Mashup.OleDb.1;Data Source=$Workbook$;Location=Page057;Extended Properties=&quot;&quot;" command="SELECT * FROM [Page057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<sst xmlns="http://schemas.openxmlformats.org/spreadsheetml/2006/main" count="1708" uniqueCount="408">
  <si>
    <t>Volteo</t>
  </si>
  <si>
    <t>Madereo</t>
  </si>
  <si>
    <t>Lortz et al 1997</t>
  </si>
  <si>
    <t>Subsistema</t>
  </si>
  <si>
    <t>Máquina</t>
  </si>
  <si>
    <t>N/ha</t>
  </si>
  <si>
    <t>Spp</t>
  </si>
  <si>
    <t>Bosque</t>
  </si>
  <si>
    <t>Harvester</t>
  </si>
  <si>
    <t>Plantación</t>
  </si>
  <si>
    <t>Edad (años)</t>
  </si>
  <si>
    <t>Motosierra</t>
  </si>
  <si>
    <t>varios</t>
  </si>
  <si>
    <t>s especificar</t>
  </si>
  <si>
    <t>P radiata</t>
  </si>
  <si>
    <t>m</t>
  </si>
  <si>
    <t>Procesado</t>
  </si>
  <si>
    <t>Kulak et al 2017</t>
  </si>
  <si>
    <t>Kluender 1997</t>
  </si>
  <si>
    <t>Skidder Cable</t>
  </si>
  <si>
    <t>Forwarder</t>
  </si>
  <si>
    <t>Strandgard et al 2017</t>
  </si>
  <si>
    <t>Evanson 1996</t>
  </si>
  <si>
    <t>Cosecha</t>
  </si>
  <si>
    <t>Raleo</t>
  </si>
  <si>
    <t>Skidder Garra</t>
  </si>
  <si>
    <t>Corta parcial</t>
  </si>
  <si>
    <t>Mixto</t>
  </si>
  <si>
    <t>Wang et al 2004</t>
  </si>
  <si>
    <t>Título</t>
  </si>
  <si>
    <t>Time consumption and productivity of a forwarder operating on a slope in a cut-to-length harvest system in a Pinus radiata D. Don pine plantation</t>
  </si>
  <si>
    <t>cm</t>
  </si>
  <si>
    <t>Referencia</t>
  </si>
  <si>
    <t>Productivity and cost of manual felling and cable skidding in central Appalachian hardwood forests</t>
  </si>
  <si>
    <t>Manual felling time and productivity in southern pine forests</t>
  </si>
  <si>
    <t>The Prediction Models and Cost Evaluation of Cut-To-Lenght (CTL) Harvesting Method in a Mountainous Forest</t>
  </si>
  <si>
    <t>Cargador</t>
  </si>
  <si>
    <t>Fellerbuncher</t>
  </si>
  <si>
    <t>Carguío</t>
  </si>
  <si>
    <t>Transporte</t>
  </si>
  <si>
    <t>Camión</t>
  </si>
  <si>
    <t>Unidad</t>
  </si>
  <si>
    <t>$/hrpl</t>
  </si>
  <si>
    <t>Arroyo 2005</t>
  </si>
  <si>
    <t>Método cosecha</t>
  </si>
  <si>
    <t>meses</t>
  </si>
  <si>
    <t>%</t>
  </si>
  <si>
    <t>Trozado</t>
  </si>
  <si>
    <t>Troza Larga</t>
  </si>
  <si>
    <t>Li et al 2006</t>
  </si>
  <si>
    <t>Cadicifolio</t>
  </si>
  <si>
    <t>Cosecha Parcial</t>
  </si>
  <si>
    <t>Production economics of harvesting small-diameter hardwood stands in central Appalachia</t>
  </si>
  <si>
    <t>Árbol Completo</t>
  </si>
  <si>
    <t>Troza Corta</t>
  </si>
  <si>
    <t>Heteroetáneo</t>
  </si>
  <si>
    <t>Kobayashi et al 1996</t>
  </si>
  <si>
    <t>Productividad, %</t>
  </si>
  <si>
    <t>min/ciclo</t>
  </si>
  <si>
    <t>Ghaffariyan et al 2012</t>
  </si>
  <si>
    <t>Apilado</t>
  </si>
  <si>
    <t>Si</t>
  </si>
  <si>
    <t>No</t>
  </si>
  <si>
    <t>Hartsough 1999</t>
  </si>
  <si>
    <t>N, n/ha</t>
  </si>
  <si>
    <t>Fuente</t>
  </si>
  <si>
    <t>Kluender et al 1997</t>
  </si>
  <si>
    <t>V, m3/ha</t>
  </si>
  <si>
    <r>
      <t>V, 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/ha</t>
    </r>
  </si>
  <si>
    <t>Motor, hp</t>
  </si>
  <si>
    <t>Nro Trozas / Camión</t>
  </si>
  <si>
    <t>D.m, cm</t>
  </si>
  <si>
    <t>H.m, m</t>
  </si>
  <si>
    <t>Schneider 1987</t>
  </si>
  <si>
    <t>Hidráulico</t>
  </si>
  <si>
    <t>Cable</t>
  </si>
  <si>
    <t>Schneider 1978</t>
  </si>
  <si>
    <r>
      <t>VTr.m,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</si>
  <si>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Vol Carga Camión, m</t>
    </r>
    <r>
      <rPr>
        <vertAlign val="superscript"/>
        <sz val="11"/>
        <color theme="0"/>
        <rFont val="Calibri"/>
        <family val="2"/>
        <scheme val="minor"/>
      </rPr>
      <t>3</t>
    </r>
  </si>
  <si>
    <t>NTrCC, n</t>
  </si>
  <si>
    <t>Desrrame</t>
  </si>
  <si>
    <t>Rxt, hrpr/ha</t>
  </si>
  <si>
    <t>Descotezado</t>
  </si>
  <si>
    <t>Rxv, m3/hrpr</t>
  </si>
  <si>
    <t>DMM, m</t>
  </si>
  <si>
    <t>Inversión Inicial (II), $</t>
  </si>
  <si>
    <t>Camión 1</t>
  </si>
  <si>
    <t xml:space="preserve"> </t>
  </si>
  <si>
    <t>Productivity and Time Consumption of Timber Extraction with a Grapple Skidder in Selected Pine Stands</t>
  </si>
  <si>
    <r>
      <t>VCSC,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</si>
  <si>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VCSG,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</si>
  <si>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VCF,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</si>
  <si>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 xml:space="preserve">m3/hrpl </t>
    </r>
    <r>
      <rPr>
        <b/>
        <sz val="11"/>
        <color theme="1"/>
        <rFont val="Calibri"/>
        <family val="2"/>
        <scheme val="minor"/>
      </rPr>
      <t>Sistema</t>
    </r>
    <r>
      <rPr>
        <sz val="11"/>
        <color theme="1"/>
        <rFont val="Calibri"/>
        <family val="2"/>
        <scheme val="minor"/>
      </rPr>
      <t xml:space="preserve"> --&gt;</t>
    </r>
  </si>
  <si>
    <r>
      <t xml:space="preserve">m3/día </t>
    </r>
    <r>
      <rPr>
        <b/>
        <sz val="11"/>
        <color theme="1"/>
        <rFont val="Calibri"/>
        <family val="2"/>
        <scheme val="minor"/>
      </rPr>
      <t>Sistema</t>
    </r>
    <r>
      <rPr>
        <sz val="11"/>
        <color theme="1"/>
        <rFont val="Calibri"/>
        <family val="2"/>
        <scheme val="minor"/>
      </rPr>
      <t xml:space="preserve"> --&gt;</t>
    </r>
  </si>
  <si>
    <r>
      <t xml:space="preserve">m3/día </t>
    </r>
    <r>
      <rPr>
        <b/>
        <sz val="11"/>
        <color theme="1"/>
        <rFont val="Calibri"/>
        <family val="2"/>
        <scheme val="minor"/>
      </rPr>
      <t xml:space="preserve">Transporte </t>
    </r>
    <r>
      <rPr>
        <sz val="11"/>
        <color theme="1"/>
        <rFont val="Calibri"/>
        <family val="2"/>
        <scheme val="minor"/>
      </rPr>
      <t xml:space="preserve"> --&gt;</t>
    </r>
  </si>
  <si>
    <t>Utilización</t>
  </si>
  <si>
    <r>
      <t>Rxv, 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/hrpr</t>
    </r>
  </si>
  <si>
    <r>
      <t>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/hrpl [1 solo]</t>
    </r>
  </si>
  <si>
    <r>
      <t>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/hrpl [todos]</t>
    </r>
  </si>
  <si>
    <t>Rxt , hrpr/ha</t>
  </si>
  <si>
    <t>Despunte</t>
  </si>
  <si>
    <t>Descortezado</t>
  </si>
  <si>
    <t>Vida Útil, años</t>
  </si>
  <si>
    <t>Año</t>
  </si>
  <si>
    <t>Distancia viaje, Km</t>
  </si>
  <si>
    <t>Descarga, min/camión</t>
  </si>
  <si>
    <t>PRODUCTIVITY 0F RUBBER-TIRED SKIDDERS IN SOUTHERN PINE FORESTS</t>
  </si>
  <si>
    <t>CF, $</t>
  </si>
  <si>
    <t>CV, $</t>
  </si>
  <si>
    <t>CMO, $</t>
  </si>
  <si>
    <t>Descripción</t>
  </si>
  <si>
    <t>hrpl/día</t>
  </si>
  <si>
    <t>m, %</t>
  </si>
  <si>
    <t>Prescripción Silv</t>
  </si>
  <si>
    <t>Sin Especificar</t>
  </si>
  <si>
    <t>A Log Truck Loading Study in the Intermountain Region: Production And Costs</t>
  </si>
  <si>
    <t>Ghaffariyan et al 2013</t>
  </si>
  <si>
    <t>n trozas</t>
  </si>
  <si>
    <t>Machine Productivity and residual harvesting residues associated with a cut-to-lenght harvest system in southern Tasmania</t>
  </si>
  <si>
    <t>D.m</t>
  </si>
  <si>
    <r>
      <t>VTr, 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 ha</t>
    </r>
  </si>
  <si>
    <t>Improvement and evaluation of Feller-Buncher Head</t>
  </si>
  <si>
    <t>Cut to lenght Harvesting of short-rotation Eucalyptus</t>
  </si>
  <si>
    <t>Valor</t>
  </si>
  <si>
    <t>V/ha</t>
  </si>
  <si>
    <t>Distancia media entre árboles (DeA)</t>
  </si>
  <si>
    <t>Noirihiro et al 2018</t>
  </si>
  <si>
    <t>Eucaliptus</t>
  </si>
  <si>
    <t>Productivity Model for Cut-to-Length Harvester Operation in South African Eucalyptus Pulpwood Plantations</t>
  </si>
  <si>
    <t>Norihiro et al 2018</t>
  </si>
  <si>
    <t>NULO</t>
  </si>
  <si>
    <t>Número de árboles por Hectárea (N)</t>
  </si>
  <si>
    <t>Volúmen total por hectárea (V)</t>
  </si>
  <si>
    <t>Altura media del rodal (H.m)</t>
  </si>
  <si>
    <t>Volumen del árbol medio (V.m)</t>
  </si>
  <si>
    <t>Diámetro del árbol medio (D.m)</t>
  </si>
  <si>
    <t>Volumen medio de Troza (VTR.m)</t>
  </si>
  <si>
    <t>m1_D.m, cm</t>
  </si>
  <si>
    <r>
      <t>m1.V,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/ha</t>
    </r>
  </si>
  <si>
    <r>
      <t>m1_V.m,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</si>
  <si>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m1_N, árb/ha</t>
  </si>
  <si>
    <t>m1_DeA, m</t>
  </si>
  <si>
    <r>
      <t>V.m,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</si>
  <si>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r>
      <t>V.m, m</t>
    </r>
    <r>
      <rPr>
        <vertAlign val="superscript"/>
        <sz val="11"/>
        <color theme="0"/>
        <rFont val="Calibri"/>
        <family val="2"/>
        <scheme val="minor"/>
      </rPr>
      <t>3</t>
    </r>
  </si>
  <si>
    <t>Pendiente. %</t>
  </si>
  <si>
    <t>V, m3/ha2</t>
  </si>
  <si>
    <t>Caducifolio</t>
  </si>
  <si>
    <r>
      <t>m</t>
    </r>
    <r>
      <rPr>
        <vertAlign val="superscript"/>
        <sz val="18"/>
        <color theme="1"/>
        <rFont val="Calibri"/>
        <family val="2"/>
        <scheme val="minor"/>
      </rPr>
      <t>3</t>
    </r>
  </si>
  <si>
    <t>coniferas</t>
  </si>
  <si>
    <t>cosecha</t>
  </si>
  <si>
    <t>GH</t>
  </si>
  <si>
    <t>Productivity Measurment of two Waratah 234 hydraulic Tree Harvtester in radiata Pine in New Zeland</t>
  </si>
  <si>
    <t>Volteo y Procesado</t>
  </si>
  <si>
    <t>Base</t>
  </si>
  <si>
    <t>Evaluación Técnica y modelamiento de procesador en cosecha de Pinus radiata en la X Región</t>
  </si>
  <si>
    <t>Volumen comercial (Vcom)</t>
  </si>
  <si>
    <t>Pcs Skidder, n</t>
  </si>
  <si>
    <t>Akay et al 2004</t>
  </si>
  <si>
    <t>Determining Productivity of Mechanized Harvesting Machines</t>
  </si>
  <si>
    <t>ha</t>
  </si>
  <si>
    <t>Pendiente del Terreno (PT)</t>
  </si>
  <si>
    <t>Distancia Media de Madereo (DMM)</t>
  </si>
  <si>
    <t>Superficie total a cosechar (STC)</t>
  </si>
  <si>
    <t>hrpl/mes</t>
  </si>
  <si>
    <t>hrpl/año</t>
  </si>
  <si>
    <t>Potencia motor, hp</t>
  </si>
  <si>
    <t>Skidder-Garra</t>
  </si>
  <si>
    <t>Skidder</t>
  </si>
  <si>
    <t>Apellido</t>
  </si>
  <si>
    <t>Sistema</t>
  </si>
  <si>
    <t>Inv. Inicial (II), $</t>
  </si>
  <si>
    <t>Valor Reventa (VR), $</t>
  </si>
  <si>
    <t>Vida Útil, (años)</t>
  </si>
  <si>
    <t>Depreciación ($/año)</t>
  </si>
  <si>
    <t>Mantención &amp; Reparación, %</t>
  </si>
  <si>
    <t>Cons comb, lt/hrpr</t>
  </si>
  <si>
    <t>Factor Lubricantes, %</t>
  </si>
  <si>
    <t>Berguer</t>
  </si>
  <si>
    <t>Altamente mecanizado</t>
  </si>
  <si>
    <t xml:space="preserve">Retroexcavadora </t>
  </si>
  <si>
    <t>Acuña</t>
  </si>
  <si>
    <t>Arbol Completo</t>
  </si>
  <si>
    <t>Promedio</t>
  </si>
  <si>
    <t>Mínimo</t>
  </si>
  <si>
    <t>Máximo</t>
  </si>
  <si>
    <t>Skidder-Cable</t>
  </si>
  <si>
    <t>Procesador</t>
  </si>
  <si>
    <t>Desrame y Trozado</t>
  </si>
  <si>
    <t>Trineumático</t>
  </si>
  <si>
    <t>Ordenamiento</t>
  </si>
  <si>
    <t>Brinker et al</t>
  </si>
  <si>
    <t>Volteo-Procesado</t>
  </si>
  <si>
    <t>madereo</t>
  </si>
  <si>
    <t>Wang et al</t>
  </si>
  <si>
    <t>Reza et al</t>
  </si>
  <si>
    <t>Shape of Skidder Productivity Function for Ground Based Skidding System in Caspian Forests</t>
  </si>
  <si>
    <t>Behjou@Holmes et al</t>
  </si>
  <si>
    <t>Artículo</t>
  </si>
  <si>
    <t>Behjou</t>
  </si>
  <si>
    <t>Reviewing productivity studies of skidders working in coniferous forests and plantations</t>
  </si>
  <si>
    <t>Ghaffariyan@ Hartsough et al 2004</t>
  </si>
  <si>
    <t>Ghaffariyan@ Andersson, Dyson 2012</t>
  </si>
  <si>
    <t>Ghaffariyan@ Lopez et al  2014</t>
  </si>
  <si>
    <t>Ghaffariyan@ Adebayo et al 2007</t>
  </si>
  <si>
    <t>Ghaffariyan@ Lanford, Stokes 1996</t>
  </si>
  <si>
    <t>Ghaffariyan@ Olsen 1983</t>
  </si>
  <si>
    <t>Ghaffariyan@ Visser 2003</t>
  </si>
  <si>
    <t>Ghaffariyan@ Kluender 1997</t>
  </si>
  <si>
    <t>Ghaffariyan@ Ngulube 2012</t>
  </si>
  <si>
    <t>Ghaffariyan@ Akay et al 2004</t>
  </si>
  <si>
    <t>Ghaffariyan@ Gluschkov, markoff 2007</t>
  </si>
  <si>
    <t>Ghaffariyan@ Sabo, Porsinsky 2005</t>
  </si>
  <si>
    <t>Ghaffariyan@ Townsend et al 2019</t>
  </si>
  <si>
    <t>Ghaffariyan@ Boe 1963</t>
  </si>
  <si>
    <t>Ghaffariyan@ Kellog, David 2004</t>
  </si>
  <si>
    <t xml:space="preserve">Kluender et al </t>
  </si>
  <si>
    <t>Utilization Rates and Cost Factors in Timber Harvesting Based on Long-Term Machine Data</t>
  </si>
  <si>
    <t>Holzleitner et al</t>
  </si>
  <si>
    <t>Machine productvity and residual harvesting residues associated with cut-to-lenght harvest system in southern Tasmania</t>
  </si>
  <si>
    <t>Manual Felling Time and Productivity in Southern Pine Forest</t>
  </si>
  <si>
    <t xml:space="preserve">Lortz et al </t>
  </si>
  <si>
    <t>Time Prediction Models and Cost Evaluation of Cut-To-Length (CTL) Harvesting Method in a Mountainous Forest</t>
  </si>
  <si>
    <t xml:space="preserve">Li et al </t>
  </si>
  <si>
    <t>PRODUCTIVITY STANDARDS FOR WHOLE-TREE AND CUT-TO-LENGTH HARVESTING SYSTEMS IN MAINE</t>
  </si>
  <si>
    <t>Hiesl</t>
  </si>
  <si>
    <t>Tesis</t>
  </si>
  <si>
    <t>Cost-productivity analysis of South African pine sawtimber mechanised cut-to-length harvesting</t>
  </si>
  <si>
    <t>Williams</t>
  </si>
  <si>
    <t>Estudio de Tiempo y Rendimiento en Torre de Madereo en Predio Ranchillo, Séptima Región</t>
  </si>
  <si>
    <t>Bossi</t>
  </si>
  <si>
    <t>ForestTime: una aplicación móvil para el estudio de tiempos de trabajo de maquinbara a través de teléfonos inteligentes</t>
  </si>
  <si>
    <t>Acuña et al</t>
  </si>
  <si>
    <t>Evaluación técnica y modelamiento de procesador en cosecha de Pinus radiata en la X Región</t>
  </si>
  <si>
    <t>Arroyo</t>
  </si>
  <si>
    <t>Evaluación Técnica y Económica de dos carros porta carga MSK 10 y SKA 2,5 en una faena de cosecha de Pinus radiata con torres de madereo en la Región de los Ríos</t>
  </si>
  <si>
    <t>Atton</t>
  </si>
  <si>
    <t>Productivity and Time Consumption for Timber Extraction with a grapple Skidder in Selected Pine Stands</t>
  </si>
  <si>
    <t xml:space="preserve">Kulak et al </t>
  </si>
  <si>
    <r>
      <t xml:space="preserve">Evaluación Técnica y Económica de dos carros porta carga MSK 10 y SKA 2,5 en una faena de cosecha de </t>
    </r>
    <r>
      <rPr>
        <i/>
        <sz val="11"/>
        <color theme="1"/>
        <rFont val="Calibri"/>
        <family val="2"/>
        <scheme val="minor"/>
      </rPr>
      <t>Pinus radiata</t>
    </r>
    <r>
      <rPr>
        <sz val="11"/>
        <color theme="1"/>
        <rFont val="Calibri"/>
        <family val="2"/>
        <scheme val="minor"/>
      </rPr>
      <t xml:space="preserve"> con torres de madereo en la Región de los Ríos</t>
    </r>
  </si>
  <si>
    <r>
      <t xml:space="preserve">Evaluación técnica y económica de un Plan de Cosecha de </t>
    </r>
    <r>
      <rPr>
        <i/>
        <sz val="11"/>
        <color theme="1"/>
        <rFont val="Calibri"/>
        <family val="2"/>
        <scheme val="minor"/>
      </rPr>
      <t>Eucalyptus nitens</t>
    </r>
    <r>
      <rPr>
        <sz val="11"/>
        <color theme="1"/>
        <rFont val="Calibri"/>
        <family val="2"/>
        <scheme val="minor"/>
      </rPr>
      <t xml:space="preserve"> a Tala Rasa, mediante Harvester y Forwarder en la Décima Región, provincia de Valdivia</t>
    </r>
  </si>
  <si>
    <t>Cardemil</t>
  </si>
  <si>
    <r>
      <t xml:space="preserve">Evaluación Técnica y económica de un Plan de Cosecha en una Faena de </t>
    </r>
    <r>
      <rPr>
        <i/>
        <sz val="11"/>
        <color theme="1"/>
        <rFont val="Calibri"/>
        <family val="2"/>
        <scheme val="minor"/>
      </rPr>
      <t xml:space="preserve">Pinus radiata </t>
    </r>
    <r>
      <rPr>
        <sz val="11"/>
        <color theme="1"/>
        <rFont val="Calibri"/>
        <family val="2"/>
        <scheme val="minor"/>
      </rPr>
      <t>D.(Don). A Tala Rasa, Mediante Torres de Madereo en la Décima Región</t>
    </r>
  </si>
  <si>
    <t>Rivera</t>
  </si>
  <si>
    <t>Bunching with a Self-levelling Feller-Buncher on Steep Terrain for Efficient Yarder Extraction</t>
  </si>
  <si>
    <t>Determining fixed and opertanig costs of logging equipment</t>
  </si>
  <si>
    <t>Miyata</t>
  </si>
  <si>
    <t>Revista</t>
  </si>
  <si>
    <t>Evaluación económica de un sistema forestal altamente mecanizado, con la aplicación del sistema operativo PLANFOR, en la Región de los Rios</t>
  </si>
  <si>
    <t>Autor/Responsable</t>
  </si>
  <si>
    <t>Origen</t>
  </si>
  <si>
    <t>Tractor</t>
  </si>
  <si>
    <t>días/mes</t>
  </si>
  <si>
    <t>Km</t>
  </si>
  <si>
    <t>Horas diarias transporte (HDT)</t>
  </si>
  <si>
    <t>Tiempo Carga de Combustible y Mantención (TCCM)</t>
  </si>
  <si>
    <t>Distancia Transporte Secundario (DTS)</t>
  </si>
  <si>
    <t>Volumen Carga Camión (VCC)</t>
  </si>
  <si>
    <t>Horas diarias por turno (HD)</t>
  </si>
  <si>
    <t>Dias trabajados al mes (DM)</t>
  </si>
  <si>
    <t>Meses trabajados al año (MA)</t>
  </si>
  <si>
    <t>Horas planificadas al mes, por turno (HrPl_m)</t>
  </si>
  <si>
    <t>Horas Planificadas al año (HrPl_a)</t>
  </si>
  <si>
    <t>Seleccionar parámetro :</t>
  </si>
  <si>
    <t>Factor Cons comb, lt/hrpr</t>
  </si>
  <si>
    <t>Consumo Combustible, lt/hrpr</t>
  </si>
  <si>
    <t>promedio</t>
  </si>
  <si>
    <t>mínimo</t>
  </si>
  <si>
    <t>máximo</t>
  </si>
  <si>
    <t>Selecciona un parámetro:</t>
  </si>
  <si>
    <t>Abbasi et al</t>
  </si>
  <si>
    <t>Dadson et al</t>
  </si>
  <si>
    <t>Vida Útil (VU), años</t>
  </si>
  <si>
    <t>Interés (Int), %</t>
  </si>
  <si>
    <t>Impuestos (Imp), %</t>
  </si>
  <si>
    <t>Seguros (Seg), %</t>
  </si>
  <si>
    <t>ITEM: Costos Fijos</t>
  </si>
  <si>
    <t>Potencia de Motor (PM), hp</t>
  </si>
  <si>
    <t>Productividad potencial (ProdPot), %</t>
  </si>
  <si>
    <t>Consumo combustible (ConsComb), lt/hrpr</t>
  </si>
  <si>
    <t>Precio combustible (PrecComb), $/lt</t>
  </si>
  <si>
    <t>Factor costo lubricantes (FactLubr), %</t>
  </si>
  <si>
    <t>Factor manención y reparación (FactMR), %</t>
  </si>
  <si>
    <t>Factor Reventa (FactReventa), %</t>
  </si>
  <si>
    <t>Valor reventa (VR), $</t>
  </si>
  <si>
    <t>Depreciación anual (DeprAnual), $/año</t>
  </si>
  <si>
    <t>Inversión media anual (IMA), $/año</t>
  </si>
  <si>
    <t>Horas productivas  anuales (HPRA), $/año</t>
  </si>
  <si>
    <t>ITEM: Valores de entrada</t>
  </si>
  <si>
    <t>ITEM: Cálculos</t>
  </si>
  <si>
    <t>Costo fijo total unitario hora productiva (CFTU_hrpr), $/hrpr</t>
  </si>
  <si>
    <t>Costo fijo total unitario hora planificada (CFTU_hrpl), $/hrpl</t>
  </si>
  <si>
    <t>ITEM: Costos operacionales</t>
  </si>
  <si>
    <t>Costos combustible (CostComb), $/hrpr</t>
  </si>
  <si>
    <t>Costo Anual de Propiedad (CAP), $/año</t>
  </si>
  <si>
    <t>Costos lubricantes (CostLubr), $/hrpr</t>
  </si>
  <si>
    <t>Costos reparación y mantención (CostRM), $/hrpr</t>
  </si>
  <si>
    <t>ITEM: Costos Mano de obra</t>
  </si>
  <si>
    <t>Leyes sociales (LS), %</t>
  </si>
  <si>
    <t>Costo total unitario mano de obra (CTUMO_hrpl), $/hrpl</t>
  </si>
  <si>
    <t>Costo variable unitario por hora productiva (CVU_hrpr), $/hrpr</t>
  </si>
  <si>
    <t>Costo variable unitario por hora planificada (CVU_hrpl), $/hrpl</t>
  </si>
  <si>
    <t>Costo total unitario mano de obra (CTUMO_hrpr), $/hrpr</t>
  </si>
  <si>
    <t>Inversión, impuestos y seguros (IIS), $/año</t>
  </si>
  <si>
    <t>PARÁMETROS \ MÁQUINA</t>
  </si>
  <si>
    <t>Sueldo unitario bruto de mano de obra (SUBMO), $/mes</t>
  </si>
  <si>
    <t>Rendimiento en volúmen (Rxv), m3/hrpr</t>
  </si>
  <si>
    <t>Factor de Reventa, %</t>
  </si>
  <si>
    <t>Factor de Reventa</t>
  </si>
  <si>
    <t>Miyata et al</t>
  </si>
  <si>
    <t>Factor Mantención &amp; Reparación, %</t>
  </si>
  <si>
    <t>Ghaffariyan et al</t>
  </si>
  <si>
    <t>sinotruk.cl</t>
  </si>
  <si>
    <t>Saud et al</t>
  </si>
  <si>
    <t>Saud et al 2012</t>
  </si>
  <si>
    <t xml:space="preserve">Mousavi et al </t>
  </si>
  <si>
    <t>Mousavi et al</t>
  </si>
  <si>
    <t>Comparison of timber skidding using two ground-based skidding systems: grapple skidding vs. cable skidding</t>
  </si>
  <si>
    <t>Estadísticos</t>
  </si>
  <si>
    <t xml:space="preserve">Alvarez et al </t>
  </si>
  <si>
    <t>Libro</t>
  </si>
  <si>
    <t>Alvarez et al</t>
  </si>
  <si>
    <t>https://www.monografias.com/trabajos-pdf4/aprovechamiento-forestal-cuba/aprovechamiento-forestal-cuba.pdf</t>
  </si>
  <si>
    <t>id_volteo</t>
  </si>
  <si>
    <t xml:space="preserve">TIPO DE MÁQUINA: </t>
  </si>
  <si>
    <t>Grúa</t>
  </si>
  <si>
    <t>id_transporte</t>
  </si>
  <si>
    <t>id_madereo</t>
  </si>
  <si>
    <t>id_procesado</t>
  </si>
  <si>
    <t>id_carguío</t>
  </si>
  <si>
    <t>caducifolio</t>
  </si>
  <si>
    <t>heteroetáneo</t>
  </si>
  <si>
    <t>Seleccionar un parámetro:</t>
  </si>
  <si>
    <t>SUPUESTO</t>
  </si>
  <si>
    <t>Hogg et al</t>
  </si>
  <si>
    <t>n operadores</t>
  </si>
  <si>
    <t>j</t>
  </si>
  <si>
    <t>BERGUER_SIMULAC</t>
  </si>
  <si>
    <t>Hidráulico 1</t>
  </si>
  <si>
    <t>Cable 1</t>
  </si>
  <si>
    <t>ITEM: Costos Variables</t>
  </si>
  <si>
    <t>Costos Indirectos, $/hrpl</t>
  </si>
  <si>
    <r>
      <t>Costo Total, $/m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</si>
  <si>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Costos Administrativos (CI_Admin)</t>
  </si>
  <si>
    <t>Costos Indirectos Total (CI_Total)</t>
  </si>
  <si>
    <t>Costos de Supervisión (CI_Superv)</t>
  </si>
  <si>
    <t>CMO</t>
  </si>
  <si>
    <t>CF</t>
  </si>
  <si>
    <t>CV</t>
  </si>
  <si>
    <t>Simulac</t>
  </si>
  <si>
    <t>Leyes sociales y seguros (LSS), %</t>
  </si>
  <si>
    <r>
      <t>m</t>
    </r>
    <r>
      <rPr>
        <vertAlign val="superscript"/>
        <sz val="18"/>
        <color theme="1"/>
        <rFont val="Calibri"/>
        <family val="2"/>
        <scheme val="minor"/>
      </rPr>
      <t>3</t>
    </r>
    <r>
      <rPr>
        <sz val="18"/>
        <color theme="1"/>
        <rFont val="Calibri"/>
        <family val="2"/>
        <scheme val="minor"/>
      </rPr>
      <t>/ha</t>
    </r>
  </si>
  <si>
    <r>
      <t>Vol. Total cosecha,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</si>
  <si>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Tiempo en cosecha, hrpl</t>
  </si>
  <si>
    <t>Tiempo en cosecha, días</t>
  </si>
  <si>
    <t>Hrpl total faena</t>
  </si>
  <si>
    <t>Costo Total, $/m3</t>
  </si>
  <si>
    <t>Productividad , %</t>
  </si>
  <si>
    <t>m3/hrpl [1 solo]</t>
  </si>
  <si>
    <t>m3/hrpl [todos]</t>
  </si>
  <si>
    <t>m3/hrpl Sistema --&gt;</t>
  </si>
  <si>
    <t>m3/día Sistema --&gt;</t>
  </si>
  <si>
    <t>m3/día Transporte  --&gt;</t>
  </si>
  <si>
    <t>CT, $/hrpl</t>
  </si>
  <si>
    <t>Total</t>
  </si>
  <si>
    <t>FB_Manual</t>
  </si>
  <si>
    <t>Potencia de Motor (HP), hp</t>
  </si>
  <si>
    <r>
      <t>Rendimiento en volúmen (Rxv), m</t>
    </r>
    <r>
      <rPr>
        <vertAlign val="superscript"/>
        <sz val="16"/>
        <color theme="1"/>
        <rFont val="Calibri"/>
        <family val="2"/>
        <scheme val="minor"/>
      </rPr>
      <t>3</t>
    </r>
    <r>
      <rPr>
        <sz val="16"/>
        <color theme="1"/>
        <rFont val="Calibri"/>
        <family val="2"/>
        <scheme val="minor"/>
      </rPr>
      <t>/hrpr</t>
    </r>
  </si>
  <si>
    <t>Costo fijo total unitario hora productiva (CFU_hrpr), $/hrpr</t>
  </si>
  <si>
    <t>Costo fijo total unitario hora planificada (CFU_hrpl), $/hrpl</t>
  </si>
  <si>
    <t>Productividad  (Prod), %</t>
  </si>
  <si>
    <t>Harvester1</t>
  </si>
  <si>
    <t>Fellerbuncher1</t>
  </si>
  <si>
    <t>Motosierra1</t>
  </si>
  <si>
    <r>
      <t>Rendimiento en volúmen (Rxv),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/hrpr</t>
    </r>
  </si>
  <si>
    <t xml:space="preserve">CV, $/hrpl </t>
  </si>
  <si>
    <t xml:space="preserve">CMO, $/hrpl </t>
  </si>
  <si>
    <t>Costo variable unitario antes de la asignación, por hora productiva (CVU_hrpr), $/hrpr</t>
  </si>
  <si>
    <t>Costo variable unitario antes de la asignación, por hora planificada (CVU_hrpl), $/hrpl</t>
  </si>
  <si>
    <t>Camión Mercedez Benz</t>
  </si>
  <si>
    <t>ITEM: Costos variables</t>
  </si>
  <si>
    <t>Productividad (Prod), %</t>
  </si>
  <si>
    <t>costos indirectos, $/hrpl</t>
  </si>
  <si>
    <t>FB_PLANFOR</t>
  </si>
  <si>
    <t>SG_PLANFOR</t>
  </si>
  <si>
    <t>PROCESADOR_PLANFOR</t>
  </si>
  <si>
    <t xml:space="preserve">Costos de implementación (CI_Imp) </t>
  </si>
  <si>
    <t>Volumen total a cosecha (VT_cosecha)</t>
  </si>
  <si>
    <t>CFT</t>
  </si>
  <si>
    <t>CVT</t>
  </si>
  <si>
    <t>CMOT</t>
  </si>
  <si>
    <t>n Máquinas</t>
  </si>
  <si>
    <t>Factor Cons comb, lt/hrpr/hp</t>
  </si>
  <si>
    <r>
      <t>CT ($/m</t>
    </r>
    <r>
      <rPr>
        <b/>
        <vertAlign val="superscript"/>
        <sz val="11"/>
        <color rgb="FF00B0F0"/>
        <rFont val="Calibri"/>
        <family val="2"/>
        <scheme val="minor"/>
      </rPr>
      <t>3</t>
    </r>
    <r>
      <rPr>
        <b/>
        <sz val="11"/>
        <color rgb="FF00B0F0"/>
        <rFont val="Calibri"/>
        <family val="2"/>
        <scheme val="minor"/>
      </rPr>
      <t>)</t>
    </r>
  </si>
  <si>
    <t>CFSS ($/hrpl)</t>
  </si>
  <si>
    <t>CVSS ($/hrpl)</t>
  </si>
  <si>
    <t>CMOSS ($/hrpl)</t>
  </si>
  <si>
    <t>CTSS ($/hrpl)</t>
  </si>
  <si>
    <t xml:space="preserve">CF, $/hrpl </t>
  </si>
  <si>
    <r>
      <t>vol total,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</si>
  <si>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Escenario 1</t>
  </si>
  <si>
    <t>Escenario 2</t>
  </si>
  <si>
    <t>Escenario</t>
  </si>
  <si>
    <t>CIndirectos, $/hrpl</t>
  </si>
  <si>
    <t>C Indirectos</t>
  </si>
  <si>
    <t xml:space="preserve">CT Faena </t>
  </si>
  <si>
    <t>Motosierra Stihl MS-661</t>
  </si>
  <si>
    <t>E viminalis</t>
  </si>
  <si>
    <t>Vol Carga Camión, 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</si>
</sst>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"/>
    <numFmt numFmtId="167" formatCode="0.000"/>
    <numFmt numFmtId="168" formatCode="_-&quot;$&quot;* #,##0_-;\-&quot;$&quot;* #,##0_-;_-&quot;$&quot;* &quot;-&quot;??_-;_-@_-"/>
    <numFmt numFmtId="169" formatCode="[$$-340A]\ #,##0"/>
    <numFmt numFmtId="170" formatCode="&quot;$&quot;#,##0.00"/>
    <numFmt numFmtId="171" formatCode="&quot;$&quot;#,##0"/>
    <numFmt numFmtId="172" formatCode="_ [$$-340A]* #,##0.00_ ;_ [$$-340A]* \-#,##0.00_ ;_ [$$-340A]* &quot;-&quot;??_ ;_ @_ "/>
    <numFmt numFmtId="173" formatCode="_ [$$-340A]* #,##0_ ;_ [$$-340A]* \-#,##0_ ;_ [$$-340A]* &quot;-&quot;??_ ;_ @_ "/>
    <numFmt numFmtId="174" formatCode="#,##0.000"/>
    <numFmt numFmtId="175" formatCode="0.00000"/>
    <numFmt numFmtId="176" formatCode="0.0000"/>
    <numFmt numFmtId="177" formatCode="_-* #,##0.0_-;\-* #,##0.0_-;_-* &quot;-&quot;??_-;_-@_-"/>
    <numFmt numFmtId="178" formatCode="0.000000"/>
    <numFmt numFmtId="179" formatCode="0.0000000"/>
    <numFmt numFmtId="180" formatCode="_-* #,##0.00000000_-;\-* #,##0.00000000_-;_-* &quot;-&quot;??_-;_-@_-"/>
    <numFmt numFmtId="181" formatCode="&quot;$&quot;#,##0.0"/>
  </numFmts>
  <fonts count="7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sz val="11"/>
      <color rgb="FF23C1C1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i/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4"/>
      <color indexed="81"/>
      <name val="Tahoma"/>
      <family val="2"/>
    </font>
    <font>
      <b/>
      <vertAlign val="super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b/>
      <sz val="18"/>
      <color indexed="81"/>
      <name val="Tahoma"/>
      <family val="2"/>
    </font>
    <font>
      <sz val="11"/>
      <color rgb="FF0070C0"/>
      <name val="Calibri"/>
      <family val="2"/>
      <scheme val="minor"/>
    </font>
    <font>
      <sz val="1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00B0F0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color rgb="FF002060"/>
      <name val="Calibri"/>
      <family val="2"/>
      <scheme val="minor"/>
    </font>
    <font>
      <i/>
      <sz val="18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Wingdings"/>
      <charset val="2"/>
    </font>
    <font>
      <b/>
      <sz val="18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7"/>
      <color rgb="FFD4D4D4"/>
      <name val="Segoe UI"/>
      <family val="2"/>
    </font>
    <font>
      <vertAlign val="superscript"/>
      <sz val="16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B0F0"/>
      <name val="Times New Roman"/>
      <family val="1"/>
    </font>
    <font>
      <b/>
      <vertAlign val="superscript"/>
      <sz val="11"/>
      <color rgb="FF00B0F0"/>
      <name val="Calibri"/>
      <family val="2"/>
      <scheme val="minor"/>
    </font>
    <font>
      <b/>
      <sz val="18"/>
      <color rgb="FF0070C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7"/>
      </patternFill>
    </fill>
    <fill>
      <patternFill patternType="solid">
        <fgColor theme="0"/>
        <bgColor theme="5"/>
      </patternFill>
    </fill>
    <fill>
      <patternFill patternType="solid">
        <fgColor rgb="FFFF9900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79998168889431442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indexed="64"/>
      </bottom>
      <diagonal/>
    </border>
  </borders>
  <cellStyleXfs count="6">
    <xf numFmtId="0" fontId="0" fillId="0" borderId="0"/>
    <xf numFmtId="0" fontId="7" fillId="3" borderId="0" applyNumberFormat="0" applyBorder="0" applyAlignment="0" applyProtection="0"/>
    <xf numFmtId="0" fontId="3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595">
    <xf numFmtId="0" fontId="0" fillId="0" borderId="0" xfId="0"/>
    <xf numFmtId="0" fontId="0" fillId="0" borderId="0" xfId="0" applyProtection="1">
      <protection locked="0"/>
    </xf>
    <xf numFmtId="0" fontId="10" fillId="2" borderId="0" xfId="0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Alignment="1">
      <alignment horizontal="center"/>
    </xf>
    <xf numFmtId="0" fontId="0" fillId="2" borderId="0" xfId="0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4" fillId="2" borderId="0" xfId="0" applyFont="1" applyFill="1" applyProtection="1">
      <protection hidden="1"/>
    </xf>
    <xf numFmtId="0" fontId="7" fillId="2" borderId="0" xfId="0" applyFont="1" applyFill="1" applyProtection="1">
      <protection hidden="1"/>
    </xf>
    <xf numFmtId="0" fontId="17" fillId="2" borderId="0" xfId="0" applyFont="1" applyFill="1" applyAlignment="1" applyProtection="1">
      <alignment horizontal="center"/>
      <protection hidden="1"/>
    </xf>
    <xf numFmtId="2" fontId="17" fillId="2" borderId="0" xfId="0" applyNumberFormat="1" applyFont="1" applyFill="1" applyAlignment="1" applyProtection="1">
      <alignment horizontal="center"/>
      <protection hidden="1"/>
    </xf>
    <xf numFmtId="167" fontId="17" fillId="2" borderId="0" xfId="0" applyNumberFormat="1" applyFont="1" applyFill="1" applyAlignment="1" applyProtection="1">
      <alignment horizontal="center"/>
      <protection hidden="1"/>
    </xf>
    <xf numFmtId="0" fontId="12" fillId="2" borderId="0" xfId="0" applyFont="1" applyFill="1" applyProtection="1">
      <protection hidden="1"/>
    </xf>
    <xf numFmtId="0" fontId="0" fillId="2" borderId="0" xfId="0" applyFill="1" applyProtection="1">
      <protection locked="0"/>
    </xf>
    <xf numFmtId="0" fontId="10" fillId="2" borderId="0" xfId="0" applyFont="1" applyFill="1" applyAlignment="1" applyProtection="1">
      <alignment horizontal="center"/>
      <protection hidden="1"/>
    </xf>
    <xf numFmtId="2" fontId="10" fillId="2" borderId="0" xfId="0" applyNumberFormat="1" applyFont="1" applyFill="1" applyAlignment="1" applyProtection="1">
      <alignment horizontal="center"/>
      <protection hidden="1"/>
    </xf>
    <xf numFmtId="166" fontId="10" fillId="2" borderId="0" xfId="0" applyNumberFormat="1" applyFont="1" applyFill="1" applyAlignment="1" applyProtection="1">
      <alignment horizontal="center"/>
      <protection hidden="1"/>
    </xf>
    <xf numFmtId="167" fontId="10" fillId="2" borderId="0" xfId="0" applyNumberFormat="1" applyFont="1" applyFill="1" applyAlignment="1" applyProtection="1">
      <alignment horizontal="center"/>
      <protection hidden="1"/>
    </xf>
    <xf numFmtId="1" fontId="17" fillId="2" borderId="0" xfId="0" applyNumberFormat="1" applyFont="1" applyFill="1" applyAlignment="1" applyProtection="1">
      <alignment horizontal="center"/>
      <protection hidden="1"/>
    </xf>
    <xf numFmtId="0" fontId="10" fillId="2" borderId="0" xfId="0" applyFont="1" applyFill="1" applyProtection="1">
      <protection hidden="1"/>
    </xf>
    <xf numFmtId="0" fontId="10" fillId="2" borderId="0" xfId="0" applyFont="1" applyFill="1" applyProtection="1">
      <protection locked="0"/>
    </xf>
    <xf numFmtId="1" fontId="10" fillId="2" borderId="0" xfId="0" applyNumberFormat="1" applyFont="1" applyFill="1" applyAlignment="1" applyProtection="1">
      <alignment horizontal="center"/>
      <protection hidden="1"/>
    </xf>
    <xf numFmtId="0" fontId="10" fillId="2" borderId="0" xfId="0" applyFont="1" applyFill="1" applyAlignment="1" applyProtection="1">
      <alignment horizontal="center"/>
      <protection locked="0"/>
    </xf>
    <xf numFmtId="1" fontId="10" fillId="2" borderId="0" xfId="0" applyNumberFormat="1" applyFont="1" applyFill="1" applyAlignment="1" applyProtection="1">
      <alignment horizontal="center"/>
      <protection locked="0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 wrapText="1"/>
    </xf>
    <xf numFmtId="0" fontId="22" fillId="6" borderId="0" xfId="0" applyFont="1" applyFill="1" applyAlignment="1">
      <alignment horizontal="center"/>
    </xf>
    <xf numFmtId="0" fontId="0" fillId="2" borderId="0" xfId="0" applyFill="1" applyAlignment="1" applyProtection="1">
      <alignment horizontal="center"/>
      <protection hidden="1"/>
    </xf>
    <xf numFmtId="1" fontId="0" fillId="2" borderId="0" xfId="0" applyNumberFormat="1" applyFill="1" applyAlignment="1">
      <alignment horizontal="center"/>
    </xf>
    <xf numFmtId="1" fontId="10" fillId="5" borderId="0" xfId="0" applyNumberFormat="1" applyFont="1" applyFill="1" applyAlignment="1">
      <alignment horizontal="center"/>
    </xf>
    <xf numFmtId="1" fontId="10" fillId="2" borderId="0" xfId="0" applyNumberFormat="1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2" fontId="10" fillId="2" borderId="0" xfId="0" applyNumberFormat="1" applyFont="1" applyFill="1" applyAlignment="1">
      <alignment horizontal="center"/>
    </xf>
    <xf numFmtId="0" fontId="25" fillId="4" borderId="0" xfId="0" applyFont="1" applyFill="1"/>
    <xf numFmtId="0" fontId="0" fillId="2" borderId="0" xfId="0" applyFill="1" applyAlignment="1" applyProtection="1">
      <alignment horizontal="center"/>
      <protection locked="0"/>
    </xf>
    <xf numFmtId="0" fontId="21" fillId="2" borderId="0" xfId="0" applyFont="1" applyFill="1" applyAlignment="1">
      <alignment horizontal="center"/>
    </xf>
    <xf numFmtId="0" fontId="19" fillId="2" borderId="0" xfId="0" applyFont="1" applyFill="1" applyAlignment="1" applyProtection="1">
      <alignment horizontal="center"/>
      <protection hidden="1"/>
    </xf>
    <xf numFmtId="0" fontId="9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13" fillId="2" borderId="0" xfId="0" applyFont="1" applyFill="1" applyProtection="1">
      <protection hidden="1"/>
    </xf>
    <xf numFmtId="0" fontId="13" fillId="2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4" fillId="2" borderId="0" xfId="0" applyFont="1" applyFill="1" applyProtection="1">
      <protection hidden="1"/>
    </xf>
    <xf numFmtId="0" fontId="10" fillId="2" borderId="0" xfId="0" quotePrefix="1" applyFont="1" applyFill="1" applyAlignment="1" applyProtection="1">
      <alignment horizontal="center"/>
      <protection hidden="1"/>
    </xf>
    <xf numFmtId="0" fontId="0" fillId="2" borderId="0" xfId="0" applyFill="1"/>
    <xf numFmtId="0" fontId="0" fillId="2" borderId="0" xfId="0" applyFill="1" applyAlignment="1">
      <alignment horizontal="center"/>
    </xf>
    <xf numFmtId="167" fontId="0" fillId="2" borderId="0" xfId="0" applyNumberFormat="1" applyFill="1" applyAlignment="1">
      <alignment horizontal="center"/>
    </xf>
    <xf numFmtId="0" fontId="26" fillId="2" borderId="0" xfId="0" applyFont="1" applyFill="1" applyAlignment="1">
      <alignment horizontal="center"/>
    </xf>
    <xf numFmtId="0" fontId="10" fillId="2" borderId="0" xfId="0" quotePrefix="1" applyFont="1" applyFill="1" applyAlignment="1">
      <alignment horizontal="center"/>
    </xf>
    <xf numFmtId="0" fontId="0" fillId="2" borderId="0" xfId="0" quotePrefix="1" applyFill="1" applyAlignment="1">
      <alignment horizontal="center"/>
    </xf>
    <xf numFmtId="166" fontId="0" fillId="2" borderId="0" xfId="0" applyNumberForma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2" fillId="7" borderId="0" xfId="0" applyFon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28" fillId="2" borderId="0" xfId="0" applyFont="1" applyFill="1"/>
    <xf numFmtId="2" fontId="20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5" fillId="2" borderId="0" xfId="0" applyFont="1" applyFill="1"/>
    <xf numFmtId="2" fontId="0" fillId="2" borderId="0" xfId="0" applyNumberFormat="1" applyFill="1" applyAlignment="1">
      <alignment horizontal="center"/>
    </xf>
    <xf numFmtId="166" fontId="10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0" fontId="20" fillId="2" borderId="0" xfId="0" applyFont="1" applyFill="1"/>
    <xf numFmtId="0" fontId="10" fillId="2" borderId="0" xfId="0" applyFont="1" applyFill="1"/>
    <xf numFmtId="2" fontId="17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2" fontId="0" fillId="2" borderId="0" xfId="0" applyNumberFormat="1" applyFill="1"/>
    <xf numFmtId="0" fontId="8" fillId="2" borderId="0" xfId="0" applyFont="1" applyFill="1"/>
    <xf numFmtId="0" fontId="22" fillId="8" borderId="0" xfId="0" applyFont="1" applyFill="1"/>
    <xf numFmtId="0" fontId="22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21" fillId="2" borderId="0" xfId="0" applyFont="1" applyFill="1"/>
    <xf numFmtId="166" fontId="21" fillId="2" borderId="0" xfId="0" applyNumberFormat="1" applyFont="1" applyFill="1" applyAlignment="1">
      <alignment horizontal="center"/>
    </xf>
    <xf numFmtId="0" fontId="5" fillId="7" borderId="0" xfId="0" applyFont="1" applyFill="1"/>
    <xf numFmtId="0" fontId="24" fillId="6" borderId="0" xfId="0" applyFont="1" applyFill="1" applyAlignment="1">
      <alignment horizontal="center"/>
    </xf>
    <xf numFmtId="1" fontId="20" fillId="2" borderId="0" xfId="0" applyNumberFormat="1" applyFont="1" applyFill="1" applyAlignment="1">
      <alignment horizontal="center"/>
    </xf>
    <xf numFmtId="0" fontId="0" fillId="8" borderId="0" xfId="0" applyFill="1"/>
    <xf numFmtId="2" fontId="5" fillId="8" borderId="0" xfId="0" applyNumberFormat="1" applyFont="1" applyFill="1" applyAlignment="1">
      <alignment horizontal="center"/>
    </xf>
    <xf numFmtId="0" fontId="33" fillId="2" borderId="0" xfId="0" applyFont="1" applyFill="1" applyProtection="1">
      <protection locked="0"/>
    </xf>
    <xf numFmtId="0" fontId="33" fillId="2" borderId="0" xfId="0" applyFont="1" applyFill="1" applyAlignment="1" applyProtection="1">
      <alignment horizontal="center"/>
      <protection hidden="1"/>
    </xf>
    <xf numFmtId="166" fontId="21" fillId="2" borderId="0" xfId="1" applyNumberFormat="1" applyFont="1" applyFill="1" applyBorder="1" applyAlignment="1" applyProtection="1">
      <alignment horizontal="center"/>
      <protection hidden="1"/>
    </xf>
    <xf numFmtId="2" fontId="21" fillId="2" borderId="0" xfId="1" applyNumberFormat="1" applyFont="1" applyFill="1" applyBorder="1" applyAlignment="1" applyProtection="1">
      <alignment horizontal="center"/>
      <protection hidden="1"/>
    </xf>
    <xf numFmtId="1" fontId="21" fillId="2" borderId="0" xfId="0" applyNumberFormat="1" applyFont="1" applyFill="1" applyAlignment="1" applyProtection="1">
      <alignment horizontal="center"/>
      <protection hidden="1"/>
    </xf>
    <xf numFmtId="0" fontId="21" fillId="2" borderId="0" xfId="0" applyFont="1" applyFill="1" applyAlignment="1" applyProtection="1">
      <alignment horizontal="center"/>
      <protection hidden="1"/>
    </xf>
    <xf numFmtId="166" fontId="21" fillId="2" borderId="0" xfId="0" applyNumberFormat="1" applyFont="1" applyFill="1" applyAlignment="1" applyProtection="1">
      <alignment horizontal="center"/>
      <protection hidden="1"/>
    </xf>
    <xf numFmtId="2" fontId="21" fillId="2" borderId="0" xfId="0" applyNumberFormat="1" applyFont="1" applyFill="1" applyAlignment="1" applyProtection="1">
      <alignment horizontal="center"/>
      <protection hidden="1"/>
    </xf>
    <xf numFmtId="1" fontId="20" fillId="2" borderId="0" xfId="0" applyNumberFormat="1" applyFont="1" applyFill="1" applyAlignment="1" applyProtection="1">
      <alignment horizontal="center"/>
      <protection hidden="1"/>
    </xf>
    <xf numFmtId="166" fontId="20" fillId="2" borderId="0" xfId="0" applyNumberFormat="1" applyFont="1" applyFill="1" applyAlignment="1" applyProtection="1">
      <alignment horizontal="center"/>
      <protection hidden="1"/>
    </xf>
    <xf numFmtId="166" fontId="0" fillId="2" borderId="0" xfId="0" applyNumberFormat="1" applyFill="1" applyAlignment="1" applyProtection="1">
      <alignment horizontal="center"/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0" fontId="16" fillId="2" borderId="0" xfId="0" applyFont="1" applyFill="1" applyAlignment="1" applyProtection="1">
      <alignment horizontal="center"/>
      <protection hidden="1"/>
    </xf>
    <xf numFmtId="0" fontId="35" fillId="2" borderId="0" xfId="2" applyFill="1"/>
    <xf numFmtId="167" fontId="20" fillId="2" borderId="0" xfId="0" applyNumberFormat="1" applyFont="1" applyFill="1" applyAlignment="1">
      <alignment horizontal="center"/>
    </xf>
    <xf numFmtId="166" fontId="5" fillId="7" borderId="15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24" fillId="2" borderId="0" xfId="0" applyFont="1" applyFill="1"/>
    <xf numFmtId="168" fontId="20" fillId="2" borderId="0" xfId="3" applyNumberFormat="1" applyFont="1" applyFill="1" applyBorder="1" applyAlignment="1">
      <alignment horizontal="center"/>
    </xf>
    <xf numFmtId="168" fontId="20" fillId="2" borderId="0" xfId="3" applyNumberFormat="1" applyFont="1" applyFill="1" applyAlignment="1">
      <alignment horizontal="center"/>
    </xf>
    <xf numFmtId="0" fontId="28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0" fillId="2" borderId="0" xfId="0" quotePrefix="1" applyFill="1"/>
    <xf numFmtId="169" fontId="20" fillId="2" borderId="0" xfId="0" applyNumberFormat="1" applyFont="1" applyFill="1" applyAlignment="1">
      <alignment horizontal="center"/>
    </xf>
    <xf numFmtId="168" fontId="37" fillId="2" borderId="0" xfId="3" applyNumberFormat="1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3" fontId="24" fillId="2" borderId="0" xfId="0" applyNumberFormat="1" applyFont="1" applyFill="1" applyAlignment="1">
      <alignment horizontal="center"/>
    </xf>
    <xf numFmtId="0" fontId="0" fillId="2" borderId="6" xfId="0" applyFill="1" applyBorder="1"/>
    <xf numFmtId="166" fontId="20" fillId="2" borderId="8" xfId="0" applyNumberFormat="1" applyFont="1" applyFill="1" applyBorder="1" applyAlignment="1">
      <alignment horizontal="center"/>
    </xf>
    <xf numFmtId="0" fontId="0" fillId="2" borderId="2" xfId="0" applyFill="1" applyBorder="1"/>
    <xf numFmtId="166" fontId="20" fillId="2" borderId="3" xfId="0" applyNumberFormat="1" applyFont="1" applyFill="1" applyBorder="1" applyAlignment="1">
      <alignment horizontal="center"/>
    </xf>
    <xf numFmtId="0" fontId="0" fillId="2" borderId="9" xfId="0" applyFill="1" applyBorder="1"/>
    <xf numFmtId="0" fontId="22" fillId="7" borderId="4" xfId="0" applyFont="1" applyFill="1" applyBorder="1" applyAlignment="1">
      <alignment horizontal="center"/>
    </xf>
    <xf numFmtId="167" fontId="10" fillId="2" borderId="0" xfId="0" applyNumberFormat="1" applyFont="1" applyFill="1" applyAlignment="1">
      <alignment horizontal="center"/>
    </xf>
    <xf numFmtId="171" fontId="20" fillId="2" borderId="0" xfId="0" applyNumberFormat="1" applyFont="1" applyFill="1" applyAlignment="1">
      <alignment horizontal="center"/>
    </xf>
    <xf numFmtId="0" fontId="16" fillId="4" borderId="0" xfId="0" applyFont="1" applyFill="1"/>
    <xf numFmtId="4" fontId="20" fillId="2" borderId="0" xfId="0" applyNumberFormat="1" applyFont="1" applyFill="1" applyAlignment="1">
      <alignment horizontal="center"/>
    </xf>
    <xf numFmtId="0" fontId="26" fillId="2" borderId="0" xfId="0" applyFont="1" applyFill="1"/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7" fillId="2" borderId="0" xfId="0" applyFont="1" applyFill="1"/>
    <xf numFmtId="0" fontId="22" fillId="7" borderId="0" xfId="0" applyFont="1" applyFill="1"/>
    <xf numFmtId="4" fontId="0" fillId="2" borderId="0" xfId="0" applyNumberFormat="1" applyFill="1"/>
    <xf numFmtId="4" fontId="24" fillId="2" borderId="0" xfId="0" applyNumberFormat="1" applyFont="1" applyFill="1"/>
    <xf numFmtId="0" fontId="13" fillId="2" borderId="0" xfId="0" applyFont="1" applyFill="1" applyAlignment="1">
      <alignment horizontal="center"/>
    </xf>
    <xf numFmtId="0" fontId="0" fillId="2" borderId="7" xfId="0" applyFill="1" applyBorder="1"/>
    <xf numFmtId="0" fontId="0" fillId="2" borderId="4" xfId="0" applyFill="1" applyBorder="1"/>
    <xf numFmtId="0" fontId="0" fillId="2" borderId="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3" xfId="0" applyFill="1" applyBorder="1"/>
    <xf numFmtId="0" fontId="0" fillId="2" borderId="5" xfId="0" applyFill="1" applyBorder="1"/>
    <xf numFmtId="0" fontId="0" fillId="2" borderId="0" xfId="0" quotePrefix="1" applyFill="1" applyAlignment="1" applyProtection="1">
      <alignment horizontal="center"/>
      <protection hidden="1"/>
    </xf>
    <xf numFmtId="0" fontId="0" fillId="2" borderId="0" xfId="0" quotePrefix="1" applyFill="1" applyAlignment="1" applyProtection="1">
      <alignment horizontal="center"/>
      <protection locked="0"/>
    </xf>
    <xf numFmtId="0" fontId="0" fillId="2" borderId="8" xfId="0" applyFill="1" applyBorder="1"/>
    <xf numFmtId="0" fontId="35" fillId="2" borderId="0" xfId="2" quotePrefix="1" applyFill="1"/>
    <xf numFmtId="166" fontId="0" fillId="2" borderId="0" xfId="0" applyNumberFormat="1" applyFill="1"/>
    <xf numFmtId="166" fontId="33" fillId="2" borderId="0" xfId="0" applyNumberFormat="1" applyFont="1" applyFill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73" fontId="0" fillId="2" borderId="0" xfId="0" applyNumberFormat="1" applyFill="1" applyAlignment="1">
      <alignment horizontal="center"/>
    </xf>
    <xf numFmtId="0" fontId="39" fillId="0" borderId="13" xfId="0" applyFont="1" applyBorder="1"/>
    <xf numFmtId="9" fontId="0" fillId="2" borderId="0" xfId="4" applyFont="1" applyFill="1" applyBorder="1" applyAlignment="1">
      <alignment horizontal="center"/>
    </xf>
    <xf numFmtId="0" fontId="0" fillId="2" borderId="0" xfId="0" quotePrefix="1" applyFill="1" applyProtection="1">
      <protection locked="0"/>
    </xf>
    <xf numFmtId="166" fontId="20" fillId="2" borderId="0" xfId="0" applyNumberFormat="1" applyFont="1" applyFill="1" applyAlignment="1" applyProtection="1">
      <alignment horizontal="center"/>
      <protection locked="0"/>
    </xf>
    <xf numFmtId="0" fontId="38" fillId="2" borderId="0" xfId="0" quotePrefix="1" applyFont="1" applyFill="1" applyAlignment="1" applyProtection="1">
      <alignment horizontal="center"/>
      <protection locked="0"/>
    </xf>
    <xf numFmtId="0" fontId="16" fillId="2" borderId="0" xfId="0" applyFont="1" applyFill="1" applyAlignment="1" applyProtection="1">
      <alignment horizontal="center"/>
      <protection locked="0"/>
    </xf>
    <xf numFmtId="0" fontId="10" fillId="2" borderId="0" xfId="0" quotePrefix="1" applyFont="1" applyFill="1" applyAlignment="1" applyProtection="1">
      <alignment horizontal="center"/>
      <protection locked="0"/>
    </xf>
    <xf numFmtId="0" fontId="22" fillId="2" borderId="0" xfId="0" applyFont="1" applyFill="1" applyProtection="1">
      <protection locked="0"/>
    </xf>
    <xf numFmtId="0" fontId="22" fillId="2" borderId="0" xfId="0" applyFont="1" applyFill="1" applyProtection="1">
      <protection hidden="1"/>
    </xf>
    <xf numFmtId="0" fontId="5" fillId="2" borderId="0" xfId="0" applyFont="1" applyFill="1" applyAlignment="1">
      <alignment horizontal="center"/>
    </xf>
    <xf numFmtId="0" fontId="17" fillId="2" borderId="0" xfId="0" applyFont="1" applyFill="1" applyProtection="1">
      <protection hidden="1"/>
    </xf>
    <xf numFmtId="0" fontId="33" fillId="2" borderId="0" xfId="0" applyFont="1" applyFill="1" applyProtection="1">
      <protection hidden="1"/>
    </xf>
    <xf numFmtId="166" fontId="17" fillId="2" borderId="0" xfId="0" applyNumberFormat="1" applyFont="1" applyFill="1" applyAlignment="1" applyProtection="1">
      <alignment horizontal="center"/>
      <protection hidden="1"/>
    </xf>
    <xf numFmtId="167" fontId="21" fillId="2" borderId="0" xfId="0" applyNumberFormat="1" applyFont="1" applyFill="1" applyAlignment="1" applyProtection="1">
      <alignment horizontal="center"/>
      <protection hidden="1"/>
    </xf>
    <xf numFmtId="0" fontId="24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Protection="1">
      <protection locked="0"/>
    </xf>
    <xf numFmtId="166" fontId="42" fillId="2" borderId="0" xfId="0" applyNumberFormat="1" applyFont="1" applyFill="1" applyAlignment="1">
      <alignment horizontal="center"/>
    </xf>
    <xf numFmtId="2" fontId="10" fillId="2" borderId="0" xfId="1" applyNumberFormat="1" applyFont="1" applyFill="1" applyBorder="1" applyAlignment="1" applyProtection="1">
      <alignment horizontal="center"/>
      <protection hidden="1"/>
    </xf>
    <xf numFmtId="0" fontId="41" fillId="2" borderId="0" xfId="0" applyFont="1" applyFill="1" applyProtection="1">
      <protection locked="0"/>
    </xf>
    <xf numFmtId="0" fontId="41" fillId="2" borderId="11" xfId="0" applyFont="1" applyFill="1" applyBorder="1" applyAlignment="1" applyProtection="1">
      <alignment horizontal="center"/>
      <protection locked="0"/>
    </xf>
    <xf numFmtId="0" fontId="41" fillId="2" borderId="12" xfId="0" applyFont="1" applyFill="1" applyBorder="1" applyAlignment="1" applyProtection="1">
      <alignment horizontal="center"/>
      <protection locked="0"/>
    </xf>
    <xf numFmtId="0" fontId="41" fillId="2" borderId="10" xfId="0" applyFont="1" applyFill="1" applyBorder="1" applyAlignment="1" applyProtection="1">
      <alignment horizontal="center"/>
      <protection locked="0"/>
    </xf>
    <xf numFmtId="0" fontId="41" fillId="2" borderId="0" xfId="0" applyFont="1" applyFill="1" applyAlignment="1" applyProtection="1">
      <alignment horizontal="center"/>
      <protection hidden="1"/>
    </xf>
    <xf numFmtId="172" fontId="0" fillId="2" borderId="0" xfId="0" applyNumberFormat="1" applyFill="1" applyAlignment="1">
      <alignment horizontal="center"/>
    </xf>
    <xf numFmtId="0" fontId="10" fillId="2" borderId="0" xfId="2" applyFont="1" applyFill="1" applyBorder="1" applyAlignment="1">
      <alignment horizontal="center"/>
    </xf>
    <xf numFmtId="0" fontId="24" fillId="2" borderId="4" xfId="0" applyFont="1" applyFill="1" applyBorder="1" applyAlignment="1">
      <alignment horizontal="center"/>
    </xf>
    <xf numFmtId="0" fontId="22" fillId="7" borderId="20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" fontId="0" fillId="2" borderId="13" xfId="0" applyNumberFormat="1" applyFill="1" applyBorder="1" applyAlignment="1">
      <alignment horizontal="center"/>
    </xf>
    <xf numFmtId="171" fontId="0" fillId="2" borderId="13" xfId="0" applyNumberForma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71" fontId="0" fillId="2" borderId="0" xfId="0" applyNumberFormat="1" applyFill="1"/>
    <xf numFmtId="0" fontId="22" fillId="7" borderId="7" xfId="0" applyFont="1" applyFill="1" applyBorder="1"/>
    <xf numFmtId="0" fontId="22" fillId="7" borderId="8" xfId="0" applyFont="1" applyFill="1" applyBorder="1"/>
    <xf numFmtId="0" fontId="22" fillId="7" borderId="20" xfId="0" applyFont="1" applyFill="1" applyBorder="1"/>
    <xf numFmtId="1" fontId="0" fillId="2" borderId="7" xfId="0" applyNumberFormat="1" applyFill="1" applyBorder="1" applyAlignment="1">
      <alignment horizontal="center"/>
    </xf>
    <xf numFmtId="171" fontId="0" fillId="2" borderId="7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71" fontId="0" fillId="2" borderId="4" xfId="0" applyNumberFormat="1" applyFill="1" applyBorder="1" applyAlignment="1">
      <alignment horizontal="center"/>
    </xf>
    <xf numFmtId="165" fontId="0" fillId="2" borderId="7" xfId="5" applyFont="1" applyFill="1" applyBorder="1" applyAlignment="1">
      <alignment horizontal="center"/>
    </xf>
    <xf numFmtId="177" fontId="0" fillId="2" borderId="7" xfId="5" applyNumberFormat="1" applyFon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10" borderId="16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2" borderId="13" xfId="0" applyFill="1" applyBorder="1"/>
    <xf numFmtId="0" fontId="40" fillId="2" borderId="4" xfId="0" applyFont="1" applyFill="1" applyBorder="1" applyProtection="1">
      <protection locked="0"/>
    </xf>
    <xf numFmtId="0" fontId="45" fillId="2" borderId="0" xfId="0" applyFont="1" applyFill="1" applyProtection="1">
      <protection locked="0"/>
    </xf>
    <xf numFmtId="0" fontId="42" fillId="2" borderId="0" xfId="0" applyFont="1" applyFill="1" applyAlignment="1">
      <alignment horizontal="center"/>
    </xf>
    <xf numFmtId="0" fontId="42" fillId="2" borderId="0" xfId="0" applyFont="1" applyFill="1" applyAlignment="1" applyProtection="1">
      <alignment horizontal="center"/>
      <protection hidden="1"/>
    </xf>
    <xf numFmtId="0" fontId="41" fillId="2" borderId="0" xfId="0" applyFont="1" applyFill="1" applyAlignment="1" applyProtection="1">
      <alignment horizontal="center"/>
      <protection locked="0"/>
    </xf>
    <xf numFmtId="0" fontId="48" fillId="2" borderId="0" xfId="0" applyFont="1" applyFill="1" applyAlignment="1" applyProtection="1">
      <alignment horizontal="left"/>
      <protection hidden="1"/>
    </xf>
    <xf numFmtId="0" fontId="41" fillId="2" borderId="0" xfId="0" applyFont="1" applyFill="1" applyAlignment="1">
      <alignment horizontal="center"/>
    </xf>
    <xf numFmtId="173" fontId="41" fillId="2" borderId="11" xfId="0" applyNumberFormat="1" applyFont="1" applyFill="1" applyBorder="1" applyAlignment="1" applyProtection="1">
      <alignment horizontal="center"/>
      <protection locked="0"/>
    </xf>
    <xf numFmtId="173" fontId="41" fillId="2" borderId="12" xfId="0" applyNumberFormat="1" applyFont="1" applyFill="1" applyBorder="1" applyAlignment="1" applyProtection="1">
      <alignment horizontal="center"/>
      <protection locked="0"/>
    </xf>
    <xf numFmtId="173" fontId="41" fillId="2" borderId="10" xfId="0" applyNumberFormat="1" applyFont="1" applyFill="1" applyBorder="1" applyAlignment="1" applyProtection="1">
      <alignment horizontal="center"/>
      <protection locked="0"/>
    </xf>
    <xf numFmtId="0" fontId="47" fillId="2" borderId="0" xfId="0" applyFont="1" applyFill="1" applyProtection="1">
      <protection hidden="1"/>
    </xf>
    <xf numFmtId="0" fontId="40" fillId="2" borderId="0" xfId="0" applyFont="1" applyFill="1"/>
    <xf numFmtId="174" fontId="40" fillId="2" borderId="0" xfId="0" applyNumberFormat="1" applyFont="1" applyFill="1"/>
    <xf numFmtId="0" fontId="49" fillId="7" borderId="0" xfId="0" applyFont="1" applyFill="1"/>
    <xf numFmtId="0" fontId="50" fillId="7" borderId="0" xfId="0" applyFont="1" applyFill="1"/>
    <xf numFmtId="0" fontId="51" fillId="2" borderId="0" xfId="0" applyFont="1" applyFill="1"/>
    <xf numFmtId="0" fontId="40" fillId="2" borderId="0" xfId="0" applyFont="1" applyFill="1" applyAlignment="1">
      <alignment horizontal="center"/>
    </xf>
    <xf numFmtId="2" fontId="40" fillId="2" borderId="0" xfId="0" applyNumberFormat="1" applyFont="1" applyFill="1" applyAlignment="1">
      <alignment horizontal="center"/>
    </xf>
    <xf numFmtId="166" fontId="40" fillId="2" borderId="0" xfId="0" applyNumberFormat="1" applyFont="1" applyFill="1" applyAlignment="1">
      <alignment horizontal="center"/>
    </xf>
    <xf numFmtId="0" fontId="49" fillId="7" borderId="0" xfId="0" applyFont="1" applyFill="1" applyAlignment="1">
      <alignment horizontal="center"/>
    </xf>
    <xf numFmtId="0" fontId="50" fillId="7" borderId="0" xfId="0" applyFont="1" applyFill="1" applyAlignment="1">
      <alignment horizontal="center"/>
    </xf>
    <xf numFmtId="0" fontId="52" fillId="2" borderId="0" xfId="0" applyFont="1" applyFill="1" applyAlignment="1">
      <alignment horizontal="center"/>
    </xf>
    <xf numFmtId="173" fontId="40" fillId="2" borderId="0" xfId="3" applyNumberFormat="1" applyFont="1" applyFill="1" applyBorder="1" applyAlignment="1">
      <alignment horizontal="center"/>
    </xf>
    <xf numFmtId="173" fontId="42" fillId="2" borderId="0" xfId="3" applyNumberFormat="1" applyFont="1" applyFill="1" applyBorder="1" applyAlignment="1">
      <alignment horizontal="center"/>
    </xf>
    <xf numFmtId="175" fontId="0" fillId="2" borderId="13" xfId="0" applyNumberFormat="1" applyFill="1" applyBorder="1" applyAlignment="1">
      <alignment horizontal="center"/>
    </xf>
    <xf numFmtId="176" fontId="0" fillId="2" borderId="13" xfId="0" applyNumberFormat="1" applyFill="1" applyBorder="1" applyAlignment="1">
      <alignment horizontal="center"/>
    </xf>
    <xf numFmtId="178" fontId="0" fillId="2" borderId="13" xfId="0" applyNumberFormat="1" applyFill="1" applyBorder="1" applyAlignment="1">
      <alignment horizontal="center"/>
    </xf>
    <xf numFmtId="167" fontId="0" fillId="2" borderId="13" xfId="0" applyNumberFormat="1" applyFill="1" applyBorder="1" applyAlignment="1">
      <alignment horizontal="center"/>
    </xf>
    <xf numFmtId="179" fontId="0" fillId="2" borderId="13" xfId="0" applyNumberFormat="1" applyFill="1" applyBorder="1" applyAlignment="1">
      <alignment horizontal="center"/>
    </xf>
    <xf numFmtId="171" fontId="0" fillId="2" borderId="0" xfId="0" applyNumberFormat="1" applyFill="1" applyAlignment="1">
      <alignment horizontal="center"/>
    </xf>
    <xf numFmtId="177" fontId="0" fillId="2" borderId="0" xfId="5" applyNumberFormat="1" applyFont="1" applyFill="1" applyBorder="1" applyAlignment="1">
      <alignment horizontal="center"/>
    </xf>
    <xf numFmtId="165" fontId="0" fillId="2" borderId="0" xfId="5" applyFont="1" applyFill="1" applyBorder="1" applyAlignment="1">
      <alignment horizontal="center"/>
    </xf>
    <xf numFmtId="165" fontId="0" fillId="2" borderId="8" xfId="5" applyFont="1" applyFill="1" applyBorder="1" applyAlignment="1"/>
    <xf numFmtId="165" fontId="0" fillId="2" borderId="3" xfId="5" applyFont="1" applyFill="1" applyBorder="1" applyAlignment="1"/>
    <xf numFmtId="165" fontId="0" fillId="2" borderId="4" xfId="5" applyFont="1" applyFill="1" applyBorder="1" applyAlignment="1">
      <alignment horizontal="center"/>
    </xf>
    <xf numFmtId="165" fontId="0" fillId="2" borderId="5" xfId="5" applyFont="1" applyFill="1" applyBorder="1" applyAlignment="1"/>
    <xf numFmtId="177" fontId="0" fillId="2" borderId="8" xfId="5" applyNumberFormat="1" applyFont="1" applyFill="1" applyBorder="1" applyAlignment="1"/>
    <xf numFmtId="177" fontId="0" fillId="2" borderId="3" xfId="5" applyNumberFormat="1" applyFont="1" applyFill="1" applyBorder="1" applyAlignment="1"/>
    <xf numFmtId="0" fontId="22" fillId="6" borderId="0" xfId="0" applyFont="1" applyFill="1"/>
    <xf numFmtId="172" fontId="0" fillId="2" borderId="0" xfId="0" applyNumberFormat="1" applyFill="1"/>
    <xf numFmtId="172" fontId="0" fillId="2" borderId="7" xfId="0" applyNumberFormat="1" applyFill="1" applyBorder="1"/>
    <xf numFmtId="172" fontId="0" fillId="2" borderId="4" xfId="0" applyNumberFormat="1" applyFill="1" applyBorder="1"/>
    <xf numFmtId="179" fontId="0" fillId="2" borderId="7" xfId="0" applyNumberFormat="1" applyFill="1" applyBorder="1" applyAlignment="1">
      <alignment horizontal="center"/>
    </xf>
    <xf numFmtId="179" fontId="0" fillId="2" borderId="0" xfId="0" applyNumberFormat="1" applyFill="1" applyAlignment="1">
      <alignment horizontal="center"/>
    </xf>
    <xf numFmtId="179" fontId="0" fillId="2" borderId="4" xfId="0" applyNumberFormat="1" applyFill="1" applyBorder="1" applyAlignment="1">
      <alignment horizontal="center"/>
    </xf>
    <xf numFmtId="180" fontId="0" fillId="2" borderId="7" xfId="5" applyNumberFormat="1" applyFont="1" applyFill="1" applyBorder="1" applyAlignment="1">
      <alignment horizontal="center"/>
    </xf>
    <xf numFmtId="180" fontId="0" fillId="2" borderId="0" xfId="5" applyNumberFormat="1" applyFont="1" applyFill="1" applyBorder="1" applyAlignment="1">
      <alignment horizontal="center"/>
    </xf>
    <xf numFmtId="180" fontId="0" fillId="2" borderId="4" xfId="5" applyNumberFormat="1" applyFont="1" applyFill="1" applyBorder="1" applyAlignment="1">
      <alignment horizontal="center"/>
    </xf>
    <xf numFmtId="0" fontId="22" fillId="8" borderId="20" xfId="0" applyFont="1" applyFill="1" applyBorder="1"/>
    <xf numFmtId="0" fontId="22" fillId="8" borderId="23" xfId="0" applyFont="1" applyFill="1" applyBorder="1"/>
    <xf numFmtId="9" fontId="0" fillId="2" borderId="7" xfId="4" applyFont="1" applyFill="1" applyBorder="1" applyAlignment="1">
      <alignment horizontal="center"/>
    </xf>
    <xf numFmtId="0" fontId="40" fillId="0" borderId="0" xfId="0" applyFont="1"/>
    <xf numFmtId="166" fontId="42" fillId="2" borderId="0" xfId="3" applyNumberFormat="1" applyFont="1" applyFill="1" applyBorder="1" applyAlignment="1">
      <alignment horizontal="center"/>
    </xf>
    <xf numFmtId="171" fontId="42" fillId="2" borderId="0" xfId="0" applyNumberFormat="1" applyFont="1" applyFill="1" applyAlignment="1">
      <alignment horizontal="center"/>
    </xf>
    <xf numFmtId="0" fontId="49" fillId="6" borderId="0" xfId="0" applyFont="1" applyFill="1"/>
    <xf numFmtId="0" fontId="50" fillId="6" borderId="0" xfId="0" applyFont="1" applyFill="1" applyAlignment="1">
      <alignment horizontal="center"/>
    </xf>
    <xf numFmtId="167" fontId="40" fillId="2" borderId="0" xfId="0" applyNumberFormat="1" applyFont="1" applyFill="1" applyAlignment="1">
      <alignment horizontal="center"/>
    </xf>
    <xf numFmtId="171" fontId="40" fillId="2" borderId="0" xfId="3" applyNumberFormat="1" applyFont="1" applyFill="1" applyBorder="1" applyAlignment="1">
      <alignment horizontal="center"/>
    </xf>
    <xf numFmtId="171" fontId="40" fillId="2" borderId="0" xfId="0" applyNumberFormat="1" applyFont="1" applyFill="1" applyAlignment="1">
      <alignment horizontal="center"/>
    </xf>
    <xf numFmtId="166" fontId="0" fillId="2" borderId="21" xfId="0" applyNumberForma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173" fontId="20" fillId="2" borderId="0" xfId="4" applyNumberFormat="1" applyFont="1" applyFill="1" applyBorder="1" applyAlignment="1">
      <alignment horizontal="center"/>
    </xf>
    <xf numFmtId="173" fontId="20" fillId="2" borderId="0" xfId="0" applyNumberFormat="1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20" fillId="2" borderId="0" xfId="0" applyNumberFormat="1" applyFont="1" applyFill="1" applyAlignment="1">
      <alignment horizontal="center"/>
    </xf>
    <xf numFmtId="178" fontId="40" fillId="2" borderId="0" xfId="0" applyNumberFormat="1" applyFont="1" applyFill="1" applyAlignment="1">
      <alignment horizontal="center"/>
    </xf>
    <xf numFmtId="0" fontId="49" fillId="2" borderId="0" xfId="0" applyFont="1" applyFill="1"/>
    <xf numFmtId="0" fontId="22" fillId="11" borderId="0" xfId="0" applyFont="1" applyFill="1"/>
    <xf numFmtId="0" fontId="22" fillId="12" borderId="0" xfId="0" applyFont="1" applyFill="1"/>
    <xf numFmtId="0" fontId="41" fillId="2" borderId="0" xfId="0" applyFont="1" applyFill="1" applyProtection="1">
      <protection hidden="1"/>
    </xf>
    <xf numFmtId="173" fontId="42" fillId="2" borderId="0" xfId="0" applyNumberFormat="1" applyFont="1" applyFill="1" applyAlignment="1" applyProtection="1">
      <alignment horizontal="center"/>
      <protection locked="0"/>
    </xf>
    <xf numFmtId="176" fontId="0" fillId="2" borderId="8" xfId="0" applyNumberFormat="1" applyFill="1" applyBorder="1" applyAlignment="1">
      <alignment horizontal="center"/>
    </xf>
    <xf numFmtId="176" fontId="0" fillId="2" borderId="3" xfId="0" applyNumberFormat="1" applyFill="1" applyBorder="1" applyAlignment="1">
      <alignment horizontal="center"/>
    </xf>
    <xf numFmtId="176" fontId="0" fillId="2" borderId="5" xfId="0" applyNumberFormat="1" applyFill="1" applyBorder="1" applyAlignment="1">
      <alignment horizontal="center"/>
    </xf>
    <xf numFmtId="2" fontId="0" fillId="2" borderId="7" xfId="4" applyNumberFormat="1" applyFont="1" applyFill="1" applyBorder="1" applyAlignment="1">
      <alignment horizontal="center"/>
    </xf>
    <xf numFmtId="2" fontId="0" fillId="2" borderId="0" xfId="4" applyNumberFormat="1" applyFont="1" applyFill="1" applyBorder="1" applyAlignment="1">
      <alignment horizontal="center"/>
    </xf>
    <xf numFmtId="2" fontId="0" fillId="2" borderId="4" xfId="4" applyNumberFormat="1" applyFont="1" applyFill="1" applyBorder="1" applyAlignment="1">
      <alignment horizontal="center"/>
    </xf>
    <xf numFmtId="0" fontId="24" fillId="0" borderId="0" xfId="0" applyFont="1"/>
    <xf numFmtId="168" fontId="0" fillId="2" borderId="0" xfId="0" applyNumberFormat="1" applyFill="1" applyAlignment="1">
      <alignment horizontal="center"/>
    </xf>
    <xf numFmtId="166" fontId="40" fillId="2" borderId="0" xfId="0" applyNumberFormat="1" applyFont="1" applyFill="1"/>
    <xf numFmtId="0" fontId="24" fillId="6" borderId="0" xfId="0" applyFont="1" applyFill="1"/>
    <xf numFmtId="168" fontId="20" fillId="2" borderId="0" xfId="0" applyNumberFormat="1" applyFont="1" applyFill="1"/>
    <xf numFmtId="0" fontId="22" fillId="4" borderId="0" xfId="0" applyFont="1" applyFill="1" applyAlignment="1">
      <alignment horizontal="center"/>
    </xf>
    <xf numFmtId="0" fontId="22" fillId="4" borderId="0" xfId="0" applyFont="1" applyFill="1"/>
    <xf numFmtId="0" fontId="46" fillId="2" borderId="0" xfId="0" applyFont="1" applyFill="1" applyAlignment="1">
      <alignment horizontal="center"/>
    </xf>
    <xf numFmtId="9" fontId="40" fillId="2" borderId="0" xfId="4" applyFont="1" applyFill="1" applyBorder="1" applyAlignment="1">
      <alignment horizontal="center"/>
    </xf>
    <xf numFmtId="168" fontId="42" fillId="2" borderId="0" xfId="3" applyNumberFormat="1" applyFont="1" applyFill="1" applyBorder="1" applyAlignment="1">
      <alignment horizontal="center"/>
    </xf>
    <xf numFmtId="1" fontId="22" fillId="6" borderId="0" xfId="0" applyNumberFormat="1" applyFont="1" applyFill="1" applyAlignment="1">
      <alignment horizontal="center"/>
    </xf>
    <xf numFmtId="170" fontId="40" fillId="2" borderId="0" xfId="3" applyNumberFormat="1" applyFont="1" applyFill="1" applyBorder="1" applyAlignment="1">
      <alignment horizontal="center"/>
    </xf>
    <xf numFmtId="2" fontId="40" fillId="2" borderId="0" xfId="3" applyNumberFormat="1" applyFont="1" applyFill="1" applyBorder="1" applyAlignment="1">
      <alignment horizontal="center"/>
    </xf>
    <xf numFmtId="0" fontId="0" fillId="2" borderId="27" xfId="0" applyFill="1" applyBorder="1"/>
    <xf numFmtId="0" fontId="0" fillId="2" borderId="25" xfId="0" applyFill="1" applyBorder="1"/>
    <xf numFmtId="172" fontId="0" fillId="2" borderId="13" xfId="0" applyNumberFormat="1" applyFill="1" applyBorder="1"/>
    <xf numFmtId="0" fontId="0" fillId="2" borderId="26" xfId="0" applyFill="1" applyBorder="1" applyAlignment="1">
      <alignment horizontal="center"/>
    </xf>
    <xf numFmtId="2" fontId="40" fillId="2" borderId="0" xfId="4" applyNumberFormat="1" applyFont="1" applyFill="1" applyBorder="1" applyAlignment="1">
      <alignment horizontal="center"/>
    </xf>
    <xf numFmtId="0" fontId="54" fillId="7" borderId="0" xfId="0" applyFont="1" applyFill="1"/>
    <xf numFmtId="0" fontId="54" fillId="2" borderId="0" xfId="0" applyFont="1" applyFill="1"/>
    <xf numFmtId="0" fontId="0" fillId="6" borderId="0" xfId="0" applyFill="1"/>
    <xf numFmtId="0" fontId="40" fillId="6" borderId="0" xfId="0" applyFont="1" applyFill="1" applyAlignment="1">
      <alignment horizontal="center"/>
    </xf>
    <xf numFmtId="0" fontId="49" fillId="6" borderId="0" xfId="0" applyFont="1" applyFill="1" applyAlignment="1">
      <alignment horizontal="center"/>
    </xf>
    <xf numFmtId="0" fontId="55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center"/>
    </xf>
    <xf numFmtId="2" fontId="3" fillId="2" borderId="4" xfId="0" applyNumberFormat="1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9" fontId="20" fillId="2" borderId="0" xfId="4" applyFont="1" applyFill="1" applyBorder="1" applyAlignment="1">
      <alignment horizontal="center"/>
    </xf>
    <xf numFmtId="9" fontId="0" fillId="2" borderId="0" xfId="4" applyFont="1" applyFill="1" applyAlignment="1">
      <alignment horizontal="center"/>
    </xf>
    <xf numFmtId="173" fontId="20" fillId="2" borderId="0" xfId="0" applyNumberFormat="1" applyFont="1" applyFill="1"/>
    <xf numFmtId="173" fontId="20" fillId="2" borderId="0" xfId="3" applyNumberFormat="1" applyFont="1" applyFill="1" applyBorder="1" applyAlignment="1"/>
    <xf numFmtId="170" fontId="0" fillId="2" borderId="0" xfId="3" applyNumberFormat="1" applyFont="1" applyFill="1" applyAlignment="1">
      <alignment horizontal="center"/>
    </xf>
    <xf numFmtId="1" fontId="0" fillId="2" borderId="0" xfId="0" applyNumberFormat="1" applyFill="1"/>
    <xf numFmtId="1" fontId="46" fillId="2" borderId="0" xfId="0" applyNumberFormat="1" applyFont="1" applyFill="1" applyAlignment="1">
      <alignment horizontal="center"/>
    </xf>
    <xf numFmtId="1" fontId="45" fillId="2" borderId="0" xfId="0" applyNumberFormat="1" applyFont="1" applyFill="1" applyAlignment="1">
      <alignment horizontal="center"/>
    </xf>
    <xf numFmtId="1" fontId="40" fillId="2" borderId="0" xfId="0" applyNumberFormat="1" applyFont="1" applyFill="1" applyAlignment="1">
      <alignment horizontal="center"/>
    </xf>
    <xf numFmtId="0" fontId="49" fillId="2" borderId="0" xfId="0" applyFont="1" applyFill="1" applyAlignment="1">
      <alignment horizontal="center"/>
    </xf>
    <xf numFmtId="1" fontId="40" fillId="2" borderId="0" xfId="3" applyNumberFormat="1" applyFont="1" applyFill="1" applyBorder="1" applyAlignment="1">
      <alignment horizontal="center"/>
    </xf>
    <xf numFmtId="173" fontId="40" fillId="2" borderId="0" xfId="0" applyNumberFormat="1" applyFont="1" applyFill="1"/>
    <xf numFmtId="0" fontId="0" fillId="13" borderId="0" xfId="0" applyFill="1"/>
    <xf numFmtId="0" fontId="39" fillId="2" borderId="0" xfId="0" applyFont="1" applyFill="1"/>
    <xf numFmtId="2" fontId="0" fillId="2" borderId="0" xfId="0" quotePrefix="1" applyNumberFormat="1" applyFill="1" applyAlignment="1">
      <alignment horizontal="center"/>
    </xf>
    <xf numFmtId="166" fontId="20" fillId="2" borderId="7" xfId="0" applyNumberFormat="1" applyFont="1" applyFill="1" applyBorder="1" applyAlignment="1">
      <alignment horizontal="center"/>
    </xf>
    <xf numFmtId="2" fontId="20" fillId="2" borderId="7" xfId="0" applyNumberFormat="1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66" fontId="20" fillId="2" borderId="4" xfId="0" applyNumberFormat="1" applyFont="1" applyFill="1" applyBorder="1" applyAlignment="1">
      <alignment horizontal="center"/>
    </xf>
    <xf numFmtId="2" fontId="20" fillId="2" borderId="4" xfId="0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0" fillId="2" borderId="0" xfId="0" applyFont="1" applyFill="1"/>
    <xf numFmtId="164" fontId="0" fillId="2" borderId="0" xfId="0" applyNumberFormat="1" applyFill="1" applyAlignment="1">
      <alignment horizontal="center"/>
    </xf>
    <xf numFmtId="173" fontId="10" fillId="2" borderId="0" xfId="0" applyNumberFormat="1" applyFont="1" applyFill="1" applyAlignment="1">
      <alignment horizontal="center"/>
    </xf>
    <xf numFmtId="0" fontId="2" fillId="2" borderId="4" xfId="0" applyFont="1" applyFill="1" applyBorder="1"/>
    <xf numFmtId="0" fontId="24" fillId="2" borderId="0" xfId="0" quotePrefix="1" applyFont="1" applyFill="1" applyAlignment="1">
      <alignment horizontal="center"/>
    </xf>
    <xf numFmtId="9" fontId="0" fillId="2" borderId="0" xfId="4" applyFont="1" applyFill="1" applyBorder="1"/>
    <xf numFmtId="170" fontId="0" fillId="2" borderId="0" xfId="0" applyNumberFormat="1" applyFill="1"/>
    <xf numFmtId="170" fontId="20" fillId="2" borderId="0" xfId="0" applyNumberFormat="1" applyFont="1" applyFill="1"/>
    <xf numFmtId="173" fontId="0" fillId="2" borderId="0" xfId="0" applyNumberFormat="1" applyFill="1"/>
    <xf numFmtId="173" fontId="0" fillId="2" borderId="0" xfId="4" applyNumberFormat="1" applyFont="1" applyFill="1" applyBorder="1"/>
    <xf numFmtId="0" fontId="22" fillId="14" borderId="0" xfId="0" applyFont="1" applyFill="1"/>
    <xf numFmtId="164" fontId="0" fillId="15" borderId="0" xfId="3" applyFont="1" applyFill="1" applyBorder="1"/>
    <xf numFmtId="0" fontId="0" fillId="15" borderId="0" xfId="0" applyFill="1" applyAlignment="1">
      <alignment horizontal="center"/>
    </xf>
    <xf numFmtId="170" fontId="0" fillId="15" borderId="0" xfId="0" applyNumberFormat="1" applyFill="1" applyAlignment="1">
      <alignment horizontal="center"/>
    </xf>
    <xf numFmtId="171" fontId="0" fillId="15" borderId="0" xfId="0" applyNumberFormat="1" applyFill="1" applyAlignment="1">
      <alignment horizontal="center"/>
    </xf>
    <xf numFmtId="171" fontId="24" fillId="2" borderId="0" xfId="0" applyNumberFormat="1" applyFont="1" applyFill="1" applyAlignment="1">
      <alignment horizontal="center"/>
    </xf>
    <xf numFmtId="0" fontId="2" fillId="2" borderId="0" xfId="0" applyFont="1" applyFill="1"/>
    <xf numFmtId="171" fontId="2" fillId="2" borderId="0" xfId="0" applyNumberFormat="1" applyFont="1" applyFill="1"/>
    <xf numFmtId="1" fontId="2" fillId="2" borderId="0" xfId="0" applyNumberFormat="1" applyFont="1" applyFill="1" applyAlignment="1">
      <alignment horizontal="center"/>
    </xf>
    <xf numFmtId="0" fontId="53" fillId="2" borderId="0" xfId="0" applyFont="1" applyFill="1"/>
    <xf numFmtId="0" fontId="24" fillId="15" borderId="0" xfId="0" applyFont="1" applyFill="1"/>
    <xf numFmtId="0" fontId="0" fillId="15" borderId="0" xfId="0" applyFill="1"/>
    <xf numFmtId="0" fontId="53" fillId="15" borderId="0" xfId="0" applyFont="1" applyFill="1"/>
    <xf numFmtId="176" fontId="40" fillId="2" borderId="0" xfId="4" applyNumberFormat="1" applyFont="1" applyFill="1" applyBorder="1" applyAlignment="1">
      <alignment horizontal="center"/>
    </xf>
    <xf numFmtId="2" fontId="20" fillId="2" borderId="6" xfId="0" applyNumberFormat="1" applyFont="1" applyFill="1" applyBorder="1" applyAlignment="1">
      <alignment horizontal="center"/>
    </xf>
    <xf numFmtId="0" fontId="20" fillId="2" borderId="7" xfId="0" applyFont="1" applyFill="1" applyBorder="1" applyAlignment="1">
      <alignment horizontal="center"/>
    </xf>
    <xf numFmtId="2" fontId="20" fillId="2" borderId="8" xfId="0" applyNumberFormat="1" applyFont="1" applyFill="1" applyBorder="1" applyAlignment="1">
      <alignment horizontal="center"/>
    </xf>
    <xf numFmtId="2" fontId="20" fillId="2" borderId="0" xfId="0" applyNumberFormat="1" applyFont="1" applyFill="1"/>
    <xf numFmtId="0" fontId="5" fillId="6" borderId="0" xfId="0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71" fontId="20" fillId="2" borderId="0" xfId="0" quotePrefix="1" applyNumberFormat="1" applyFont="1" applyFill="1" applyAlignment="1">
      <alignment horizontal="center"/>
    </xf>
    <xf numFmtId="0" fontId="22" fillId="13" borderId="0" xfId="0" applyFont="1" applyFill="1"/>
    <xf numFmtId="0" fontId="65" fillId="2" borderId="0" xfId="0" applyFont="1" applyFill="1"/>
    <xf numFmtId="1" fontId="65" fillId="2" borderId="0" xfId="0" applyNumberFormat="1" applyFont="1" applyFill="1" applyAlignment="1">
      <alignment horizontal="center"/>
    </xf>
    <xf numFmtId="2" fontId="66" fillId="2" borderId="0" xfId="0" applyNumberFormat="1" applyFont="1" applyFill="1"/>
    <xf numFmtId="172" fontId="67" fillId="2" borderId="0" xfId="0" applyNumberFormat="1" applyFont="1" applyFill="1"/>
    <xf numFmtId="0" fontId="66" fillId="2" borderId="0" xfId="0" applyFont="1" applyFill="1" applyAlignment="1">
      <alignment horizontal="center"/>
    </xf>
    <xf numFmtId="172" fontId="66" fillId="2" borderId="0" xfId="0" applyNumberFormat="1" applyFont="1" applyFill="1" applyAlignment="1">
      <alignment horizontal="center"/>
    </xf>
    <xf numFmtId="2" fontId="66" fillId="2" borderId="0" xfId="0" applyNumberFormat="1" applyFont="1" applyFill="1" applyAlignment="1">
      <alignment horizontal="center"/>
    </xf>
    <xf numFmtId="171" fontId="66" fillId="2" borderId="0" xfId="0" applyNumberFormat="1" applyFont="1" applyFill="1" applyAlignment="1">
      <alignment horizontal="center"/>
    </xf>
    <xf numFmtId="0" fontId="66" fillId="15" borderId="0" xfId="0" applyFont="1" applyFill="1" applyAlignment="1">
      <alignment horizontal="center"/>
    </xf>
    <xf numFmtId="170" fontId="66" fillId="2" borderId="0" xfId="0" applyNumberFormat="1" applyFont="1" applyFill="1" applyAlignment="1">
      <alignment horizontal="center"/>
    </xf>
    <xf numFmtId="170" fontId="66" fillId="15" borderId="0" xfId="0" applyNumberFormat="1" applyFont="1" applyFill="1" applyAlignment="1">
      <alignment horizontal="center"/>
    </xf>
    <xf numFmtId="0" fontId="66" fillId="2" borderId="0" xfId="0" quotePrefix="1" applyFont="1" applyFill="1" applyAlignment="1">
      <alignment horizontal="center"/>
    </xf>
    <xf numFmtId="171" fontId="66" fillId="15" borderId="0" xfId="0" applyNumberFormat="1" applyFont="1" applyFill="1" applyAlignment="1">
      <alignment horizontal="center"/>
    </xf>
    <xf numFmtId="1" fontId="66" fillId="2" borderId="0" xfId="0" quotePrefix="1" applyNumberFormat="1" applyFont="1" applyFill="1" applyAlignment="1">
      <alignment horizontal="center"/>
    </xf>
    <xf numFmtId="1" fontId="66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2" borderId="0" xfId="0" applyFont="1" applyFill="1"/>
    <xf numFmtId="0" fontId="1" fillId="2" borderId="4" xfId="0" applyFont="1" applyFill="1" applyBorder="1"/>
    <xf numFmtId="0" fontId="54" fillId="14" borderId="0" xfId="0" applyFont="1" applyFill="1"/>
    <xf numFmtId="0" fontId="54" fillId="2" borderId="0" xfId="0" applyFont="1" applyFill="1" applyAlignment="1">
      <alignment horizontal="center"/>
    </xf>
    <xf numFmtId="0" fontId="55" fillId="15" borderId="0" xfId="0" applyFont="1" applyFill="1"/>
    <xf numFmtId="164" fontId="2" fillId="15" borderId="0" xfId="3" applyFont="1" applyFill="1" applyBorder="1"/>
    <xf numFmtId="9" fontId="2" fillId="2" borderId="0" xfId="4" applyFont="1" applyFill="1" applyBorder="1" applyAlignment="1"/>
    <xf numFmtId="173" fontId="2" fillId="2" borderId="0" xfId="3" applyNumberFormat="1" applyFont="1" applyFill="1" applyBorder="1" applyAlignment="1"/>
    <xf numFmtId="0" fontId="2" fillId="15" borderId="0" xfId="0" applyFont="1" applyFill="1"/>
    <xf numFmtId="2" fontId="2" fillId="2" borderId="0" xfId="0" applyNumberFormat="1" applyFont="1" applyFill="1" applyAlignment="1">
      <alignment horizontal="center"/>
    </xf>
    <xf numFmtId="2" fontId="2" fillId="2" borderId="0" xfId="4" applyNumberFormat="1" applyFont="1" applyFill="1" applyBorder="1" applyAlignment="1"/>
    <xf numFmtId="2" fontId="2" fillId="2" borderId="0" xfId="0" applyNumberFormat="1" applyFont="1" applyFill="1"/>
    <xf numFmtId="9" fontId="2" fillId="2" borderId="0" xfId="4" applyFont="1" applyFill="1" applyBorder="1" applyAlignment="1">
      <alignment horizontal="center"/>
    </xf>
    <xf numFmtId="171" fontId="2" fillId="2" borderId="0" xfId="0" applyNumberFormat="1" applyFont="1" applyFill="1" applyAlignment="1">
      <alignment horizontal="center"/>
    </xf>
    <xf numFmtId="173" fontId="2" fillId="2" borderId="0" xfId="3" applyNumberFormat="1" applyFont="1" applyFill="1" applyBorder="1" applyAlignment="1">
      <alignment horizontal="center"/>
    </xf>
    <xf numFmtId="0" fontId="58" fillId="2" borderId="0" xfId="0" applyFont="1" applyFill="1"/>
    <xf numFmtId="0" fontId="2" fillId="2" borderId="0" xfId="0" applyFont="1" applyFill="1" applyAlignment="1">
      <alignment horizontal="center"/>
    </xf>
    <xf numFmtId="1" fontId="2" fillId="2" borderId="0" xfId="3" applyNumberFormat="1" applyFont="1" applyFill="1" applyBorder="1" applyAlignment="1">
      <alignment horizontal="center"/>
    </xf>
    <xf numFmtId="2" fontId="2" fillId="2" borderId="0" xfId="4" applyNumberFormat="1" applyFont="1" applyFill="1" applyBorder="1" applyAlignment="1">
      <alignment horizontal="center"/>
    </xf>
    <xf numFmtId="2" fontId="2" fillId="2" borderId="0" xfId="3" applyNumberFormat="1" applyFont="1" applyFill="1" applyBorder="1" applyAlignment="1">
      <alignment horizontal="center"/>
    </xf>
    <xf numFmtId="176" fontId="2" fillId="2" borderId="0" xfId="4" applyNumberFormat="1" applyFont="1" applyFill="1" applyBorder="1" applyAlignment="1">
      <alignment horizontal="center"/>
    </xf>
    <xf numFmtId="0" fontId="2" fillId="15" borderId="0" xfId="0" applyFont="1" applyFill="1" applyAlignment="1">
      <alignment horizontal="center"/>
    </xf>
    <xf numFmtId="170" fontId="2" fillId="2" borderId="0" xfId="3" applyNumberFormat="1" applyFont="1" applyFill="1" applyBorder="1" applyAlignment="1">
      <alignment horizontal="center"/>
    </xf>
    <xf numFmtId="170" fontId="2" fillId="2" borderId="0" xfId="0" applyNumberFormat="1" applyFont="1" applyFill="1" applyAlignment="1">
      <alignment horizontal="center"/>
    </xf>
    <xf numFmtId="173" fontId="62" fillId="2" borderId="0" xfId="3" applyNumberFormat="1" applyFont="1" applyFill="1" applyBorder="1" applyAlignment="1">
      <alignment horizontal="center"/>
    </xf>
    <xf numFmtId="170" fontId="2" fillId="15" borderId="0" xfId="0" applyNumberFormat="1" applyFont="1" applyFill="1" applyAlignment="1">
      <alignment horizontal="center"/>
    </xf>
    <xf numFmtId="0" fontId="63" fillId="2" borderId="0" xfId="0" applyFont="1" applyFill="1"/>
    <xf numFmtId="171" fontId="2" fillId="15" borderId="0" xfId="0" applyNumberFormat="1" applyFont="1" applyFill="1" applyAlignment="1">
      <alignment horizontal="center"/>
    </xf>
    <xf numFmtId="173" fontId="2" fillId="2" borderId="0" xfId="0" applyNumberFormat="1" applyFont="1" applyFill="1"/>
    <xf numFmtId="171" fontId="55" fillId="2" borderId="0" xfId="0" applyNumberFormat="1" applyFont="1" applyFill="1" applyAlignment="1">
      <alignment horizontal="center"/>
    </xf>
    <xf numFmtId="0" fontId="63" fillId="15" borderId="0" xfId="0" applyFont="1" applyFill="1"/>
    <xf numFmtId="1" fontId="2" fillId="2" borderId="0" xfId="0" applyNumberFormat="1" applyFont="1" applyFill="1"/>
    <xf numFmtId="171" fontId="59" fillId="2" borderId="0" xfId="0" applyNumberFormat="1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9" xfId="0" applyBorder="1"/>
    <xf numFmtId="0" fontId="0" fillId="0" borderId="6" xfId="0" applyBorder="1"/>
    <xf numFmtId="166" fontId="20" fillId="0" borderId="0" xfId="0" applyNumberFormat="1" applyFont="1" applyAlignment="1">
      <alignment horizontal="center"/>
    </xf>
    <xf numFmtId="2" fontId="20" fillId="0" borderId="0" xfId="0" applyNumberFormat="1" applyFont="1" applyAlignment="1">
      <alignment horizontal="center"/>
    </xf>
    <xf numFmtId="2" fontId="20" fillId="0" borderId="3" xfId="0" applyNumberFormat="1" applyFont="1" applyBorder="1" applyAlignment="1">
      <alignment horizontal="center"/>
    </xf>
    <xf numFmtId="170" fontId="20" fillId="0" borderId="0" xfId="0" applyNumberFormat="1" applyFont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171" fontId="20" fillId="0" borderId="0" xfId="0" applyNumberFormat="1" applyFont="1" applyAlignment="1">
      <alignment horizontal="center"/>
    </xf>
    <xf numFmtId="171" fontId="20" fillId="0" borderId="7" xfId="0" applyNumberFormat="1" applyFont="1" applyBorder="1" applyAlignment="1">
      <alignment horizontal="center"/>
    </xf>
    <xf numFmtId="1" fontId="20" fillId="0" borderId="0" xfId="0" applyNumberFormat="1" applyFont="1" applyAlignment="1">
      <alignment horizontal="center"/>
    </xf>
    <xf numFmtId="1" fontId="20" fillId="0" borderId="4" xfId="0" applyNumberFormat="1" applyFont="1" applyBorder="1" applyAlignment="1">
      <alignment horizontal="center"/>
    </xf>
    <xf numFmtId="0" fontId="50" fillId="0" borderId="0" xfId="0" applyFont="1" applyAlignment="1">
      <alignment horizontal="center"/>
    </xf>
    <xf numFmtId="0" fontId="46" fillId="2" borderId="6" xfId="0" applyFont="1" applyFill="1" applyBorder="1" applyAlignment="1">
      <alignment horizontal="center"/>
    </xf>
    <xf numFmtId="0" fontId="41" fillId="2" borderId="9" xfId="0" applyFont="1" applyFill="1" applyBorder="1"/>
    <xf numFmtId="0" fontId="41" fillId="2" borderId="2" xfId="0" applyFont="1" applyFill="1" applyBorder="1" applyAlignment="1">
      <alignment horizontal="center"/>
    </xf>
    <xf numFmtId="173" fontId="42" fillId="2" borderId="3" xfId="3" applyNumberFormat="1" applyFont="1" applyFill="1" applyBorder="1" applyAlignment="1">
      <alignment horizontal="center"/>
    </xf>
    <xf numFmtId="0" fontId="40" fillId="2" borderId="2" xfId="0" applyFont="1" applyFill="1" applyBorder="1" applyAlignment="1">
      <alignment horizontal="center"/>
    </xf>
    <xf numFmtId="0" fontId="41" fillId="2" borderId="9" xfId="0" applyFont="1" applyFill="1" applyBorder="1" applyAlignment="1">
      <alignment horizontal="center"/>
    </xf>
    <xf numFmtId="0" fontId="40" fillId="2" borderId="7" xfId="0" applyFont="1" applyFill="1" applyBorder="1" applyAlignment="1">
      <alignment horizontal="center"/>
    </xf>
    <xf numFmtId="0" fontId="40" fillId="2" borderId="8" xfId="0" applyFont="1" applyFill="1" applyBorder="1" applyAlignment="1">
      <alignment horizontal="center"/>
    </xf>
    <xf numFmtId="0" fontId="40" fillId="2" borderId="9" xfId="0" applyFont="1" applyFill="1" applyBorder="1"/>
    <xf numFmtId="0" fontId="40" fillId="2" borderId="2" xfId="0" applyFont="1" applyFill="1" applyBorder="1"/>
    <xf numFmtId="0" fontId="54" fillId="7" borderId="0" xfId="0" applyFont="1" applyFill="1" applyAlignment="1">
      <alignment horizontal="center"/>
    </xf>
    <xf numFmtId="1" fontId="62" fillId="2" borderId="0" xfId="0" applyNumberFormat="1" applyFont="1" applyFill="1" applyAlignment="1">
      <alignment horizontal="center"/>
    </xf>
    <xf numFmtId="1" fontId="62" fillId="2" borderId="4" xfId="0" applyNumberFormat="1" applyFont="1" applyFill="1" applyBorder="1" applyAlignment="1">
      <alignment horizontal="center"/>
    </xf>
    <xf numFmtId="0" fontId="55" fillId="2" borderId="0" xfId="0" applyFont="1" applyFill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2" fillId="2" borderId="0" xfId="0" applyFont="1" applyFill="1" applyAlignment="1">
      <alignment horizontal="center"/>
    </xf>
    <xf numFmtId="0" fontId="62" fillId="2" borderId="4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75" fontId="40" fillId="2" borderId="0" xfId="0" applyNumberFormat="1" applyFont="1" applyFill="1"/>
    <xf numFmtId="181" fontId="0" fillId="2" borderId="0" xfId="0" applyNumberFormat="1" applyFill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4" xfId="0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/>
    </xf>
    <xf numFmtId="0" fontId="22" fillId="9" borderId="28" xfId="0" applyFont="1" applyFill="1" applyBorder="1" applyAlignment="1">
      <alignment horizont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/>
      <protection locked="0"/>
    </xf>
    <xf numFmtId="9" fontId="40" fillId="2" borderId="0" xfId="4" applyFont="1" applyFill="1" applyBorder="1" applyAlignment="1"/>
    <xf numFmtId="173" fontId="40" fillId="2" borderId="0" xfId="3" applyNumberFormat="1" applyFont="1" applyFill="1" applyBorder="1" applyAlignment="1"/>
    <xf numFmtId="2" fontId="40" fillId="2" borderId="0" xfId="4" applyNumberFormat="1" applyFont="1" applyFill="1" applyBorder="1" applyAlignment="1"/>
    <xf numFmtId="2" fontId="41" fillId="2" borderId="4" xfId="4" applyNumberFormat="1" applyFont="1" applyFill="1" applyBorder="1" applyAlignment="1"/>
    <xf numFmtId="2" fontId="41" fillId="2" borderId="5" xfId="4" applyNumberFormat="1" applyFont="1" applyFill="1" applyBorder="1" applyAlignment="1"/>
    <xf numFmtId="0" fontId="42" fillId="2" borderId="3" xfId="0" applyFont="1" applyFill="1" applyBorder="1"/>
    <xf numFmtId="0" fontId="42" fillId="2" borderId="5" xfId="0" applyFont="1" applyFill="1" applyBorder="1"/>
    <xf numFmtId="0" fontId="42" fillId="2" borderId="8" xfId="0" applyFont="1" applyFill="1" applyBorder="1"/>
    <xf numFmtId="173" fontId="42" fillId="2" borderId="3" xfId="0" applyNumberFormat="1" applyFont="1" applyFill="1" applyBorder="1"/>
    <xf numFmtId="173" fontId="42" fillId="2" borderId="5" xfId="0" applyNumberFormat="1" applyFont="1" applyFill="1" applyBorder="1"/>
    <xf numFmtId="172" fontId="42" fillId="2" borderId="3" xfId="0" applyNumberFormat="1" applyFont="1" applyFill="1" applyBorder="1"/>
    <xf numFmtId="170" fontId="42" fillId="2" borderId="3" xfId="0" applyNumberFormat="1" applyFont="1" applyFill="1" applyBorder="1"/>
    <xf numFmtId="170" fontId="42" fillId="2" borderId="5" xfId="0" applyNumberFormat="1" applyFont="1" applyFill="1" applyBorder="1"/>
    <xf numFmtId="168" fontId="42" fillId="2" borderId="4" xfId="0" applyNumberFormat="1" applyFont="1" applyFill="1" applyBorder="1"/>
    <xf numFmtId="168" fontId="42" fillId="2" borderId="7" xfId="0" applyNumberFormat="1" applyFont="1" applyFill="1" applyBorder="1"/>
    <xf numFmtId="168" fontId="42" fillId="2" borderId="0" xfId="0" applyNumberFormat="1" applyFont="1" applyFill="1"/>
    <xf numFmtId="168" fontId="42" fillId="2" borderId="0" xfId="0" applyNumberFormat="1" applyFont="1" applyFill="1" applyAlignment="1">
      <alignment horizontal="center"/>
    </xf>
    <xf numFmtId="168" fontId="42" fillId="2" borderId="4" xfId="0" applyNumberFormat="1" applyFont="1" applyFill="1" applyBorder="1" applyAlignment="1">
      <alignment horizontal="center"/>
    </xf>
    <xf numFmtId="0" fontId="20" fillId="2" borderId="4" xfId="0" applyFont="1" applyFill="1" applyBorder="1" applyAlignment="1">
      <alignment horizontal="center"/>
    </xf>
    <xf numFmtId="1" fontId="20" fillId="2" borderId="0" xfId="0" quotePrefix="1" applyNumberFormat="1" applyFont="1" applyFill="1" applyAlignment="1">
      <alignment horizontal="center"/>
    </xf>
    <xf numFmtId="171" fontId="46" fillId="2" borderId="0" xfId="0" applyNumberFormat="1" applyFont="1" applyFill="1" applyAlignment="1">
      <alignment horizontal="center"/>
    </xf>
    <xf numFmtId="171" fontId="45" fillId="2" borderId="0" xfId="0" applyNumberFormat="1" applyFont="1" applyFill="1" applyAlignment="1">
      <alignment horizontal="center"/>
    </xf>
    <xf numFmtId="164" fontId="0" fillId="2" borderId="0" xfId="0" applyNumberFormat="1" applyFill="1"/>
    <xf numFmtId="168" fontId="0" fillId="2" borderId="0" xfId="0" applyNumberFormat="1" applyFill="1"/>
    <xf numFmtId="0" fontId="64" fillId="2" borderId="0" xfId="0" applyFont="1" applyFill="1"/>
    <xf numFmtId="1" fontId="64" fillId="2" borderId="0" xfId="0" applyNumberFormat="1" applyFont="1" applyFill="1" applyAlignment="1">
      <alignment horizontal="center"/>
    </xf>
    <xf numFmtId="168" fontId="53" fillId="2" borderId="0" xfId="0" applyNumberFormat="1" applyFont="1" applyFill="1"/>
    <xf numFmtId="1" fontId="40" fillId="2" borderId="0" xfId="4" applyNumberFormat="1" applyFont="1" applyFill="1" applyBorder="1" applyAlignment="1">
      <alignment horizontal="center"/>
    </xf>
    <xf numFmtId="0" fontId="68" fillId="2" borderId="0" xfId="0" applyFont="1" applyFill="1"/>
    <xf numFmtId="0" fontId="69" fillId="2" borderId="0" xfId="0" applyFont="1" applyFill="1"/>
    <xf numFmtId="0" fontId="70" fillId="2" borderId="0" xfId="0" applyFont="1" applyFill="1"/>
    <xf numFmtId="0" fontId="65" fillId="2" borderId="0" xfId="0" applyFont="1" applyFill="1" applyAlignment="1">
      <alignment horizontal="center"/>
    </xf>
    <xf numFmtId="173" fontId="65" fillId="2" borderId="0" xfId="3" applyNumberFormat="1" applyFont="1" applyFill="1" applyBorder="1" applyAlignment="1">
      <alignment horizontal="center"/>
    </xf>
    <xf numFmtId="1" fontId="65" fillId="2" borderId="0" xfId="3" applyNumberFormat="1" applyFont="1" applyFill="1" applyBorder="1" applyAlignment="1">
      <alignment horizontal="center"/>
    </xf>
    <xf numFmtId="1" fontId="65" fillId="2" borderId="0" xfId="4" applyNumberFormat="1" applyFont="1" applyFill="1" applyBorder="1" applyAlignment="1">
      <alignment horizontal="center"/>
    </xf>
    <xf numFmtId="166" fontId="65" fillId="2" borderId="0" xfId="4" applyNumberFormat="1" applyFont="1" applyFill="1" applyBorder="1" applyAlignment="1">
      <alignment horizontal="center"/>
    </xf>
    <xf numFmtId="0" fontId="65" fillId="15" borderId="0" xfId="0" applyFont="1" applyFill="1" applyAlignment="1">
      <alignment horizontal="center"/>
    </xf>
    <xf numFmtId="170" fontId="65" fillId="2" borderId="0" xfId="0" applyNumberFormat="1" applyFont="1" applyFill="1" applyAlignment="1">
      <alignment horizontal="center"/>
    </xf>
    <xf numFmtId="173" fontId="72" fillId="2" borderId="0" xfId="3" applyNumberFormat="1" applyFont="1" applyFill="1" applyBorder="1" applyAlignment="1">
      <alignment horizontal="center"/>
    </xf>
    <xf numFmtId="171" fontId="65" fillId="2" borderId="0" xfId="0" applyNumberFormat="1" applyFont="1" applyFill="1" applyAlignment="1">
      <alignment horizontal="center"/>
    </xf>
    <xf numFmtId="170" fontId="65" fillId="15" borderId="0" xfId="0" applyNumberFormat="1" applyFont="1" applyFill="1" applyAlignment="1">
      <alignment horizontal="center"/>
    </xf>
    <xf numFmtId="0" fontId="70" fillId="2" borderId="0" xfId="0" applyFont="1" applyFill="1" applyAlignment="1">
      <alignment horizontal="center"/>
    </xf>
    <xf numFmtId="171" fontId="71" fillId="2" borderId="0" xfId="0" applyNumberFormat="1" applyFont="1" applyFill="1" applyAlignment="1">
      <alignment horizontal="center"/>
    </xf>
    <xf numFmtId="0" fontId="71" fillId="2" borderId="0" xfId="0" applyFont="1" applyFill="1" applyAlignment="1">
      <alignment horizontal="center"/>
    </xf>
    <xf numFmtId="2" fontId="65" fillId="2" borderId="0" xfId="4" applyNumberFormat="1" applyFont="1" applyFill="1" applyBorder="1" applyAlignment="1">
      <alignment horizontal="center"/>
    </xf>
    <xf numFmtId="0" fontId="67" fillId="2" borderId="0" xfId="0" applyFont="1" applyFill="1" applyAlignment="1">
      <alignment horizontal="center"/>
    </xf>
    <xf numFmtId="172" fontId="67" fillId="2" borderId="0" xfId="0" applyNumberFormat="1" applyFont="1" applyFill="1" applyAlignment="1">
      <alignment horizontal="center"/>
    </xf>
    <xf numFmtId="0" fontId="22" fillId="7" borderId="6" xfId="0" applyFont="1" applyFill="1" applyBorder="1"/>
    <xf numFmtId="0" fontId="67" fillId="2" borderId="0" xfId="0" applyFont="1" applyFill="1"/>
    <xf numFmtId="0" fontId="66" fillId="2" borderId="0" xfId="0" applyFont="1" applyFill="1"/>
    <xf numFmtId="171" fontId="67" fillId="15" borderId="0" xfId="0" applyNumberFormat="1" applyFont="1" applyFill="1" applyAlignment="1">
      <alignment horizontal="center"/>
    </xf>
    <xf numFmtId="1" fontId="67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70" fontId="20" fillId="0" borderId="3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70" fontId="20" fillId="0" borderId="4" xfId="0" applyNumberFormat="1" applyFont="1" applyBorder="1" applyAlignment="1">
      <alignment horizontal="center"/>
    </xf>
    <xf numFmtId="1" fontId="20" fillId="0" borderId="3" xfId="0" applyNumberFormat="1" applyFont="1" applyBorder="1" applyAlignment="1">
      <alignment horizontal="center"/>
    </xf>
    <xf numFmtId="1" fontId="20" fillId="0" borderId="5" xfId="0" applyNumberFormat="1" applyFont="1" applyBorder="1" applyAlignment="1">
      <alignment horizontal="center"/>
    </xf>
    <xf numFmtId="1" fontId="20" fillId="2" borderId="4" xfId="0" applyNumberFormat="1" applyFont="1" applyFill="1" applyBorder="1" applyAlignment="1">
      <alignment horizontal="center"/>
    </xf>
    <xf numFmtId="166" fontId="20" fillId="2" borderId="5" xfId="0" applyNumberFormat="1" applyFont="1" applyFill="1" applyBorder="1" applyAlignment="1">
      <alignment horizontal="center"/>
    </xf>
    <xf numFmtId="2" fontId="20" fillId="2" borderId="5" xfId="0" applyNumberFormat="1" applyFont="1" applyFill="1" applyBorder="1" applyAlignment="1">
      <alignment horizontal="center"/>
    </xf>
    <xf numFmtId="3" fontId="24" fillId="2" borderId="0" xfId="0" applyNumberFormat="1" applyFont="1" applyFill="1"/>
    <xf numFmtId="0" fontId="20" fillId="2" borderId="3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20" fillId="2" borderId="9" xfId="0" applyFont="1" applyFill="1" applyBorder="1"/>
    <xf numFmtId="171" fontId="20" fillId="2" borderId="5" xfId="0" applyNumberFormat="1" applyFont="1" applyFill="1" applyBorder="1"/>
    <xf numFmtId="0" fontId="24" fillId="2" borderId="7" xfId="0" applyFont="1" applyFill="1" applyBorder="1" applyAlignment="1" applyProtection="1">
      <alignment horizontal="center"/>
      <protection locked="0"/>
    </xf>
    <xf numFmtId="0" fontId="16" fillId="2" borderId="7" xfId="0" applyFont="1" applyFill="1" applyBorder="1" applyAlignment="1" applyProtection="1">
      <alignment horizontal="center"/>
      <protection locked="0"/>
    </xf>
    <xf numFmtId="0" fontId="16" fillId="2" borderId="4" xfId="0" applyFont="1" applyFill="1" applyBorder="1" applyAlignment="1" applyProtection="1">
      <alignment horizontal="center"/>
      <protection locked="0"/>
    </xf>
    <xf numFmtId="1" fontId="16" fillId="2" borderId="4" xfId="0" applyNumberFormat="1" applyFon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2" fontId="0" fillId="2" borderId="4" xfId="0" applyNumberFormat="1" applyFill="1" applyBorder="1" applyAlignment="1" applyProtection="1">
      <alignment horizontal="center"/>
      <protection locked="0"/>
    </xf>
    <xf numFmtId="171" fontId="0" fillId="0" borderId="0" xfId="0" applyNumberFormat="1" applyAlignment="1" applyProtection="1">
      <alignment horizontal="center"/>
      <protection locked="0"/>
    </xf>
    <xf numFmtId="171" fontId="0" fillId="0" borderId="3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164" fontId="0" fillId="0" borderId="7" xfId="3" applyFont="1" applyFill="1" applyBorder="1" applyAlignment="1" applyProtection="1">
      <alignment horizontal="center"/>
      <protection locked="0"/>
    </xf>
    <xf numFmtId="164" fontId="0" fillId="0" borderId="8" xfId="3" applyFont="1" applyFill="1" applyBorder="1" applyAlignment="1" applyProtection="1">
      <alignment horizontal="center"/>
      <protection locked="0"/>
    </xf>
    <xf numFmtId="0" fontId="46" fillId="2" borderId="0" xfId="0" applyFont="1" applyFill="1" applyProtection="1">
      <protection locked="0"/>
    </xf>
    <xf numFmtId="0" fontId="46" fillId="2" borderId="0" xfId="0" applyFont="1" applyFill="1" applyAlignment="1" applyProtection="1">
      <alignment horizontal="center"/>
      <protection locked="0"/>
    </xf>
    <xf numFmtId="9" fontId="41" fillId="2" borderId="7" xfId="4" applyFont="1" applyFill="1" applyBorder="1" applyAlignment="1" applyProtection="1">
      <protection locked="0"/>
    </xf>
    <xf numFmtId="9" fontId="41" fillId="2" borderId="8" xfId="4" applyFont="1" applyFill="1" applyBorder="1" applyAlignment="1" applyProtection="1">
      <protection locked="0"/>
    </xf>
    <xf numFmtId="9" fontId="41" fillId="2" borderId="7" xfId="4" applyFont="1" applyFill="1" applyBorder="1" applyAlignment="1" applyProtection="1">
      <alignment horizontal="center"/>
      <protection locked="0"/>
    </xf>
    <xf numFmtId="9" fontId="41" fillId="2" borderId="8" xfId="4" applyFont="1" applyFill="1" applyBorder="1" applyAlignment="1" applyProtection="1">
      <alignment horizontal="center"/>
      <protection locked="0"/>
    </xf>
    <xf numFmtId="173" fontId="41" fillId="2" borderId="0" xfId="3" applyNumberFormat="1" applyFont="1" applyFill="1" applyBorder="1" applyAlignment="1" applyProtection="1">
      <alignment horizontal="center"/>
      <protection locked="0"/>
    </xf>
    <xf numFmtId="173" fontId="41" fillId="2" borderId="3" xfId="3" applyNumberFormat="1" applyFont="1" applyFill="1" applyBorder="1" applyAlignment="1" applyProtection="1">
      <alignment horizontal="center"/>
      <protection locked="0"/>
    </xf>
    <xf numFmtId="1" fontId="41" fillId="2" borderId="0" xfId="3" applyNumberFormat="1" applyFont="1" applyFill="1" applyBorder="1" applyAlignment="1" applyProtection="1">
      <alignment horizontal="center"/>
      <protection locked="0"/>
    </xf>
    <xf numFmtId="1" fontId="41" fillId="2" borderId="3" xfId="3" applyNumberFormat="1" applyFont="1" applyFill="1" applyBorder="1" applyAlignment="1" applyProtection="1">
      <alignment horizontal="center"/>
      <protection locked="0"/>
    </xf>
    <xf numFmtId="2" fontId="41" fillId="2" borderId="0" xfId="4" applyNumberFormat="1" applyFont="1" applyFill="1" applyBorder="1" applyAlignment="1" applyProtection="1">
      <alignment horizontal="center"/>
      <protection locked="0"/>
    </xf>
    <xf numFmtId="2" fontId="41" fillId="2" borderId="3" xfId="4" applyNumberFormat="1" applyFont="1" applyFill="1" applyBorder="1" applyAlignment="1" applyProtection="1">
      <alignment horizontal="center"/>
      <protection locked="0"/>
    </xf>
    <xf numFmtId="2" fontId="41" fillId="2" borderId="0" xfId="3" applyNumberFormat="1" applyFont="1" applyFill="1" applyBorder="1" applyAlignment="1" applyProtection="1">
      <alignment horizontal="center"/>
      <protection locked="0"/>
    </xf>
    <xf numFmtId="2" fontId="41" fillId="2" borderId="3" xfId="3" applyNumberFormat="1" applyFont="1" applyFill="1" applyBorder="1" applyAlignment="1" applyProtection="1">
      <alignment horizontal="center"/>
      <protection locked="0"/>
    </xf>
    <xf numFmtId="176" fontId="41" fillId="2" borderId="0" xfId="4" applyNumberFormat="1" applyFont="1" applyFill="1" applyBorder="1" applyAlignment="1" applyProtection="1">
      <alignment horizontal="center"/>
      <protection locked="0"/>
    </xf>
    <xf numFmtId="170" fontId="41" fillId="2" borderId="0" xfId="3" applyNumberFormat="1" applyFont="1" applyFill="1" applyBorder="1" applyAlignment="1" applyProtection="1">
      <alignment horizontal="center"/>
      <protection locked="0"/>
    </xf>
    <xf numFmtId="170" fontId="41" fillId="2" borderId="3" xfId="0" applyNumberFormat="1" applyFont="1" applyFill="1" applyBorder="1" applyAlignment="1" applyProtection="1">
      <alignment horizontal="center"/>
      <protection locked="0"/>
    </xf>
    <xf numFmtId="2" fontId="41" fillId="2" borderId="4" xfId="4" applyNumberFormat="1" applyFont="1" applyFill="1" applyBorder="1" applyAlignment="1" applyProtection="1">
      <alignment horizontal="center"/>
      <protection locked="0"/>
    </xf>
    <xf numFmtId="2" fontId="41" fillId="2" borderId="5" xfId="4" applyNumberFormat="1" applyFont="1" applyFill="1" applyBorder="1" applyAlignment="1" applyProtection="1">
      <alignment horizontal="center"/>
      <protection locked="0"/>
    </xf>
    <xf numFmtId="1" fontId="40" fillId="2" borderId="0" xfId="0" applyNumberFormat="1" applyFont="1" applyFill="1"/>
    <xf numFmtId="171" fontId="20" fillId="2" borderId="4" xfId="0" applyNumberFormat="1" applyFont="1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0" fontId="3" fillId="2" borderId="0" xfId="0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58" fillId="2" borderId="0" xfId="0" applyFont="1" applyFill="1" applyAlignment="1" applyProtection="1">
      <alignment horizontal="center"/>
      <protection locked="0"/>
    </xf>
    <xf numFmtId="0" fontId="57" fillId="2" borderId="0" xfId="0" applyFont="1" applyFill="1" applyAlignment="1" applyProtection="1">
      <alignment horizontal="center"/>
      <protection locked="0"/>
    </xf>
    <xf numFmtId="0" fontId="3" fillId="2" borderId="4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171" fontId="2" fillId="2" borderId="0" xfId="0" applyNumberFormat="1" applyFont="1" applyFill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59" fillId="2" borderId="0" xfId="0" applyFont="1" applyFill="1" applyProtection="1"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1" fontId="10" fillId="2" borderId="12" xfId="0" applyNumberFormat="1" applyFont="1" applyFill="1" applyBorder="1" applyAlignment="1" applyProtection="1">
      <alignment horizontal="center"/>
      <protection locked="0"/>
    </xf>
    <xf numFmtId="0" fontId="22" fillId="6" borderId="0" xfId="0" applyFont="1" applyFill="1" applyAlignment="1" applyProtection="1">
      <alignment horizontal="center"/>
      <protection locked="0"/>
    </xf>
    <xf numFmtId="1" fontId="42" fillId="2" borderId="0" xfId="0" applyNumberFormat="1" applyFont="1" applyFill="1" applyAlignment="1">
      <alignment horizontal="center"/>
    </xf>
    <xf numFmtId="0" fontId="41" fillId="2" borderId="1" xfId="0" applyFont="1" applyFill="1" applyBorder="1" applyAlignment="1" applyProtection="1">
      <alignment horizontal="center"/>
      <protection locked="0"/>
    </xf>
    <xf numFmtId="1" fontId="41" fillId="2" borderId="11" xfId="0" applyNumberFormat="1" applyFont="1" applyFill="1" applyBorder="1" applyAlignment="1" applyProtection="1">
      <alignment horizontal="center"/>
      <protection locked="0"/>
    </xf>
    <xf numFmtId="0" fontId="64" fillId="2" borderId="0" xfId="0" applyFont="1" applyFill="1" applyAlignment="1">
      <alignment horizontal="center"/>
    </xf>
    <xf numFmtId="2" fontId="74" fillId="2" borderId="6" xfId="0" applyNumberFormat="1" applyFont="1" applyFill="1" applyBorder="1" applyAlignment="1">
      <alignment horizontal="center"/>
    </xf>
    <xf numFmtId="2" fontId="74" fillId="2" borderId="7" xfId="0" applyNumberFormat="1" applyFont="1" applyFill="1" applyBorder="1" applyAlignment="1">
      <alignment horizontal="center"/>
    </xf>
    <xf numFmtId="2" fontId="74" fillId="2" borderId="8" xfId="0" applyNumberFormat="1" applyFont="1" applyFill="1" applyBorder="1" applyAlignment="1">
      <alignment horizontal="center"/>
    </xf>
    <xf numFmtId="2" fontId="74" fillId="2" borderId="2" xfId="0" applyNumberFormat="1" applyFont="1" applyFill="1" applyBorder="1" applyAlignment="1">
      <alignment horizontal="center"/>
    </xf>
    <xf numFmtId="2" fontId="74" fillId="2" borderId="0" xfId="0" applyNumberFormat="1" applyFont="1" applyFill="1" applyAlignment="1">
      <alignment horizontal="center"/>
    </xf>
    <xf numFmtId="2" fontId="74" fillId="2" borderId="3" xfId="0" applyNumberFormat="1" applyFont="1" applyFill="1" applyBorder="1" applyAlignment="1">
      <alignment horizontal="center"/>
    </xf>
    <xf numFmtId="2" fontId="74" fillId="2" borderId="9" xfId="0" applyNumberFormat="1" applyFont="1" applyFill="1" applyBorder="1" applyAlignment="1">
      <alignment horizontal="center"/>
    </xf>
    <xf numFmtId="2" fontId="74" fillId="2" borderId="4" xfId="0" applyNumberFormat="1" applyFont="1" applyFill="1" applyBorder="1" applyAlignment="1">
      <alignment horizontal="center"/>
    </xf>
    <xf numFmtId="2" fontId="74" fillId="2" borderId="5" xfId="0" applyNumberFormat="1" applyFont="1" applyFill="1" applyBorder="1" applyAlignment="1">
      <alignment horizontal="center"/>
    </xf>
    <xf numFmtId="166" fontId="17" fillId="2" borderId="7" xfId="0" applyNumberFormat="1" applyFont="1" applyFill="1" applyBorder="1" applyAlignment="1">
      <alignment horizontal="center"/>
    </xf>
    <xf numFmtId="9" fontId="17" fillId="2" borderId="8" xfId="4" applyFont="1" applyFill="1" applyBorder="1" applyAlignment="1">
      <alignment horizontal="center"/>
    </xf>
    <xf numFmtId="2" fontId="17" fillId="2" borderId="4" xfId="0" applyNumberFormat="1" applyFont="1" applyFill="1" applyBorder="1" applyAlignment="1">
      <alignment horizontal="center"/>
    </xf>
    <xf numFmtId="1" fontId="17" fillId="2" borderId="0" xfId="0" applyNumberFormat="1" applyFont="1" applyFill="1" applyAlignment="1">
      <alignment horizontal="center"/>
    </xf>
    <xf numFmtId="9" fontId="17" fillId="2" borderId="3" xfId="4" applyFont="1" applyFill="1" applyBorder="1" applyAlignment="1">
      <alignment horizontal="center"/>
    </xf>
    <xf numFmtId="166" fontId="17" fillId="2" borderId="4" xfId="0" applyNumberFormat="1" applyFont="1" applyFill="1" applyBorder="1" applyAlignment="1">
      <alignment horizontal="center"/>
    </xf>
    <xf numFmtId="9" fontId="17" fillId="2" borderId="5" xfId="4" applyFont="1" applyFill="1" applyBorder="1" applyAlignment="1">
      <alignment horizontal="center"/>
    </xf>
  </cellXfs>
  <cellStyles count="6">
    <cellStyle name="60% - Énfasis6" xfId="1" builtinId="52"/>
    <cellStyle name="Hipervínculo" xfId="2" builtinId="8"/>
    <cellStyle name="Millares" xfId="5" builtinId="3"/>
    <cellStyle name="Moneda" xfId="3" builtinId="4"/>
    <cellStyle name="Normal" xfId="0" builtinId="0"/>
    <cellStyle name="Porcentaje" xfId="4" builtinId="5"/>
  </cellStyles>
  <dxfs count="376">
    <dxf>
      <border outline="0">
        <top style="thin">
          <color theme="4" tint="0.39997558519241921"/>
        </top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FF9900"/>
        </patternFill>
      </fill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99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/>
        <vertic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_-* #,##0.00000000_-;\-* #,##0.000000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_-* #,##0.00000000_-;\-* #,##0.000000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80" formatCode="_-* #,##0.00000000_-;\-* #,##0.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9" formatCode="0.00000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left style="medium">
          <color indexed="64"/>
        </left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5" formatCode="0.0000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protection locked="0" hidden="0"/>
    </dxf>
    <dxf>
      <font>
        <b/>
      </font>
      <fill>
        <patternFill patternType="solid">
          <fgColor indexed="6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</font>
      <fill>
        <patternFill patternType="solid">
          <fgColor indexed="64"/>
          <bgColor theme="8" tint="-0.249977111117893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ción de datos 1" pivot="0" table="0" count="1" xr9:uid="{7FFBC771-6925-493F-BDE4-810D955F5146}">
      <tableStyleElement type="wholeTable" dxfId="375"/>
    </tableStyle>
    <tableStyle name="SlicerStyleLight1 2" pivot="0" table="0" count="10" xr9:uid="{E0CE7BC5-AEA2-47DC-9D82-3486D7232483}">
      <tableStyleElement type="wholeTable" dxfId="374"/>
      <tableStyleElement type="headerRow" dxfId="373"/>
    </tableStyle>
  </tableStyles>
  <colors>
    <mruColors>
      <color rgb="FFFFFF66"/>
      <color rgb="FF000000"/>
      <color rgb="FFFFFFCC"/>
      <color rgb="FFCCFFCC"/>
      <color rgb="FFFF9900"/>
      <color rgb="FFCCFFFF"/>
      <color rgb="FFCCCCFF"/>
      <color rgb="FF0D0D0D"/>
      <color rgb="FFCC3300"/>
      <color rgb="FF660033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tilo de segmentación de datos 1">
        <x14:slicerStyle name="Estilo de segmentación de datos 1"/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Costos Total de la faena,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'm4 Comparac sistemas'!$C$48</c:f>
              <c:strCache>
                <c:ptCount val="1"/>
                <c:pt idx="0">
                  <c:v>Escenario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'm4 Comparac sistemas'!$D$47:$G$47</c:f>
              <c:strCache>
                <c:ptCount val="4"/>
                <c:pt idx="0">
                  <c:v>CFT</c:v>
                </c:pt>
                <c:pt idx="1">
                  <c:v>CVT</c:v>
                </c:pt>
                <c:pt idx="2">
                  <c:v>CMOT</c:v>
                </c:pt>
                <c:pt idx="3">
                  <c:v>C Indirectos</c:v>
                </c:pt>
              </c:strCache>
            </c:strRef>
          </c:cat>
          <c:val>
            <c:numRef>
              <c:f>'m4 Comparac sistemas'!$D$48:$G$48</c:f>
              <c:numCache>
                <c:formatCode>"$"#,##0</c:formatCode>
                <c:ptCount val="4"/>
                <c:pt idx="0">
                  <c:v>75771800.857626572</c:v>
                </c:pt>
                <c:pt idx="1">
                  <c:v>52859342.685440339</c:v>
                </c:pt>
                <c:pt idx="2">
                  <c:v>18646159.033563145</c:v>
                </c:pt>
                <c:pt idx="3">
                  <c:v>10159218.187132966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4-4489-8DD7-099922966033}"/>
            </c:ext>
          </c:extLst>
        </c:ser>
        <c:ser>
          <c:idx val="1"/>
          <c:order val="1"/>
          <c:tx>
            <c:strRef>
              <c:f>'m4 Comparac sistemas'!$C$49</c:f>
              <c:strCache>
                <c:ptCount val="1"/>
                <c:pt idx="0">
                  <c:v>Escenario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'm4 Comparac sistemas'!$D$47:$G$47</c:f>
              <c:strCache>
                <c:ptCount val="4"/>
                <c:pt idx="0">
                  <c:v>CFT</c:v>
                </c:pt>
                <c:pt idx="1">
                  <c:v>CVT</c:v>
                </c:pt>
                <c:pt idx="2">
                  <c:v>CMOT</c:v>
                </c:pt>
                <c:pt idx="3">
                  <c:v>C Indirectos</c:v>
                </c:pt>
              </c:strCache>
            </c:strRef>
          </c:cat>
          <c:val>
            <c:numRef>
              <c:f>'m4 Comparac sistemas'!$D$49:$G$49</c:f>
              <c:numCache>
                <c:formatCode>"$"#,##0</c:formatCode>
                <c:ptCount val="4"/>
                <c:pt idx="0">
                  <c:v>95283461.384683982</c:v>
                </c:pt>
                <c:pt idx="1">
                  <c:v>52283329.743977115</c:v>
                </c:pt>
                <c:pt idx="2">
                  <c:v>20080061.926298421</c:v>
                </c:pt>
                <c:pt idx="3">
                  <c:v>9146618.5133167487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489-8DD7-09992296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9167920"/>
        <c:axId val="839144624"/>
      </c:barChart>
      <c:catAx>
        <c:axId val="83916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9144624"/>
        <c:crosses val="autoZero"/>
        <c:auto val="1"/>
        <c:lblAlgn val="ctr"/>
        <c:lblOffset val="100"/>
        <c:noMultiLvlLbl val="0"/>
      </c:catAx>
      <c:valAx>
        <c:axId val="8391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916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2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5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4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6.xml.rels><?xml version="1.0" encoding="UTF-8" standalone="yes"?>
<Relationships xmlns="http://schemas.openxmlformats.org/package/2006/relationships"><Relationship Id="rId8" Type="http://schemas.openxmlformats.org/officeDocument/2006/relationships/hyperlink" Target="#'m3 Mader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8.xml.rels><?xml version="1.0" encoding="UTF-8" standalone="yes"?>
<Relationships xmlns="http://schemas.openxmlformats.org/package/2006/relationships"><Relationship Id="rId8" Type="http://schemas.openxmlformats.org/officeDocument/2006/relationships/hyperlink" Target="#'m3 Procesad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10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12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3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4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5.xml.rels><?xml version="1.0" encoding="UTF-8" standalone="yes"?>
<Relationships xmlns="http://schemas.openxmlformats.org/package/2006/relationships"><Relationship Id="rId8" Type="http://schemas.openxmlformats.org/officeDocument/2006/relationships/hyperlink" Target="#'m3 Mader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Mader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6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7.xml.rels><?xml version="1.0" encoding="UTF-8" standalone="yes"?>
<Relationships xmlns="http://schemas.openxmlformats.org/package/2006/relationships"><Relationship Id="rId8" Type="http://schemas.openxmlformats.org/officeDocument/2006/relationships/hyperlink" Target="#'m3 Procesad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Procesad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8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9.xml.rels><?xml version="1.0" encoding="UTF-8" standalone="yes"?>
<Relationships xmlns="http://schemas.openxmlformats.org/package/2006/relationships"><Relationship Id="rId8" Type="http://schemas.openxmlformats.org/officeDocument/2006/relationships/hyperlink" Target="#'m4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Cargu&#237;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0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1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2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Transporte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3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4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Transporte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'm4 An&#225;lisis de sistema'!A1"/><Relationship Id="rId1" Type="http://schemas.openxmlformats.org/officeDocument/2006/relationships/image" Target="../media/image15.PNG"/><Relationship Id="rId4" Type="http://schemas.openxmlformats.org/officeDocument/2006/relationships/hyperlink" Target="#'m4 Comparac sistemas'!A1"/></Relationships>
</file>

<file path=xl/diagrams/_rels/data26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7.xml.rels><?xml version="1.0" encoding="UTF-8" standalone="yes"?>
<Relationships xmlns="http://schemas.openxmlformats.org/package/2006/relationships"><Relationship Id="rId3" Type="http://schemas.openxmlformats.org/officeDocument/2006/relationships/hyperlink" Target="#'m4 An&#225;lisis de sistema'!A1"/><Relationship Id="rId2" Type="http://schemas.microsoft.com/office/2007/relationships/hdphoto" Target="../media/hdphoto3.wdp"/><Relationship Id="rId1" Type="http://schemas.openxmlformats.org/officeDocument/2006/relationships/image" Target="../media/image17.png"/><Relationship Id="rId5" Type="http://schemas.openxmlformats.org/officeDocument/2006/relationships/hyperlink" Target="#'m4 Comparac sistemas'!A1"/><Relationship Id="rId4" Type="http://schemas.openxmlformats.org/officeDocument/2006/relationships/image" Target="../media/image16.png"/></Relationships>
</file>

<file path=xl/diagrams/_rels/data28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9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Referencias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0.xml.rels><?xml version="1.0" encoding="UTF-8" standalone="yes"?>
<Relationships xmlns="http://schemas.openxmlformats.org/package/2006/relationships"><Relationship Id="rId3" Type="http://schemas.openxmlformats.org/officeDocument/2006/relationships/hyperlink" Target="#'m1 Descrip_rodal'!A1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5" Type="http://schemas.openxmlformats.org/officeDocument/2006/relationships/hyperlink" Target="#'m1 Fac_oper'!A1"/><Relationship Id="rId4" Type="http://schemas.openxmlformats.org/officeDocument/2006/relationships/image" Target="../media/image22.png"/></Relationships>
</file>

<file path=xl/diagrams/_rels/data31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2.xml.rels><?xml version="1.0" encoding="UTF-8" standalone="yes"?>
<Relationships xmlns="http://schemas.openxmlformats.org/package/2006/relationships"><Relationship Id="rId3" Type="http://schemas.openxmlformats.org/officeDocument/2006/relationships/hyperlink" Target="#'m1 Descrip_rodal'!A1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5" Type="http://schemas.openxmlformats.org/officeDocument/2006/relationships/hyperlink" Target="#'m1 Fac_oper'!A1"/><Relationship Id="rId4" Type="http://schemas.openxmlformats.org/officeDocument/2006/relationships/image" Target="../media/image22.png"/></Relationships>
</file>

<file path=xl/diagrams/_rels/data33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iagram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07/relationships/hdphoto" Target="../media/hdphoto3.wdp"/><Relationship Id="rId1" Type="http://schemas.openxmlformats.org/officeDocument/2006/relationships/image" Target="../media/image17.png"/></Relationships>
</file>

<file path=xl/diagram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iagram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4.svg"/><Relationship Id="rId1" Type="http://schemas.openxmlformats.org/officeDocument/2006/relationships/image" Target="../media/image23.png"/></Relationships>
</file>

<file path=xl/diagram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 tooltip="Estudio de Tiempo Y rendimiento del subsistema VOLTEO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prstGeom prst="rect">
          <a:avLst/>
        </a:prstGeom>
        <a:blipFill>
          <a:blip xmlns:r="http://schemas.openxmlformats.org/officeDocument/2006/relationships" r:embed="rId8">
            <a:alphaModFix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3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4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grayscl/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5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16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17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8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9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0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2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3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>
          <a:blip xmlns:r="http://schemas.openxmlformats.org/officeDocument/2006/relationships" r:embed="rId11"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5000" b="-25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4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5.xml><?xml version="1.0" encoding="utf-8"?>
<dgm:dataModel xmlns:dgm="http://schemas.openxmlformats.org/drawingml/2006/diagram" xmlns:a="http://schemas.openxmlformats.org/drawingml/2006/main">
  <dgm:ptLst>
    <dgm:pt modelId="{CF7FDFAF-953E-4CEA-B12E-8BDC6244A92C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86D27384-DA13-4D0C-9742-F21EB7B3ED5E}">
      <dgm:prSet phldrT="[Texto]"/>
      <dgm:spPr/>
      <dgm:t>
        <a:bodyPr/>
        <a:lstStyle/>
        <a:p>
          <a:r>
            <a:rPr lang="es-419" b="1"/>
            <a:t>Configuración</a:t>
          </a:r>
          <a:br>
            <a:rPr lang="es-419" b="1"/>
          </a:br>
          <a:r>
            <a:rPr lang="es-419" b="1"/>
            <a:t>Sistema</a:t>
          </a:r>
        </a:p>
      </dgm:t>
    </dgm:pt>
    <dgm:pt modelId="{BA7AE64B-A038-4502-8270-C976EDBD12C3}" type="parTrans" cxnId="{35EFF850-61A7-45F7-8757-44E5F1629CBF}">
      <dgm:prSet/>
      <dgm:spPr/>
      <dgm:t>
        <a:bodyPr/>
        <a:lstStyle/>
        <a:p>
          <a:endParaRPr lang="es-419"/>
        </a:p>
      </dgm:t>
    </dgm:pt>
    <dgm:pt modelId="{0A718E10-AD61-4579-86CC-376F867D9B73}" type="sibTrans" cxnId="{35EFF850-61A7-45F7-8757-44E5F1629CBF}">
      <dgm:prSet/>
      <dgm:spPr/>
      <dgm:t>
        <a:bodyPr/>
        <a:lstStyle/>
        <a:p>
          <a:endParaRPr lang="es-419"/>
        </a:p>
      </dgm:t>
    </dgm:pt>
    <dgm:pt modelId="{3F071D65-0AF0-472F-8B7F-D7D939641BAD}">
      <dgm:prSet/>
      <dgm:spPr/>
      <dgm:t>
        <a:bodyPr/>
        <a:lstStyle/>
        <a:p>
          <a:r>
            <a:rPr lang="es-CL"/>
            <a:t>Comparación sistemas</a:t>
          </a:r>
        </a:p>
      </dgm:t>
    </dgm:pt>
    <dgm:pt modelId="{CEBD8782-7DFC-4449-8413-8D83D0DE0064}" type="parTrans" cxnId="{3ED33B63-E8E7-45FB-8BA6-3B78FF4237D5}">
      <dgm:prSet/>
      <dgm:spPr/>
      <dgm:t>
        <a:bodyPr/>
        <a:lstStyle/>
        <a:p>
          <a:endParaRPr lang="es-CL"/>
        </a:p>
      </dgm:t>
    </dgm:pt>
    <dgm:pt modelId="{08283C8F-00D4-4EAB-B6E6-30A51EDE8FB3}" type="sibTrans" cxnId="{3ED33B63-E8E7-45FB-8BA6-3B78FF4237D5}">
      <dgm:prSet/>
      <dgm:spPr/>
      <dgm:t>
        <a:bodyPr/>
        <a:lstStyle/>
        <a:p>
          <a:endParaRPr lang="es-CL"/>
        </a:p>
      </dgm:t>
    </dgm:pt>
    <dgm:pt modelId="{1A694086-5F04-49F0-AB93-D4A1C68B161F}" type="pres">
      <dgm:prSet presAssocID="{CF7FDFAF-953E-4CEA-B12E-8BDC6244A92C}" presName="Name0" presStyleCnt="0">
        <dgm:presLayoutVars>
          <dgm:dir/>
          <dgm:resizeHandles val="exact"/>
        </dgm:presLayoutVars>
      </dgm:prSet>
      <dgm:spPr/>
    </dgm:pt>
    <dgm:pt modelId="{F1B10085-010B-4647-BE7C-7C0EB8E71579}" type="pres">
      <dgm:prSet presAssocID="{86D27384-DA13-4D0C-9742-F21EB7B3ED5E}" presName="compNode" presStyleCnt="0"/>
      <dgm:spPr/>
    </dgm:pt>
    <dgm:pt modelId="{167BA503-BC32-471B-A4B5-6C4C4EF1C443}" type="pres">
      <dgm:prSet presAssocID="{86D27384-DA13-4D0C-9742-F21EB7B3ED5E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>
          <a:noFill/>
        </a:ln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E375C8EB-2047-4AA6-8AFD-4B1408EF7B7F}" type="pres">
      <dgm:prSet presAssocID="{86D27384-DA13-4D0C-9742-F21EB7B3ED5E}" presName="textRect" presStyleLbl="revTx" presStyleIdx="0" presStyleCnt="2">
        <dgm:presLayoutVars>
          <dgm:bulletEnabled val="1"/>
        </dgm:presLayoutVars>
      </dgm:prSet>
      <dgm:spPr/>
    </dgm:pt>
    <dgm:pt modelId="{905403AE-BA6E-416F-8340-01A73BDEA0AE}" type="pres">
      <dgm:prSet presAssocID="{0A718E10-AD61-4579-86CC-376F867D9B73}" presName="sibTrans" presStyleLbl="sibTrans2D1" presStyleIdx="0" presStyleCnt="0"/>
      <dgm:spPr/>
    </dgm:pt>
    <dgm:pt modelId="{98C97246-45EF-49CA-874B-77028BD2E185}" type="pres">
      <dgm:prSet presAssocID="{3F071D65-0AF0-472F-8B7F-D7D939641BAD}" presName="compNode" presStyleCnt="0"/>
      <dgm:spPr/>
    </dgm:pt>
    <dgm:pt modelId="{D91744EB-7F5A-4A54-AD45-EB9D77334FF1}" type="pres">
      <dgm:prSet presAssocID="{3F071D65-0AF0-472F-8B7F-D7D939641BAD}" presName="pictRect" presStyleLbl="node1" presStyleIdx="1" presStyleCnt="2"/>
      <dgm:spPr>
        <a:blipFill dpi="0" rotWithShape="1">
          <a:blip xmlns:r="http://schemas.openxmlformats.org/officeDocument/2006/relationships" r:embed="rId3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633EE5AB-1CF8-4C43-83BC-E7A06CC64989}" type="pres">
      <dgm:prSet presAssocID="{3F071D65-0AF0-472F-8B7F-D7D939641BAD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49DED02B-F5A4-464A-B9E7-797CED641894}" type="presOf" srcId="{0A718E10-AD61-4579-86CC-376F867D9B73}" destId="{905403AE-BA6E-416F-8340-01A73BDEA0AE}" srcOrd="0" destOrd="0" presId="urn:microsoft.com/office/officeart/2005/8/layout/pList1"/>
    <dgm:cxn modelId="{3ED33B63-E8E7-45FB-8BA6-3B78FF4237D5}" srcId="{CF7FDFAF-953E-4CEA-B12E-8BDC6244A92C}" destId="{3F071D65-0AF0-472F-8B7F-D7D939641BAD}" srcOrd="1" destOrd="0" parTransId="{CEBD8782-7DFC-4449-8413-8D83D0DE0064}" sibTransId="{08283C8F-00D4-4EAB-B6E6-30A51EDE8FB3}"/>
    <dgm:cxn modelId="{35EFF850-61A7-45F7-8757-44E5F1629CBF}" srcId="{CF7FDFAF-953E-4CEA-B12E-8BDC6244A92C}" destId="{86D27384-DA13-4D0C-9742-F21EB7B3ED5E}" srcOrd="0" destOrd="0" parTransId="{BA7AE64B-A038-4502-8270-C976EDBD12C3}" sibTransId="{0A718E10-AD61-4579-86CC-376F867D9B73}"/>
    <dgm:cxn modelId="{38A4977C-944C-4E7A-848C-68532C38AE17}" type="presOf" srcId="{86D27384-DA13-4D0C-9742-F21EB7B3ED5E}" destId="{E375C8EB-2047-4AA6-8AFD-4B1408EF7B7F}" srcOrd="0" destOrd="0" presId="urn:microsoft.com/office/officeart/2005/8/layout/pList1"/>
    <dgm:cxn modelId="{DEBFEE82-72B9-450E-9785-4CCB23688B64}" type="presOf" srcId="{3F071D65-0AF0-472F-8B7F-D7D939641BAD}" destId="{633EE5AB-1CF8-4C43-83BC-E7A06CC64989}" srcOrd="0" destOrd="0" presId="urn:microsoft.com/office/officeart/2005/8/layout/pList1"/>
    <dgm:cxn modelId="{48078DE1-F084-49EA-8AC9-52FC69CC706E}" type="presOf" srcId="{CF7FDFAF-953E-4CEA-B12E-8BDC6244A92C}" destId="{1A694086-5F04-49F0-AB93-D4A1C68B161F}" srcOrd="0" destOrd="0" presId="urn:microsoft.com/office/officeart/2005/8/layout/pList1"/>
    <dgm:cxn modelId="{DB6DBB51-F237-4DD5-84D2-B62E56F9A22D}" type="presParOf" srcId="{1A694086-5F04-49F0-AB93-D4A1C68B161F}" destId="{F1B10085-010B-4647-BE7C-7C0EB8E71579}" srcOrd="0" destOrd="0" presId="urn:microsoft.com/office/officeart/2005/8/layout/pList1"/>
    <dgm:cxn modelId="{E513DD2C-255F-4952-9792-DA3973CE036C}" type="presParOf" srcId="{F1B10085-010B-4647-BE7C-7C0EB8E71579}" destId="{167BA503-BC32-471B-A4B5-6C4C4EF1C443}" srcOrd="0" destOrd="0" presId="urn:microsoft.com/office/officeart/2005/8/layout/pList1"/>
    <dgm:cxn modelId="{DF0EE204-A4C5-4062-B537-99B92F9F96CD}" type="presParOf" srcId="{F1B10085-010B-4647-BE7C-7C0EB8E71579}" destId="{E375C8EB-2047-4AA6-8AFD-4B1408EF7B7F}" srcOrd="1" destOrd="0" presId="urn:microsoft.com/office/officeart/2005/8/layout/pList1"/>
    <dgm:cxn modelId="{D8DA4E8F-E1B9-48F0-A76C-782D2042CC9D}" type="presParOf" srcId="{1A694086-5F04-49F0-AB93-D4A1C68B161F}" destId="{905403AE-BA6E-416F-8340-01A73BDEA0AE}" srcOrd="1" destOrd="0" presId="urn:microsoft.com/office/officeart/2005/8/layout/pList1"/>
    <dgm:cxn modelId="{D12D37FD-B49B-4E80-9CFA-E3D53985353F}" type="presParOf" srcId="{1A694086-5F04-49F0-AB93-D4A1C68B161F}" destId="{98C97246-45EF-49CA-874B-77028BD2E185}" srcOrd="2" destOrd="0" presId="urn:microsoft.com/office/officeart/2005/8/layout/pList1"/>
    <dgm:cxn modelId="{59EBD2C3-EE8F-44D3-86D8-3A69337BE768}" type="presParOf" srcId="{98C97246-45EF-49CA-874B-77028BD2E185}" destId="{D91744EB-7F5A-4A54-AD45-EB9D77334FF1}" srcOrd="0" destOrd="0" presId="urn:microsoft.com/office/officeart/2005/8/layout/pList1"/>
    <dgm:cxn modelId="{EC5A2F76-8577-48AA-96F9-37213D59F6F4}" type="presParOf" srcId="{98C97246-45EF-49CA-874B-77028BD2E185}" destId="{633EE5AB-1CF8-4C43-83BC-E7A06CC64989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6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endParaRPr lang="es-419" b="0"/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221515" custScaleY="205160"/>
      <dgm:spPr>
        <a:blipFill dpi="0" rotWithShape="1">
          <a:blip xmlns:r="http://schemas.openxmlformats.org/officeDocument/2006/relationships" r:embed="rId9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7.xml><?xml version="1.0" encoding="utf-8"?>
<dgm:dataModel xmlns:dgm="http://schemas.openxmlformats.org/drawingml/2006/diagram" xmlns:a="http://schemas.openxmlformats.org/drawingml/2006/main">
  <dgm:ptLst>
    <dgm:pt modelId="{CF7FDFAF-953E-4CEA-B12E-8BDC6244A92C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86D27384-DA13-4D0C-9742-F21EB7B3ED5E}">
      <dgm:prSet phldrT="[Texto]"/>
      <dgm:spPr/>
      <dgm:t>
        <a:bodyPr/>
        <a:lstStyle/>
        <a:p>
          <a:r>
            <a:rPr lang="es-419" b="1"/>
            <a:t>Configuración</a:t>
          </a:r>
          <a:br>
            <a:rPr lang="es-419" b="1"/>
          </a:br>
          <a:r>
            <a:rPr lang="es-419" b="1"/>
            <a:t>Sistema</a:t>
          </a:r>
        </a:p>
      </dgm:t>
    </dgm:pt>
    <dgm:pt modelId="{BA7AE64B-A038-4502-8270-C976EDBD12C3}" type="parTrans" cxnId="{35EFF850-61A7-45F7-8757-44E5F1629CBF}">
      <dgm:prSet/>
      <dgm:spPr/>
      <dgm:t>
        <a:bodyPr/>
        <a:lstStyle/>
        <a:p>
          <a:endParaRPr lang="es-419"/>
        </a:p>
      </dgm:t>
    </dgm:pt>
    <dgm:pt modelId="{0A718E10-AD61-4579-86CC-376F867D9B73}" type="sibTrans" cxnId="{35EFF850-61A7-45F7-8757-44E5F1629CBF}">
      <dgm:prSet/>
      <dgm:spPr/>
      <dgm:t>
        <a:bodyPr/>
        <a:lstStyle/>
        <a:p>
          <a:endParaRPr lang="es-419"/>
        </a:p>
      </dgm:t>
    </dgm:pt>
    <dgm:pt modelId="{3F071D65-0AF0-472F-8B7F-D7D939641BAD}">
      <dgm:prSet/>
      <dgm:spPr/>
      <dgm:t>
        <a:bodyPr/>
        <a:lstStyle/>
        <a:p>
          <a:r>
            <a:rPr lang="es-CL"/>
            <a:t>Comparación</a:t>
          </a:r>
          <a:br>
            <a:rPr lang="es-CL"/>
          </a:br>
          <a:r>
            <a:rPr lang="es-CL"/>
            <a:t>Sistemas</a:t>
          </a:r>
        </a:p>
      </dgm:t>
    </dgm:pt>
    <dgm:pt modelId="{CEBD8782-7DFC-4449-8413-8D83D0DE0064}" type="parTrans" cxnId="{3ED33B63-E8E7-45FB-8BA6-3B78FF4237D5}">
      <dgm:prSet/>
      <dgm:spPr/>
      <dgm:t>
        <a:bodyPr/>
        <a:lstStyle/>
        <a:p>
          <a:endParaRPr lang="es-CL"/>
        </a:p>
      </dgm:t>
    </dgm:pt>
    <dgm:pt modelId="{08283C8F-00D4-4EAB-B6E6-30A51EDE8FB3}" type="sibTrans" cxnId="{3ED33B63-E8E7-45FB-8BA6-3B78FF4237D5}">
      <dgm:prSet/>
      <dgm:spPr/>
      <dgm:t>
        <a:bodyPr/>
        <a:lstStyle/>
        <a:p>
          <a:endParaRPr lang="es-CL"/>
        </a:p>
      </dgm:t>
    </dgm:pt>
    <dgm:pt modelId="{1A694086-5F04-49F0-AB93-D4A1C68B161F}" type="pres">
      <dgm:prSet presAssocID="{CF7FDFAF-953E-4CEA-B12E-8BDC6244A92C}" presName="Name0" presStyleCnt="0">
        <dgm:presLayoutVars>
          <dgm:dir/>
          <dgm:resizeHandles val="exact"/>
        </dgm:presLayoutVars>
      </dgm:prSet>
      <dgm:spPr/>
    </dgm:pt>
    <dgm:pt modelId="{F1B10085-010B-4647-BE7C-7C0EB8E71579}" type="pres">
      <dgm:prSet presAssocID="{86D27384-DA13-4D0C-9742-F21EB7B3ED5E}" presName="compNode" presStyleCnt="0"/>
      <dgm:spPr/>
    </dgm:pt>
    <dgm:pt modelId="{167BA503-BC32-471B-A4B5-6C4C4EF1C443}" type="pres">
      <dgm:prSet presAssocID="{86D27384-DA13-4D0C-9742-F21EB7B3ED5E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>
          <a:noFill/>
        </a:ln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E375C8EB-2047-4AA6-8AFD-4B1408EF7B7F}" type="pres">
      <dgm:prSet presAssocID="{86D27384-DA13-4D0C-9742-F21EB7B3ED5E}" presName="textRect" presStyleLbl="revTx" presStyleIdx="0" presStyleCnt="2">
        <dgm:presLayoutVars>
          <dgm:bulletEnabled val="1"/>
        </dgm:presLayoutVars>
      </dgm:prSet>
      <dgm:spPr/>
    </dgm:pt>
    <dgm:pt modelId="{905403AE-BA6E-416F-8340-01A73BDEA0AE}" type="pres">
      <dgm:prSet presAssocID="{0A718E10-AD61-4579-86CC-376F867D9B73}" presName="sibTrans" presStyleLbl="sibTrans2D1" presStyleIdx="0" presStyleCnt="0"/>
      <dgm:spPr/>
    </dgm:pt>
    <dgm:pt modelId="{98C97246-45EF-49CA-874B-77028BD2E185}" type="pres">
      <dgm:prSet presAssocID="{3F071D65-0AF0-472F-8B7F-D7D939641BAD}" presName="compNode" presStyleCnt="0"/>
      <dgm:spPr/>
    </dgm:pt>
    <dgm:pt modelId="{D91744EB-7F5A-4A54-AD45-EB9D77334FF1}" type="pres">
      <dgm:prSet presAssocID="{3F071D65-0AF0-472F-8B7F-D7D939641BAD}" presName="pictRect" presStyleLbl="node1" presStyleIdx="1" presStyleCnt="2"/>
      <dgm:spPr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33EE5AB-1CF8-4C43-83BC-E7A06CC64989}" type="pres">
      <dgm:prSet presAssocID="{3F071D65-0AF0-472F-8B7F-D7D939641BAD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49DED02B-F5A4-464A-B9E7-797CED641894}" type="presOf" srcId="{0A718E10-AD61-4579-86CC-376F867D9B73}" destId="{905403AE-BA6E-416F-8340-01A73BDEA0AE}" srcOrd="0" destOrd="0" presId="urn:microsoft.com/office/officeart/2005/8/layout/pList1"/>
    <dgm:cxn modelId="{3ED33B63-E8E7-45FB-8BA6-3B78FF4237D5}" srcId="{CF7FDFAF-953E-4CEA-B12E-8BDC6244A92C}" destId="{3F071D65-0AF0-472F-8B7F-D7D939641BAD}" srcOrd="1" destOrd="0" parTransId="{CEBD8782-7DFC-4449-8413-8D83D0DE0064}" sibTransId="{08283C8F-00D4-4EAB-B6E6-30A51EDE8FB3}"/>
    <dgm:cxn modelId="{35EFF850-61A7-45F7-8757-44E5F1629CBF}" srcId="{CF7FDFAF-953E-4CEA-B12E-8BDC6244A92C}" destId="{86D27384-DA13-4D0C-9742-F21EB7B3ED5E}" srcOrd="0" destOrd="0" parTransId="{BA7AE64B-A038-4502-8270-C976EDBD12C3}" sibTransId="{0A718E10-AD61-4579-86CC-376F867D9B73}"/>
    <dgm:cxn modelId="{38A4977C-944C-4E7A-848C-68532C38AE17}" type="presOf" srcId="{86D27384-DA13-4D0C-9742-F21EB7B3ED5E}" destId="{E375C8EB-2047-4AA6-8AFD-4B1408EF7B7F}" srcOrd="0" destOrd="0" presId="urn:microsoft.com/office/officeart/2005/8/layout/pList1"/>
    <dgm:cxn modelId="{DEBFEE82-72B9-450E-9785-4CCB23688B64}" type="presOf" srcId="{3F071D65-0AF0-472F-8B7F-D7D939641BAD}" destId="{633EE5AB-1CF8-4C43-83BC-E7A06CC64989}" srcOrd="0" destOrd="0" presId="urn:microsoft.com/office/officeart/2005/8/layout/pList1"/>
    <dgm:cxn modelId="{48078DE1-F084-49EA-8AC9-52FC69CC706E}" type="presOf" srcId="{CF7FDFAF-953E-4CEA-B12E-8BDC6244A92C}" destId="{1A694086-5F04-49F0-AB93-D4A1C68B161F}" srcOrd="0" destOrd="0" presId="urn:microsoft.com/office/officeart/2005/8/layout/pList1"/>
    <dgm:cxn modelId="{DB6DBB51-F237-4DD5-84D2-B62E56F9A22D}" type="presParOf" srcId="{1A694086-5F04-49F0-AB93-D4A1C68B161F}" destId="{F1B10085-010B-4647-BE7C-7C0EB8E71579}" srcOrd="0" destOrd="0" presId="urn:microsoft.com/office/officeart/2005/8/layout/pList1"/>
    <dgm:cxn modelId="{E513DD2C-255F-4952-9792-DA3973CE036C}" type="presParOf" srcId="{F1B10085-010B-4647-BE7C-7C0EB8E71579}" destId="{167BA503-BC32-471B-A4B5-6C4C4EF1C443}" srcOrd="0" destOrd="0" presId="urn:microsoft.com/office/officeart/2005/8/layout/pList1"/>
    <dgm:cxn modelId="{DF0EE204-A4C5-4062-B537-99B92F9F96CD}" type="presParOf" srcId="{F1B10085-010B-4647-BE7C-7C0EB8E71579}" destId="{E375C8EB-2047-4AA6-8AFD-4B1408EF7B7F}" srcOrd="1" destOrd="0" presId="urn:microsoft.com/office/officeart/2005/8/layout/pList1"/>
    <dgm:cxn modelId="{D8DA4E8F-E1B9-48F0-A76C-782D2042CC9D}" type="presParOf" srcId="{1A694086-5F04-49F0-AB93-D4A1C68B161F}" destId="{905403AE-BA6E-416F-8340-01A73BDEA0AE}" srcOrd="1" destOrd="0" presId="urn:microsoft.com/office/officeart/2005/8/layout/pList1"/>
    <dgm:cxn modelId="{D12D37FD-B49B-4E80-9CFA-E3D53985353F}" type="presParOf" srcId="{1A694086-5F04-49F0-AB93-D4A1C68B161F}" destId="{98C97246-45EF-49CA-874B-77028BD2E185}" srcOrd="2" destOrd="0" presId="urn:microsoft.com/office/officeart/2005/8/layout/pList1"/>
    <dgm:cxn modelId="{59EBD2C3-EE8F-44D3-86D8-3A69337BE768}" type="presParOf" srcId="{98C97246-45EF-49CA-874B-77028BD2E185}" destId="{D91744EB-7F5A-4A54-AD45-EB9D77334FF1}" srcOrd="0" destOrd="0" presId="urn:microsoft.com/office/officeart/2005/8/layout/pList1"/>
    <dgm:cxn modelId="{EC5A2F76-8577-48AA-96F9-37213D59F6F4}" type="presParOf" srcId="{98C97246-45EF-49CA-874B-77028BD2E185}" destId="{633EE5AB-1CF8-4C43-83BC-E7A06CC64989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8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endParaRPr lang="es-419" b="0"/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221515" custScaleY="205160"/>
      <dgm:spPr>
        <a:blipFill dpi="0" rotWithShape="1">
          <a:blip xmlns:r="http://schemas.openxmlformats.org/officeDocument/2006/relationships" r:embed="rId9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9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30.xml><?xml version="1.0" encoding="utf-8"?>
<dgm:dataModel xmlns:dgm="http://schemas.openxmlformats.org/drawingml/2006/diagram" xmlns:a="http://schemas.openxmlformats.org/drawingml/2006/main">
  <dgm:ptLst>
    <dgm:pt modelId="{8E2BD6EA-F933-4792-A572-E55D1DE5CB11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CL"/>
        </a:p>
      </dgm:t>
    </dgm:pt>
    <dgm:pt modelId="{CB8BC293-CDFE-4BA1-A22F-990488C85D65}">
      <dgm:prSet phldrT="[Texto]"/>
      <dgm:spPr/>
      <dgm:t>
        <a:bodyPr/>
        <a:lstStyle/>
        <a:p>
          <a:r>
            <a:rPr lang="es-CL"/>
            <a:t>1.1 Descricpión</a:t>
          </a:r>
        </a:p>
        <a:p>
          <a:r>
            <a:rPr lang="es-CL"/>
            <a:t>del rodal</a:t>
          </a:r>
        </a:p>
      </dgm:t>
    </dgm:pt>
    <dgm:pt modelId="{5BC0DDB0-B2F3-4114-B9A2-D0684A75C223}" type="parTrans" cxnId="{6847C114-C56B-4891-BFAE-18F65CC0F9DF}">
      <dgm:prSet/>
      <dgm:spPr/>
      <dgm:t>
        <a:bodyPr/>
        <a:lstStyle/>
        <a:p>
          <a:endParaRPr lang="es-CL"/>
        </a:p>
      </dgm:t>
    </dgm:pt>
    <dgm:pt modelId="{1899F4FC-E1B2-4282-AF3B-C36CD0E22547}" type="sibTrans" cxnId="{6847C114-C56B-4891-BFAE-18F65CC0F9DF}">
      <dgm:prSet/>
      <dgm:spPr/>
      <dgm:t>
        <a:bodyPr/>
        <a:lstStyle/>
        <a:p>
          <a:endParaRPr lang="es-CL"/>
        </a:p>
      </dgm:t>
    </dgm:pt>
    <dgm:pt modelId="{6682059B-4DF1-4FBA-B2A9-51CD5EB6C94F}">
      <dgm:prSet phldrT="[Texto]"/>
      <dgm:spPr/>
      <dgm:t>
        <a:bodyPr/>
        <a:lstStyle/>
        <a:p>
          <a:r>
            <a:rPr lang="es-CL"/>
            <a:t>1.2 Factores operacionales</a:t>
          </a:r>
        </a:p>
      </dgm:t>
    </dgm:pt>
    <dgm:pt modelId="{09430317-22DD-4420-A1C8-82548FAE8A16}" type="parTrans" cxnId="{ECF87AE2-BE7E-4110-9899-6CD017F04ABD}">
      <dgm:prSet/>
      <dgm:spPr/>
      <dgm:t>
        <a:bodyPr/>
        <a:lstStyle/>
        <a:p>
          <a:endParaRPr lang="es-CL"/>
        </a:p>
      </dgm:t>
    </dgm:pt>
    <dgm:pt modelId="{1A502FCD-E96C-4A8A-B2BC-FBC4FA792A10}" type="sibTrans" cxnId="{ECF87AE2-BE7E-4110-9899-6CD017F04ABD}">
      <dgm:prSet/>
      <dgm:spPr/>
      <dgm:t>
        <a:bodyPr/>
        <a:lstStyle/>
        <a:p>
          <a:endParaRPr lang="es-CL"/>
        </a:p>
      </dgm:t>
    </dgm:pt>
    <dgm:pt modelId="{3D9A325C-34E7-4FAA-B818-42B2315ADA9C}" type="pres">
      <dgm:prSet presAssocID="{8E2BD6EA-F933-4792-A572-E55D1DE5CB11}" presName="Name0" presStyleCnt="0">
        <dgm:presLayoutVars>
          <dgm:dir/>
          <dgm:resizeHandles val="exact"/>
        </dgm:presLayoutVars>
      </dgm:prSet>
      <dgm:spPr/>
    </dgm:pt>
    <dgm:pt modelId="{52E3AF5A-474B-43FE-BA63-12BFB3D369CA}" type="pres">
      <dgm:prSet presAssocID="{CB8BC293-CDFE-4BA1-A22F-990488C85D65}" presName="compNode" presStyleCnt="0"/>
      <dgm:spPr/>
    </dgm:pt>
    <dgm:pt modelId="{09AD85FE-E745-45AE-9716-5B9028F8CB57}" type="pres">
      <dgm:prSet presAssocID="{CB8BC293-CDFE-4BA1-A22F-990488C85D65}" presName="pictRect" presStyleLbl="node1" presStyleIdx="0" presStyleCnt="2" custScaleX="100042" custScaleY="116939" custLinFactNeighborX="-21345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3038" t="-11819" r="3038" b="-11819"/>
          </a:stretch>
        </a:blipFill>
      </dgm:spPr>
      <dgm:extLst>
        <a:ext uri="{E40237B7-FDA0-4F09-8148-C483321AD2D9}">
          <dgm14:cNvPr xmlns:dgm14="http://schemas.microsoft.com/office/drawing/2010/diagram" id="0" name="" descr="Escena de bosque">
            <a:hlinkClick xmlns:r="http://schemas.openxmlformats.org/officeDocument/2006/relationships" r:id="rId3"/>
          </dgm14:cNvPr>
        </a:ext>
      </dgm:extLst>
    </dgm:pt>
    <dgm:pt modelId="{D27AB2C5-706D-4099-8556-CD05091B2DD6}" type="pres">
      <dgm:prSet presAssocID="{CB8BC293-CDFE-4BA1-A22F-990488C85D65}" presName="textRect" presStyleLbl="revTx" presStyleIdx="0" presStyleCnt="2">
        <dgm:presLayoutVars>
          <dgm:bulletEnabled val="1"/>
        </dgm:presLayoutVars>
      </dgm:prSet>
      <dgm:spPr/>
    </dgm:pt>
    <dgm:pt modelId="{DDF46D4B-3127-49FF-9292-4F36B6F25E78}" type="pres">
      <dgm:prSet presAssocID="{1899F4FC-E1B2-4282-AF3B-C36CD0E22547}" presName="sibTrans" presStyleLbl="sibTrans2D1" presStyleIdx="0" presStyleCnt="0"/>
      <dgm:spPr/>
    </dgm:pt>
    <dgm:pt modelId="{9EFC258F-4555-4660-AC1B-DC9A3DF11774}" type="pres">
      <dgm:prSet presAssocID="{6682059B-4DF1-4FBA-B2A9-51CD5EB6C94F}" presName="compNode" presStyleCnt="0"/>
      <dgm:spPr/>
    </dgm:pt>
    <dgm:pt modelId="{AFCF69DA-85DF-403F-A286-2C071B04BA2D}" type="pres">
      <dgm:prSet presAssocID="{6682059B-4DF1-4FBA-B2A9-51CD5EB6C94F}" presName="pictRect" presStyleLbl="node1" presStyleIdx="1" presStyleCnt="2"/>
      <dgm:spPr>
        <a:blipFill dpi="0" rotWithShape="1">
          <a:blip xmlns:r="http://schemas.openxmlformats.org/officeDocument/2006/relationships" r:embed="rId4">
            <a:alphaModFix amt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7236" t="862" r="8498" b="86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F7365F4-FB98-4C60-900D-2A4F1B76CBAA}" type="pres">
      <dgm:prSet presAssocID="{6682059B-4DF1-4FBA-B2A9-51CD5EB6C94F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6847C114-C56B-4891-BFAE-18F65CC0F9DF}" srcId="{8E2BD6EA-F933-4792-A572-E55D1DE5CB11}" destId="{CB8BC293-CDFE-4BA1-A22F-990488C85D65}" srcOrd="0" destOrd="0" parTransId="{5BC0DDB0-B2F3-4114-B9A2-D0684A75C223}" sibTransId="{1899F4FC-E1B2-4282-AF3B-C36CD0E22547}"/>
    <dgm:cxn modelId="{A6F31E17-D30F-406E-8990-50C547EDCC37}" type="presOf" srcId="{1899F4FC-E1B2-4282-AF3B-C36CD0E22547}" destId="{DDF46D4B-3127-49FF-9292-4F36B6F25E78}" srcOrd="0" destOrd="0" presId="urn:microsoft.com/office/officeart/2005/8/layout/pList1"/>
    <dgm:cxn modelId="{C7D1106A-C971-41CE-83C9-0C19AFCB0ABF}" type="presOf" srcId="{CB8BC293-CDFE-4BA1-A22F-990488C85D65}" destId="{D27AB2C5-706D-4099-8556-CD05091B2DD6}" srcOrd="0" destOrd="0" presId="urn:microsoft.com/office/officeart/2005/8/layout/pList1"/>
    <dgm:cxn modelId="{5355F5CD-CE8E-4E59-955A-29BCCE727582}" type="presOf" srcId="{6682059B-4DF1-4FBA-B2A9-51CD5EB6C94F}" destId="{6F7365F4-FB98-4C60-900D-2A4F1B76CBAA}" srcOrd="0" destOrd="0" presId="urn:microsoft.com/office/officeart/2005/8/layout/pList1"/>
    <dgm:cxn modelId="{ECF87AE2-BE7E-4110-9899-6CD017F04ABD}" srcId="{8E2BD6EA-F933-4792-A572-E55D1DE5CB11}" destId="{6682059B-4DF1-4FBA-B2A9-51CD5EB6C94F}" srcOrd="1" destOrd="0" parTransId="{09430317-22DD-4420-A1C8-82548FAE8A16}" sibTransId="{1A502FCD-E96C-4A8A-B2BC-FBC4FA792A10}"/>
    <dgm:cxn modelId="{46F89BEB-E878-4DF9-A938-A3598941C2A0}" type="presOf" srcId="{8E2BD6EA-F933-4792-A572-E55D1DE5CB11}" destId="{3D9A325C-34E7-4FAA-B818-42B2315ADA9C}" srcOrd="0" destOrd="0" presId="urn:microsoft.com/office/officeart/2005/8/layout/pList1"/>
    <dgm:cxn modelId="{89A233DD-37F0-4A8F-B1F1-EC94DA0AED97}" type="presParOf" srcId="{3D9A325C-34E7-4FAA-B818-42B2315ADA9C}" destId="{52E3AF5A-474B-43FE-BA63-12BFB3D369CA}" srcOrd="0" destOrd="0" presId="urn:microsoft.com/office/officeart/2005/8/layout/pList1"/>
    <dgm:cxn modelId="{57E42F7C-37F7-46AD-A3CF-92115ED3E98C}" type="presParOf" srcId="{52E3AF5A-474B-43FE-BA63-12BFB3D369CA}" destId="{09AD85FE-E745-45AE-9716-5B9028F8CB57}" srcOrd="0" destOrd="0" presId="urn:microsoft.com/office/officeart/2005/8/layout/pList1"/>
    <dgm:cxn modelId="{A70029AD-BDDB-45D0-98BB-B69A26730151}" type="presParOf" srcId="{52E3AF5A-474B-43FE-BA63-12BFB3D369CA}" destId="{D27AB2C5-706D-4099-8556-CD05091B2DD6}" srcOrd="1" destOrd="0" presId="urn:microsoft.com/office/officeart/2005/8/layout/pList1"/>
    <dgm:cxn modelId="{68B2D976-1320-4D1D-BCD3-C36584A56302}" type="presParOf" srcId="{3D9A325C-34E7-4FAA-B818-42B2315ADA9C}" destId="{DDF46D4B-3127-49FF-9292-4F36B6F25E78}" srcOrd="1" destOrd="0" presId="urn:microsoft.com/office/officeart/2005/8/layout/pList1"/>
    <dgm:cxn modelId="{8F5034FE-F3FB-43F3-9017-41E55183BAD0}" type="presParOf" srcId="{3D9A325C-34E7-4FAA-B818-42B2315ADA9C}" destId="{9EFC258F-4555-4660-AC1B-DC9A3DF11774}" srcOrd="2" destOrd="0" presId="urn:microsoft.com/office/officeart/2005/8/layout/pList1"/>
    <dgm:cxn modelId="{692A5A8A-B595-49F2-9301-3E2480E18217}" type="presParOf" srcId="{9EFC258F-4555-4660-AC1B-DC9A3DF11774}" destId="{AFCF69DA-85DF-403F-A286-2C071B04BA2D}" srcOrd="0" destOrd="0" presId="urn:microsoft.com/office/officeart/2005/8/layout/pList1"/>
    <dgm:cxn modelId="{24981841-E2AE-4101-9FE6-73F8FD3FB268}" type="presParOf" srcId="{9EFC258F-4555-4660-AC1B-DC9A3DF11774}" destId="{6F7365F4-FB98-4C60-900D-2A4F1B76CBAA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1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endParaRPr lang="es-419"/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 custScaleX="221515" custScaleY="205160"/>
      <dgm:spPr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32.xml><?xml version="1.0" encoding="utf-8"?>
<dgm:dataModel xmlns:dgm="http://schemas.openxmlformats.org/drawingml/2006/diagram" xmlns:a="http://schemas.openxmlformats.org/drawingml/2006/main">
  <dgm:ptLst>
    <dgm:pt modelId="{8E2BD6EA-F933-4792-A572-E55D1DE5CB11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CL"/>
        </a:p>
      </dgm:t>
    </dgm:pt>
    <dgm:pt modelId="{CB8BC293-CDFE-4BA1-A22F-990488C85D65}">
      <dgm:prSet phldrT="[Texto]"/>
      <dgm:spPr/>
      <dgm:t>
        <a:bodyPr/>
        <a:lstStyle/>
        <a:p>
          <a:r>
            <a:rPr lang="es-CL"/>
            <a:t>1.1 Descricpión</a:t>
          </a:r>
        </a:p>
        <a:p>
          <a:r>
            <a:rPr lang="es-CL"/>
            <a:t>del rodal</a:t>
          </a:r>
        </a:p>
      </dgm:t>
    </dgm:pt>
    <dgm:pt modelId="{5BC0DDB0-B2F3-4114-B9A2-D0684A75C223}" type="parTrans" cxnId="{6847C114-C56B-4891-BFAE-18F65CC0F9DF}">
      <dgm:prSet/>
      <dgm:spPr/>
      <dgm:t>
        <a:bodyPr/>
        <a:lstStyle/>
        <a:p>
          <a:endParaRPr lang="es-CL"/>
        </a:p>
      </dgm:t>
    </dgm:pt>
    <dgm:pt modelId="{1899F4FC-E1B2-4282-AF3B-C36CD0E22547}" type="sibTrans" cxnId="{6847C114-C56B-4891-BFAE-18F65CC0F9DF}">
      <dgm:prSet/>
      <dgm:spPr/>
      <dgm:t>
        <a:bodyPr/>
        <a:lstStyle/>
        <a:p>
          <a:endParaRPr lang="es-CL"/>
        </a:p>
      </dgm:t>
    </dgm:pt>
    <dgm:pt modelId="{6682059B-4DF1-4FBA-B2A9-51CD5EB6C94F}">
      <dgm:prSet phldrT="[Texto]"/>
      <dgm:spPr/>
      <dgm:t>
        <a:bodyPr/>
        <a:lstStyle/>
        <a:p>
          <a:r>
            <a:rPr lang="es-CL"/>
            <a:t>Factores operacionales</a:t>
          </a:r>
        </a:p>
      </dgm:t>
    </dgm:pt>
    <dgm:pt modelId="{09430317-22DD-4420-A1C8-82548FAE8A16}" type="parTrans" cxnId="{ECF87AE2-BE7E-4110-9899-6CD017F04ABD}">
      <dgm:prSet/>
      <dgm:spPr/>
      <dgm:t>
        <a:bodyPr/>
        <a:lstStyle/>
        <a:p>
          <a:endParaRPr lang="es-CL"/>
        </a:p>
      </dgm:t>
    </dgm:pt>
    <dgm:pt modelId="{1A502FCD-E96C-4A8A-B2BC-FBC4FA792A10}" type="sibTrans" cxnId="{ECF87AE2-BE7E-4110-9899-6CD017F04ABD}">
      <dgm:prSet/>
      <dgm:spPr/>
      <dgm:t>
        <a:bodyPr/>
        <a:lstStyle/>
        <a:p>
          <a:endParaRPr lang="es-CL"/>
        </a:p>
      </dgm:t>
    </dgm:pt>
    <dgm:pt modelId="{3D9A325C-34E7-4FAA-B818-42B2315ADA9C}" type="pres">
      <dgm:prSet presAssocID="{8E2BD6EA-F933-4792-A572-E55D1DE5CB11}" presName="Name0" presStyleCnt="0">
        <dgm:presLayoutVars>
          <dgm:dir/>
          <dgm:resizeHandles val="exact"/>
        </dgm:presLayoutVars>
      </dgm:prSet>
      <dgm:spPr/>
    </dgm:pt>
    <dgm:pt modelId="{52E3AF5A-474B-43FE-BA63-12BFB3D369CA}" type="pres">
      <dgm:prSet presAssocID="{CB8BC293-CDFE-4BA1-A22F-990488C85D65}" presName="compNode" presStyleCnt="0"/>
      <dgm:spPr/>
    </dgm:pt>
    <dgm:pt modelId="{09AD85FE-E745-45AE-9716-5B9028F8CB57}" type="pres">
      <dgm:prSet presAssocID="{CB8BC293-CDFE-4BA1-A22F-990488C85D65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2893" t="-16781" r="2893" b="-16781"/>
          </a:stretch>
        </a:blipFill>
      </dgm:spPr>
      <dgm:extLst>
        <a:ext uri="{E40237B7-FDA0-4F09-8148-C483321AD2D9}">
          <dgm14:cNvPr xmlns:dgm14="http://schemas.microsoft.com/office/drawing/2010/diagram" id="0" name="" descr="Escena de bosque">
            <a:hlinkClick xmlns:r="http://schemas.openxmlformats.org/officeDocument/2006/relationships" r:id="rId3"/>
          </dgm14:cNvPr>
        </a:ext>
      </dgm:extLst>
    </dgm:pt>
    <dgm:pt modelId="{D27AB2C5-706D-4099-8556-CD05091B2DD6}" type="pres">
      <dgm:prSet presAssocID="{CB8BC293-CDFE-4BA1-A22F-990488C85D65}" presName="textRect" presStyleLbl="revTx" presStyleIdx="0" presStyleCnt="2">
        <dgm:presLayoutVars>
          <dgm:bulletEnabled val="1"/>
        </dgm:presLayoutVars>
      </dgm:prSet>
      <dgm:spPr/>
    </dgm:pt>
    <dgm:pt modelId="{DDF46D4B-3127-49FF-9292-4F36B6F25E78}" type="pres">
      <dgm:prSet presAssocID="{1899F4FC-E1B2-4282-AF3B-C36CD0E22547}" presName="sibTrans" presStyleLbl="sibTrans2D1" presStyleIdx="0" presStyleCnt="0"/>
      <dgm:spPr/>
    </dgm:pt>
    <dgm:pt modelId="{9EFC258F-4555-4660-AC1B-DC9A3DF11774}" type="pres">
      <dgm:prSet presAssocID="{6682059B-4DF1-4FBA-B2A9-51CD5EB6C94F}" presName="compNode" presStyleCnt="0"/>
      <dgm:spPr/>
    </dgm:pt>
    <dgm:pt modelId="{AFCF69DA-85DF-403F-A286-2C071B04BA2D}" type="pres">
      <dgm:prSet presAssocID="{6682059B-4DF1-4FBA-B2A9-51CD5EB6C94F}" presName="pictRect" presStyleLbl="node1" presStyleIdx="1" presStyleCnt="2"/>
      <dgm:spPr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8228" t="710" r="9467" b="71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F7365F4-FB98-4C60-900D-2A4F1B76CBAA}" type="pres">
      <dgm:prSet presAssocID="{6682059B-4DF1-4FBA-B2A9-51CD5EB6C94F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6847C114-C56B-4891-BFAE-18F65CC0F9DF}" srcId="{8E2BD6EA-F933-4792-A572-E55D1DE5CB11}" destId="{CB8BC293-CDFE-4BA1-A22F-990488C85D65}" srcOrd="0" destOrd="0" parTransId="{5BC0DDB0-B2F3-4114-B9A2-D0684A75C223}" sibTransId="{1899F4FC-E1B2-4282-AF3B-C36CD0E22547}"/>
    <dgm:cxn modelId="{A6F31E17-D30F-406E-8990-50C547EDCC37}" type="presOf" srcId="{1899F4FC-E1B2-4282-AF3B-C36CD0E22547}" destId="{DDF46D4B-3127-49FF-9292-4F36B6F25E78}" srcOrd="0" destOrd="0" presId="urn:microsoft.com/office/officeart/2005/8/layout/pList1"/>
    <dgm:cxn modelId="{C7D1106A-C971-41CE-83C9-0C19AFCB0ABF}" type="presOf" srcId="{CB8BC293-CDFE-4BA1-A22F-990488C85D65}" destId="{D27AB2C5-706D-4099-8556-CD05091B2DD6}" srcOrd="0" destOrd="0" presId="urn:microsoft.com/office/officeart/2005/8/layout/pList1"/>
    <dgm:cxn modelId="{5355F5CD-CE8E-4E59-955A-29BCCE727582}" type="presOf" srcId="{6682059B-4DF1-4FBA-B2A9-51CD5EB6C94F}" destId="{6F7365F4-FB98-4C60-900D-2A4F1B76CBAA}" srcOrd="0" destOrd="0" presId="urn:microsoft.com/office/officeart/2005/8/layout/pList1"/>
    <dgm:cxn modelId="{ECF87AE2-BE7E-4110-9899-6CD017F04ABD}" srcId="{8E2BD6EA-F933-4792-A572-E55D1DE5CB11}" destId="{6682059B-4DF1-4FBA-B2A9-51CD5EB6C94F}" srcOrd="1" destOrd="0" parTransId="{09430317-22DD-4420-A1C8-82548FAE8A16}" sibTransId="{1A502FCD-E96C-4A8A-B2BC-FBC4FA792A10}"/>
    <dgm:cxn modelId="{46F89BEB-E878-4DF9-A938-A3598941C2A0}" type="presOf" srcId="{8E2BD6EA-F933-4792-A572-E55D1DE5CB11}" destId="{3D9A325C-34E7-4FAA-B818-42B2315ADA9C}" srcOrd="0" destOrd="0" presId="urn:microsoft.com/office/officeart/2005/8/layout/pList1"/>
    <dgm:cxn modelId="{89A233DD-37F0-4A8F-B1F1-EC94DA0AED97}" type="presParOf" srcId="{3D9A325C-34E7-4FAA-B818-42B2315ADA9C}" destId="{52E3AF5A-474B-43FE-BA63-12BFB3D369CA}" srcOrd="0" destOrd="0" presId="urn:microsoft.com/office/officeart/2005/8/layout/pList1"/>
    <dgm:cxn modelId="{57E42F7C-37F7-46AD-A3CF-92115ED3E98C}" type="presParOf" srcId="{52E3AF5A-474B-43FE-BA63-12BFB3D369CA}" destId="{09AD85FE-E745-45AE-9716-5B9028F8CB57}" srcOrd="0" destOrd="0" presId="urn:microsoft.com/office/officeart/2005/8/layout/pList1"/>
    <dgm:cxn modelId="{A70029AD-BDDB-45D0-98BB-B69A26730151}" type="presParOf" srcId="{52E3AF5A-474B-43FE-BA63-12BFB3D369CA}" destId="{D27AB2C5-706D-4099-8556-CD05091B2DD6}" srcOrd="1" destOrd="0" presId="urn:microsoft.com/office/officeart/2005/8/layout/pList1"/>
    <dgm:cxn modelId="{68B2D976-1320-4D1D-BCD3-C36584A56302}" type="presParOf" srcId="{3D9A325C-34E7-4FAA-B818-42B2315ADA9C}" destId="{DDF46D4B-3127-49FF-9292-4F36B6F25E78}" srcOrd="1" destOrd="0" presId="urn:microsoft.com/office/officeart/2005/8/layout/pList1"/>
    <dgm:cxn modelId="{8F5034FE-F3FB-43F3-9017-41E55183BAD0}" type="presParOf" srcId="{3D9A325C-34E7-4FAA-B818-42B2315ADA9C}" destId="{9EFC258F-4555-4660-AC1B-DC9A3DF11774}" srcOrd="2" destOrd="0" presId="urn:microsoft.com/office/officeart/2005/8/layout/pList1"/>
    <dgm:cxn modelId="{692A5A8A-B595-49F2-9301-3E2480E18217}" type="presParOf" srcId="{9EFC258F-4555-4660-AC1B-DC9A3DF11774}" destId="{AFCF69DA-85DF-403F-A286-2C071B04BA2D}" srcOrd="0" destOrd="0" presId="urn:microsoft.com/office/officeart/2005/8/layout/pList1"/>
    <dgm:cxn modelId="{24981841-E2AE-4101-9FE6-73F8FD3FB268}" type="presParOf" srcId="{9EFC258F-4555-4660-AC1B-DC9A3DF11774}" destId="{6F7365F4-FB98-4C60-900D-2A4F1B76CBAA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3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endParaRPr lang="es-419"/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 custScaleX="221515" custScaleY="205160"/>
      <dgm:spPr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193593" y="5228"/>
          <a:ext cx="1095990" cy="755137"/>
        </a:xfrm>
        <a:prstGeom prst="roundRect">
          <a:avLst/>
        </a:prstGeom>
        <a:blipFill>
          <a:blip xmlns:r="http://schemas.openxmlformats.org/officeDocument/2006/relationships" r:embed="rId1">
            <a:alphaModFix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193593" y="760365"/>
          <a:ext cx="1095990" cy="4066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193593" y="760365"/>
        <a:ext cx="1095990" cy="406612"/>
      </dsp:txXfrm>
    </dsp:sp>
    <dsp:sp modelId="{B9FFE0CF-5ADA-475C-84D7-7B6474239B54}">
      <dsp:nvSpPr>
        <dsp:cNvPr id="0" name=""/>
        <dsp:cNvSpPr/>
      </dsp:nvSpPr>
      <dsp:spPr>
        <a:xfrm>
          <a:off x="142334" y="1276576"/>
          <a:ext cx="1198509" cy="1235344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193593" y="2271817"/>
          <a:ext cx="1095990" cy="4066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193593" y="2271817"/>
        <a:ext cx="1095990" cy="406612"/>
      </dsp:txXfrm>
    </dsp:sp>
    <dsp:sp modelId="{C4353F88-F62F-4503-A620-C2F89C4950A5}">
      <dsp:nvSpPr>
        <dsp:cNvPr id="0" name=""/>
        <dsp:cNvSpPr/>
      </dsp:nvSpPr>
      <dsp:spPr>
        <a:xfrm>
          <a:off x="193593" y="2788029"/>
          <a:ext cx="1095990" cy="755137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193593" y="3543166"/>
          <a:ext cx="1095990" cy="4066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193593" y="3543166"/>
        <a:ext cx="1095990" cy="406612"/>
      </dsp:txXfrm>
    </dsp:sp>
    <dsp:sp modelId="{18683EFC-28F5-4403-A465-DD752C4C0D25}">
      <dsp:nvSpPr>
        <dsp:cNvPr id="0" name=""/>
        <dsp:cNvSpPr/>
      </dsp:nvSpPr>
      <dsp:spPr>
        <a:xfrm>
          <a:off x="219223" y="4059378"/>
          <a:ext cx="1095990" cy="755137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19223" y="4814515"/>
          <a:ext cx="1095990" cy="4066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19223" y="4814515"/>
        <a:ext cx="1095990" cy="406612"/>
      </dsp:txXfrm>
    </dsp:sp>
    <dsp:sp modelId="{576F2626-9B55-43A9-91A7-799F0775552F}">
      <dsp:nvSpPr>
        <dsp:cNvPr id="0" name=""/>
        <dsp:cNvSpPr/>
      </dsp:nvSpPr>
      <dsp:spPr>
        <a:xfrm>
          <a:off x="219223" y="5330727"/>
          <a:ext cx="1095990" cy="81307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19223" y="6114831"/>
          <a:ext cx="1095990" cy="4066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19223" y="6114831"/>
        <a:ext cx="1095990" cy="406612"/>
      </dsp:txXfrm>
    </dsp:sp>
    <dsp:sp modelId="{716EDCC0-8929-4EA8-8824-4EC228DFD720}">
      <dsp:nvSpPr>
        <dsp:cNvPr id="0" name=""/>
        <dsp:cNvSpPr/>
      </dsp:nvSpPr>
      <dsp:spPr>
        <a:xfrm>
          <a:off x="219223" y="6631043"/>
          <a:ext cx="1095990" cy="755137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19223" y="7386180"/>
          <a:ext cx="1095990" cy="40661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19223" y="7386180"/>
        <a:ext cx="1095990" cy="406612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2642" y="184576"/>
          <a:ext cx="1029161" cy="70909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2642" y="893668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52642" y="893668"/>
        <a:ext cx="1029161" cy="381819"/>
      </dsp:txXfrm>
    </dsp:sp>
    <dsp:sp modelId="{FEFDE0B9-CDBB-49B4-8781-549C08778A62}">
      <dsp:nvSpPr>
        <dsp:cNvPr id="0" name=""/>
        <dsp:cNvSpPr/>
      </dsp:nvSpPr>
      <dsp:spPr>
        <a:xfrm>
          <a:off x="3423240" y="12676"/>
          <a:ext cx="2262303" cy="144712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01334" y="1078176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01334" y="1078176"/>
        <a:ext cx="1029161" cy="381819"/>
      </dsp:txXfrm>
    </dsp:sp>
    <dsp:sp modelId="{AFF539D5-DC29-419D-AC44-827D44109FBF}">
      <dsp:nvSpPr>
        <dsp:cNvPr id="0" name=""/>
        <dsp:cNvSpPr/>
      </dsp:nvSpPr>
      <dsp:spPr>
        <a:xfrm>
          <a:off x="5850145" y="210553"/>
          <a:ext cx="1028925" cy="70879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0026" y="893594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50026" y="893594"/>
        <a:ext cx="1029161" cy="381819"/>
      </dsp:txXfrm>
    </dsp:sp>
    <dsp:sp modelId="{8786A4B4-63AD-4282-AB9B-978539C1D026}">
      <dsp:nvSpPr>
        <dsp:cNvPr id="0" name=""/>
        <dsp:cNvSpPr/>
      </dsp:nvSpPr>
      <dsp:spPr>
        <a:xfrm>
          <a:off x="6982147" y="182596"/>
          <a:ext cx="1039669" cy="71701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87401" y="895648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87401" y="895648"/>
        <a:ext cx="1029161" cy="38181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9788" y="1791"/>
          <a:ext cx="1023600" cy="70526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9788" y="707051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29788" y="707051"/>
        <a:ext cx="1023600" cy="379755"/>
      </dsp:txXfrm>
    </dsp:sp>
    <dsp:sp modelId="{B9FFE0CF-5ADA-475C-84D7-7B6474239B54}">
      <dsp:nvSpPr>
        <dsp:cNvPr id="0" name=""/>
        <dsp:cNvSpPr/>
      </dsp:nvSpPr>
      <dsp:spPr>
        <a:xfrm>
          <a:off x="181915" y="1189167"/>
          <a:ext cx="1119347" cy="1153749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9788" y="2118672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29788" y="2118672"/>
        <a:ext cx="1023600" cy="379755"/>
      </dsp:txXfrm>
    </dsp:sp>
    <dsp:sp modelId="{C4353F88-F62F-4503-A620-C2F89C4950A5}">
      <dsp:nvSpPr>
        <dsp:cNvPr id="0" name=""/>
        <dsp:cNvSpPr/>
      </dsp:nvSpPr>
      <dsp:spPr>
        <a:xfrm>
          <a:off x="229788" y="2600787"/>
          <a:ext cx="1023600" cy="705260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9788" y="3306048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29788" y="3306048"/>
        <a:ext cx="1023600" cy="379755"/>
      </dsp:txXfrm>
    </dsp:sp>
    <dsp:sp modelId="{18683EFC-28F5-4403-A465-DD752C4C0D25}">
      <dsp:nvSpPr>
        <dsp:cNvPr id="0" name=""/>
        <dsp:cNvSpPr/>
      </dsp:nvSpPr>
      <dsp:spPr>
        <a:xfrm>
          <a:off x="253725" y="3788163"/>
          <a:ext cx="1023600" cy="705260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53725" y="4493424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53725" y="4493424"/>
        <a:ext cx="1023600" cy="379755"/>
      </dsp:txXfrm>
    </dsp:sp>
    <dsp:sp modelId="{576F2626-9B55-43A9-91A7-799F0775552F}">
      <dsp:nvSpPr>
        <dsp:cNvPr id="0" name=""/>
        <dsp:cNvSpPr/>
      </dsp:nvSpPr>
      <dsp:spPr>
        <a:xfrm>
          <a:off x="253725" y="4975539"/>
          <a:ext cx="1023600" cy="75936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53725" y="5707854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53725" y="5707854"/>
        <a:ext cx="1023600" cy="379755"/>
      </dsp:txXfrm>
    </dsp:sp>
    <dsp:sp modelId="{716EDCC0-8929-4EA8-8824-4EC228DFD720}">
      <dsp:nvSpPr>
        <dsp:cNvPr id="0" name=""/>
        <dsp:cNvSpPr/>
      </dsp:nvSpPr>
      <dsp:spPr>
        <a:xfrm>
          <a:off x="253725" y="6189969"/>
          <a:ext cx="1023600" cy="70526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53725" y="6895230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53725" y="6895230"/>
        <a:ext cx="1023600" cy="379755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3392" y="183850"/>
          <a:ext cx="1023922" cy="70548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3392" y="889332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53392" y="889332"/>
        <a:ext cx="1023922" cy="379875"/>
      </dsp:txXfrm>
    </dsp:sp>
    <dsp:sp modelId="{FEFDE0B9-CDBB-49B4-8781-549C08778A62}">
      <dsp:nvSpPr>
        <dsp:cNvPr id="0" name=""/>
        <dsp:cNvSpPr/>
      </dsp:nvSpPr>
      <dsp:spPr>
        <a:xfrm>
          <a:off x="3418539" y="12825"/>
          <a:ext cx="2250786" cy="1439755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93181" y="1072900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093181" y="1072900"/>
        <a:ext cx="1023922" cy="379875"/>
      </dsp:txXfrm>
    </dsp:sp>
    <dsp:sp modelId="{AFF539D5-DC29-419D-AC44-827D44109FBF}">
      <dsp:nvSpPr>
        <dsp:cNvPr id="0" name=""/>
        <dsp:cNvSpPr/>
      </dsp:nvSpPr>
      <dsp:spPr>
        <a:xfrm>
          <a:off x="5833089" y="209695"/>
          <a:ext cx="1023686" cy="70518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32971" y="889258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32971" y="889258"/>
        <a:ext cx="1023922" cy="379875"/>
      </dsp:txXfrm>
    </dsp:sp>
    <dsp:sp modelId="{8786A4B4-63AD-4282-AB9B-978539C1D026}">
      <dsp:nvSpPr>
        <dsp:cNvPr id="0" name=""/>
        <dsp:cNvSpPr/>
      </dsp:nvSpPr>
      <dsp:spPr>
        <a:xfrm>
          <a:off x="6959329" y="181880"/>
          <a:ext cx="1034376" cy="71336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64556" y="891302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64556" y="891302"/>
        <a:ext cx="1023922" cy="379875"/>
      </dsp:txXfrm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08071" y="1368"/>
          <a:ext cx="1067034" cy="735186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08071" y="736554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08071" y="736554"/>
        <a:ext cx="1067034" cy="395869"/>
      </dsp:txXfrm>
    </dsp:sp>
    <dsp:sp modelId="{B9FFE0CF-5ADA-475C-84D7-7B6474239B54}">
      <dsp:nvSpPr>
        <dsp:cNvPr id="0" name=""/>
        <dsp:cNvSpPr/>
      </dsp:nvSpPr>
      <dsp:spPr>
        <a:xfrm>
          <a:off x="158166" y="1239127"/>
          <a:ext cx="1166844" cy="1202706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08071" y="2208074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08071" y="2208074"/>
        <a:ext cx="1067034" cy="395869"/>
      </dsp:txXfrm>
    </dsp:sp>
    <dsp:sp modelId="{C4353F88-F62F-4503-A620-C2F89C4950A5}">
      <dsp:nvSpPr>
        <dsp:cNvPr id="0" name=""/>
        <dsp:cNvSpPr/>
      </dsp:nvSpPr>
      <dsp:spPr>
        <a:xfrm>
          <a:off x="208071" y="2710647"/>
          <a:ext cx="1067034" cy="735186"/>
        </a:xfrm>
        <a:prstGeom prst="roundRect">
          <a:avLst/>
        </a:prstGeom>
        <a:blipFill>
          <a:blip xmlns:r="http://schemas.openxmlformats.org/officeDocument/2006/relationships" r:embed="rId4">
            <a:alphaModFix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08071" y="3445834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08071" y="3445834"/>
        <a:ext cx="1067034" cy="395869"/>
      </dsp:txXfrm>
    </dsp:sp>
    <dsp:sp modelId="{18683EFC-28F5-4403-A465-DD752C4C0D25}">
      <dsp:nvSpPr>
        <dsp:cNvPr id="0" name=""/>
        <dsp:cNvSpPr/>
      </dsp:nvSpPr>
      <dsp:spPr>
        <a:xfrm>
          <a:off x="233024" y="3948407"/>
          <a:ext cx="1067034" cy="735186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33024" y="4683593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33024" y="4683593"/>
        <a:ext cx="1067034" cy="395869"/>
      </dsp:txXfrm>
    </dsp:sp>
    <dsp:sp modelId="{576F2626-9B55-43A9-91A7-799F0775552F}">
      <dsp:nvSpPr>
        <dsp:cNvPr id="0" name=""/>
        <dsp:cNvSpPr/>
      </dsp:nvSpPr>
      <dsp:spPr>
        <a:xfrm>
          <a:off x="233024" y="5186167"/>
          <a:ext cx="1067034" cy="79159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33024" y="5949555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33024" y="5949555"/>
        <a:ext cx="1067034" cy="395869"/>
      </dsp:txXfrm>
    </dsp:sp>
    <dsp:sp modelId="{716EDCC0-8929-4EA8-8824-4EC228DFD720}">
      <dsp:nvSpPr>
        <dsp:cNvPr id="0" name=""/>
        <dsp:cNvSpPr/>
      </dsp:nvSpPr>
      <dsp:spPr>
        <a:xfrm>
          <a:off x="233024" y="6452128"/>
          <a:ext cx="1067034" cy="735186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33024" y="7187315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33024" y="7187315"/>
        <a:ext cx="1067034" cy="395869"/>
      </dsp:txXfrm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70143" y="177813"/>
          <a:ext cx="988365" cy="68098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70143" y="858797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70143" y="858797"/>
        <a:ext cx="988365" cy="366683"/>
      </dsp:txXfrm>
    </dsp:sp>
    <dsp:sp modelId="{FEFDE0B9-CDBB-49B4-8781-549C08778A62}">
      <dsp:nvSpPr>
        <dsp:cNvPr id="0" name=""/>
        <dsp:cNvSpPr/>
      </dsp:nvSpPr>
      <dsp:spPr>
        <a:xfrm>
          <a:off x="3498303" y="12727"/>
          <a:ext cx="2172625" cy="1389758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49517" y="1035991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49517" y="1035991"/>
        <a:ext cx="988365" cy="366683"/>
      </dsp:txXfrm>
    </dsp:sp>
    <dsp:sp modelId="{AFF539D5-DC29-419D-AC44-827D44109FBF}">
      <dsp:nvSpPr>
        <dsp:cNvPr id="0" name=""/>
        <dsp:cNvSpPr/>
      </dsp:nvSpPr>
      <dsp:spPr>
        <a:xfrm>
          <a:off x="5829005" y="202761"/>
          <a:ext cx="988138" cy="68069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28891" y="858726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28891" y="858726"/>
        <a:ext cx="988365" cy="366683"/>
      </dsp:txXfrm>
    </dsp:sp>
    <dsp:sp modelId="{8786A4B4-63AD-4282-AB9B-978539C1D026}">
      <dsp:nvSpPr>
        <dsp:cNvPr id="0" name=""/>
        <dsp:cNvSpPr/>
      </dsp:nvSpPr>
      <dsp:spPr>
        <a:xfrm>
          <a:off x="6916135" y="175912"/>
          <a:ext cx="998456" cy="68859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21180" y="860699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21180" y="860699"/>
        <a:ext cx="988365" cy="366683"/>
      </dsp:txXfrm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08071" y="2737"/>
          <a:ext cx="1067034" cy="735186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08071" y="737923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08071" y="737923"/>
        <a:ext cx="1067034" cy="395869"/>
      </dsp:txXfrm>
    </dsp:sp>
    <dsp:sp modelId="{B9FFE0CF-5ADA-475C-84D7-7B6474239B54}">
      <dsp:nvSpPr>
        <dsp:cNvPr id="0" name=""/>
        <dsp:cNvSpPr/>
      </dsp:nvSpPr>
      <dsp:spPr>
        <a:xfrm>
          <a:off x="158166" y="1240496"/>
          <a:ext cx="1166844" cy="1202706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08071" y="2209443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08071" y="2209443"/>
        <a:ext cx="1067034" cy="395869"/>
      </dsp:txXfrm>
    </dsp:sp>
    <dsp:sp modelId="{C4353F88-F62F-4503-A620-C2F89C4950A5}">
      <dsp:nvSpPr>
        <dsp:cNvPr id="0" name=""/>
        <dsp:cNvSpPr/>
      </dsp:nvSpPr>
      <dsp:spPr>
        <a:xfrm>
          <a:off x="208071" y="2712016"/>
          <a:ext cx="1067034" cy="735186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08071" y="3447203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08071" y="3447203"/>
        <a:ext cx="1067034" cy="395869"/>
      </dsp:txXfrm>
    </dsp:sp>
    <dsp:sp modelId="{18683EFC-28F5-4403-A465-DD752C4C0D25}">
      <dsp:nvSpPr>
        <dsp:cNvPr id="0" name=""/>
        <dsp:cNvSpPr/>
      </dsp:nvSpPr>
      <dsp:spPr>
        <a:xfrm>
          <a:off x="233024" y="3949776"/>
          <a:ext cx="1067034" cy="735186"/>
        </a:xfrm>
        <a:prstGeom prst="rect">
          <a:avLst/>
        </a:prstGeom>
        <a:blipFill>
          <a:blip xmlns:r="http://schemas.openxmlformats.org/officeDocument/2006/relationships" r:embed="rId5">
            <a:alphaModFix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33024" y="4684962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33024" y="4684962"/>
        <a:ext cx="1067034" cy="395869"/>
      </dsp:txXfrm>
    </dsp:sp>
    <dsp:sp modelId="{576F2626-9B55-43A9-91A7-799F0775552F}">
      <dsp:nvSpPr>
        <dsp:cNvPr id="0" name=""/>
        <dsp:cNvSpPr/>
      </dsp:nvSpPr>
      <dsp:spPr>
        <a:xfrm>
          <a:off x="233024" y="5187536"/>
          <a:ext cx="1067034" cy="79159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33024" y="5950924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33024" y="5950924"/>
        <a:ext cx="1067034" cy="395869"/>
      </dsp:txXfrm>
    </dsp:sp>
    <dsp:sp modelId="{716EDCC0-8929-4EA8-8824-4EC228DFD720}">
      <dsp:nvSpPr>
        <dsp:cNvPr id="0" name=""/>
        <dsp:cNvSpPr/>
      </dsp:nvSpPr>
      <dsp:spPr>
        <a:xfrm>
          <a:off x="233024" y="6453497"/>
          <a:ext cx="1067034" cy="735186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33024" y="7188684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33024" y="7188684"/>
        <a:ext cx="1067034" cy="395869"/>
      </dsp:txXfrm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68511" y="183854"/>
          <a:ext cx="1024930" cy="70617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68511" y="890031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68511" y="890031"/>
        <a:ext cx="1024930" cy="380249"/>
      </dsp:txXfrm>
    </dsp:sp>
    <dsp:sp modelId="{FEFDE0B9-CDBB-49B4-8781-549C08778A62}">
      <dsp:nvSpPr>
        <dsp:cNvPr id="0" name=""/>
        <dsp:cNvSpPr/>
      </dsp:nvSpPr>
      <dsp:spPr>
        <a:xfrm>
          <a:off x="3434707" y="12661"/>
          <a:ext cx="2253001" cy="144117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10013" y="1073780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10013" y="1073780"/>
        <a:ext cx="1024930" cy="380249"/>
      </dsp:txXfrm>
    </dsp:sp>
    <dsp:sp modelId="{AFF539D5-DC29-419D-AC44-827D44109FBF}">
      <dsp:nvSpPr>
        <dsp:cNvPr id="0" name=""/>
        <dsp:cNvSpPr/>
      </dsp:nvSpPr>
      <dsp:spPr>
        <a:xfrm>
          <a:off x="5851633" y="209725"/>
          <a:ext cx="1024694" cy="70588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1516" y="889957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51516" y="889957"/>
        <a:ext cx="1024930" cy="380249"/>
      </dsp:txXfrm>
    </dsp:sp>
    <dsp:sp modelId="{8786A4B4-63AD-4282-AB9B-978539C1D026}">
      <dsp:nvSpPr>
        <dsp:cNvPr id="0" name=""/>
        <dsp:cNvSpPr/>
      </dsp:nvSpPr>
      <dsp:spPr>
        <a:xfrm>
          <a:off x="6978982" y="181882"/>
          <a:ext cx="1035394" cy="71406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84214" y="892003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84214" y="892003"/>
        <a:ext cx="1024930" cy="380249"/>
      </dsp:txXfrm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07347" y="2471"/>
          <a:ext cx="1068482" cy="736184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07347" y="738655"/>
          <a:ext cx="1068482" cy="396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07347" y="738655"/>
        <a:ext cx="1068482" cy="396406"/>
      </dsp:txXfrm>
    </dsp:sp>
    <dsp:sp modelId="{B9FFE0CF-5ADA-475C-84D7-7B6474239B54}">
      <dsp:nvSpPr>
        <dsp:cNvPr id="0" name=""/>
        <dsp:cNvSpPr/>
      </dsp:nvSpPr>
      <dsp:spPr>
        <a:xfrm>
          <a:off x="157375" y="1241910"/>
          <a:ext cx="1168427" cy="1204338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07347" y="2212171"/>
          <a:ext cx="1068482" cy="396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07347" y="2212171"/>
        <a:ext cx="1068482" cy="396406"/>
      </dsp:txXfrm>
    </dsp:sp>
    <dsp:sp modelId="{C4353F88-F62F-4503-A620-C2F89C4950A5}">
      <dsp:nvSpPr>
        <dsp:cNvPr id="0" name=""/>
        <dsp:cNvSpPr/>
      </dsp:nvSpPr>
      <dsp:spPr>
        <a:xfrm>
          <a:off x="207347" y="2715426"/>
          <a:ext cx="1068482" cy="736184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07347" y="3451611"/>
          <a:ext cx="1068482" cy="396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07347" y="3451611"/>
        <a:ext cx="1068482" cy="396406"/>
      </dsp:txXfrm>
    </dsp:sp>
    <dsp:sp modelId="{18683EFC-28F5-4403-A465-DD752C4C0D25}">
      <dsp:nvSpPr>
        <dsp:cNvPr id="0" name=""/>
        <dsp:cNvSpPr/>
      </dsp:nvSpPr>
      <dsp:spPr>
        <a:xfrm>
          <a:off x="232334" y="3954866"/>
          <a:ext cx="1068482" cy="736184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32334" y="4691050"/>
          <a:ext cx="1068482" cy="396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32334" y="4691050"/>
        <a:ext cx="1068482" cy="396406"/>
      </dsp:txXfrm>
    </dsp:sp>
    <dsp:sp modelId="{576F2626-9B55-43A9-91A7-799F0775552F}">
      <dsp:nvSpPr>
        <dsp:cNvPr id="0" name=""/>
        <dsp:cNvSpPr/>
      </dsp:nvSpPr>
      <dsp:spPr>
        <a:xfrm>
          <a:off x="232334" y="5194305"/>
          <a:ext cx="1068482" cy="79266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32334" y="5958729"/>
          <a:ext cx="1068482" cy="396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32334" y="5958729"/>
        <a:ext cx="1068482" cy="396406"/>
      </dsp:txXfrm>
    </dsp:sp>
    <dsp:sp modelId="{716EDCC0-8929-4EA8-8824-4EC228DFD720}">
      <dsp:nvSpPr>
        <dsp:cNvPr id="0" name=""/>
        <dsp:cNvSpPr/>
      </dsp:nvSpPr>
      <dsp:spPr>
        <a:xfrm>
          <a:off x="232334" y="6461984"/>
          <a:ext cx="1068482" cy="736184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32334" y="7198168"/>
          <a:ext cx="1068482" cy="396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32334" y="7198168"/>
        <a:ext cx="1068482" cy="396406"/>
      </dsp:txXfrm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06005" y="187048"/>
          <a:ext cx="1042184" cy="718064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06005" y="905113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06005" y="905113"/>
        <a:ext cx="1042184" cy="386650"/>
      </dsp:txXfrm>
    </dsp:sp>
    <dsp:sp modelId="{FEFDE0B9-CDBB-49B4-8781-549C08778A62}">
      <dsp:nvSpPr>
        <dsp:cNvPr id="0" name=""/>
        <dsp:cNvSpPr/>
      </dsp:nvSpPr>
      <dsp:spPr>
        <a:xfrm>
          <a:off x="3390150" y="12973"/>
          <a:ext cx="2290928" cy="146543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76824" y="1091955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076824" y="1091955"/>
        <a:ext cx="1042184" cy="386650"/>
      </dsp:txXfrm>
    </dsp:sp>
    <dsp:sp modelId="{AFF539D5-DC29-419D-AC44-827D44109FBF}">
      <dsp:nvSpPr>
        <dsp:cNvPr id="0" name=""/>
        <dsp:cNvSpPr/>
      </dsp:nvSpPr>
      <dsp:spPr>
        <a:xfrm>
          <a:off x="5847763" y="213354"/>
          <a:ext cx="1041944" cy="717763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47643" y="905037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847643" y="905037"/>
        <a:ext cx="1042184" cy="386650"/>
      </dsp:txXfrm>
    </dsp:sp>
    <dsp:sp modelId="{8786A4B4-63AD-4282-AB9B-978539C1D026}">
      <dsp:nvSpPr>
        <dsp:cNvPr id="0" name=""/>
        <dsp:cNvSpPr/>
      </dsp:nvSpPr>
      <dsp:spPr>
        <a:xfrm>
          <a:off x="6994089" y="185043"/>
          <a:ext cx="1052824" cy="72608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99409" y="907118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6999409" y="907118"/>
        <a:ext cx="1042184" cy="386650"/>
      </dsp:txXfrm>
    </dsp:sp>
  </dsp:spTree>
</dsp:drawing>
</file>

<file path=xl/diagrams/drawing1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08071" y="687"/>
          <a:ext cx="1067034" cy="735186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08071" y="735874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Referencias</a:t>
          </a:r>
        </a:p>
      </dsp:txBody>
      <dsp:txXfrm>
        <a:off x="208071" y="735874"/>
        <a:ext cx="1067034" cy="395869"/>
      </dsp:txXfrm>
    </dsp:sp>
    <dsp:sp modelId="{B9FFE0CF-5ADA-475C-84D7-7B6474239B54}">
      <dsp:nvSpPr>
        <dsp:cNvPr id="0" name=""/>
        <dsp:cNvSpPr/>
      </dsp:nvSpPr>
      <dsp:spPr>
        <a:xfrm>
          <a:off x="158166" y="1238447"/>
          <a:ext cx="1166844" cy="1202706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08071" y="2207393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Volteo</a:t>
          </a:r>
        </a:p>
      </dsp:txBody>
      <dsp:txXfrm>
        <a:off x="208071" y="2207393"/>
        <a:ext cx="1067034" cy="395869"/>
      </dsp:txXfrm>
    </dsp:sp>
    <dsp:sp modelId="{C4353F88-F62F-4503-A620-C2F89C4950A5}">
      <dsp:nvSpPr>
        <dsp:cNvPr id="0" name=""/>
        <dsp:cNvSpPr/>
      </dsp:nvSpPr>
      <dsp:spPr>
        <a:xfrm>
          <a:off x="208071" y="2709967"/>
          <a:ext cx="1067034" cy="735186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08071" y="3445153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Madereo</a:t>
          </a:r>
        </a:p>
      </dsp:txBody>
      <dsp:txXfrm>
        <a:off x="208071" y="3445153"/>
        <a:ext cx="1067034" cy="395869"/>
      </dsp:txXfrm>
    </dsp:sp>
    <dsp:sp modelId="{18683EFC-28F5-4403-A465-DD752C4C0D25}">
      <dsp:nvSpPr>
        <dsp:cNvPr id="0" name=""/>
        <dsp:cNvSpPr/>
      </dsp:nvSpPr>
      <dsp:spPr>
        <a:xfrm>
          <a:off x="233024" y="3947726"/>
          <a:ext cx="1067034" cy="735186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33024" y="4682913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Procesado</a:t>
          </a:r>
        </a:p>
      </dsp:txBody>
      <dsp:txXfrm>
        <a:off x="233024" y="4682913"/>
        <a:ext cx="1067034" cy="395869"/>
      </dsp:txXfrm>
    </dsp:sp>
    <dsp:sp modelId="{576F2626-9B55-43A9-91A7-799F0775552F}">
      <dsp:nvSpPr>
        <dsp:cNvPr id="0" name=""/>
        <dsp:cNvSpPr/>
      </dsp:nvSpPr>
      <dsp:spPr>
        <a:xfrm>
          <a:off x="233024" y="5185486"/>
          <a:ext cx="1067034" cy="79159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33024" y="5948874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Carguío</a:t>
          </a:r>
        </a:p>
      </dsp:txBody>
      <dsp:txXfrm>
        <a:off x="233024" y="5948874"/>
        <a:ext cx="1067034" cy="395869"/>
      </dsp:txXfrm>
    </dsp:sp>
    <dsp:sp modelId="{716EDCC0-8929-4EA8-8824-4EC228DFD720}">
      <dsp:nvSpPr>
        <dsp:cNvPr id="0" name=""/>
        <dsp:cNvSpPr/>
      </dsp:nvSpPr>
      <dsp:spPr>
        <a:xfrm>
          <a:off x="233024" y="6451448"/>
          <a:ext cx="1067034" cy="735186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33024" y="7186634"/>
          <a:ext cx="1067034" cy="39586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Transporte</a:t>
          </a:r>
        </a:p>
      </dsp:txBody>
      <dsp:txXfrm>
        <a:off x="233024" y="7186634"/>
        <a:ext cx="1067034" cy="395869"/>
      </dsp:txXfrm>
    </dsp:sp>
  </dsp:spTree>
</dsp:drawing>
</file>

<file path=xl/diagrams/drawing1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12807" y="186924"/>
          <a:ext cx="1042418" cy="71822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12807" y="905150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12807" y="905150"/>
        <a:ext cx="1042418" cy="386737"/>
      </dsp:txXfrm>
    </dsp:sp>
    <dsp:sp modelId="{FEFDE0B9-CDBB-49B4-8781-549C08778A62}">
      <dsp:nvSpPr>
        <dsp:cNvPr id="0" name=""/>
        <dsp:cNvSpPr/>
      </dsp:nvSpPr>
      <dsp:spPr>
        <a:xfrm>
          <a:off x="3397195" y="12810"/>
          <a:ext cx="2291443" cy="146576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84024" y="1092034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084024" y="1092034"/>
        <a:ext cx="1042418" cy="386737"/>
      </dsp:txXfrm>
    </dsp:sp>
    <dsp:sp modelId="{AFF539D5-DC29-419D-AC44-827D44109FBF}">
      <dsp:nvSpPr>
        <dsp:cNvPr id="0" name=""/>
        <dsp:cNvSpPr/>
      </dsp:nvSpPr>
      <dsp:spPr>
        <a:xfrm>
          <a:off x="5855360" y="213236"/>
          <a:ext cx="1042178" cy="71792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5241" y="905075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855241" y="905075"/>
        <a:ext cx="1042418" cy="386737"/>
      </dsp:txXfrm>
    </dsp:sp>
    <dsp:sp modelId="{8786A4B4-63AD-4282-AB9B-978539C1D026}">
      <dsp:nvSpPr>
        <dsp:cNvPr id="0" name=""/>
        <dsp:cNvSpPr/>
      </dsp:nvSpPr>
      <dsp:spPr>
        <a:xfrm>
          <a:off x="7001944" y="184918"/>
          <a:ext cx="1053061" cy="72624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07266" y="907156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007266" y="907156"/>
        <a:ext cx="1042418" cy="386737"/>
      </dsp:txXfrm>
    </dsp:sp>
  </dsp:spTree>
</dsp:drawing>
</file>

<file path=xl/diagrams/drawing1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93488" y="187293"/>
          <a:ext cx="1031108" cy="71043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93488" y="897727"/>
          <a:ext cx="1031108" cy="3825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93488" y="897727"/>
        <a:ext cx="1031108" cy="382541"/>
      </dsp:txXfrm>
    </dsp:sp>
    <dsp:sp modelId="{FEFDE0B9-CDBB-49B4-8781-549C08778A62}">
      <dsp:nvSpPr>
        <dsp:cNvPr id="0" name=""/>
        <dsp:cNvSpPr/>
      </dsp:nvSpPr>
      <dsp:spPr>
        <a:xfrm>
          <a:off x="3468689" y="200717"/>
          <a:ext cx="1025952" cy="70726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27751" y="896935"/>
          <a:ext cx="1031108" cy="3825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27751" y="896935"/>
        <a:ext cx="1031108" cy="382541"/>
      </dsp:txXfrm>
    </dsp:sp>
    <dsp:sp modelId="{AFF539D5-DC29-419D-AC44-827D44109FBF}">
      <dsp:nvSpPr>
        <dsp:cNvPr id="0" name=""/>
        <dsp:cNvSpPr/>
      </dsp:nvSpPr>
      <dsp:spPr>
        <a:xfrm>
          <a:off x="4662013" y="10036"/>
          <a:ext cx="2284059" cy="1457525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88489" y="1084500"/>
          <a:ext cx="1031108" cy="3825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88489" y="1084500"/>
        <a:ext cx="1031108" cy="382541"/>
      </dsp:txXfrm>
    </dsp:sp>
    <dsp:sp modelId="{8786A4B4-63AD-4282-AB9B-978539C1D026}">
      <dsp:nvSpPr>
        <dsp:cNvPr id="0" name=""/>
        <dsp:cNvSpPr/>
      </dsp:nvSpPr>
      <dsp:spPr>
        <a:xfrm>
          <a:off x="7049227" y="185309"/>
          <a:ext cx="1041635" cy="71836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54491" y="899711"/>
          <a:ext cx="1031108" cy="3825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54491" y="899711"/>
        <a:ext cx="1031108" cy="382541"/>
      </dsp:txXfrm>
    </dsp:sp>
  </dsp:spTree>
</dsp:drawing>
</file>

<file path=xl/diagrams/drawing1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72337" y="386"/>
          <a:ext cx="910562" cy="627377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72337" y="627763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72337" y="627763"/>
        <a:ext cx="910562" cy="337818"/>
      </dsp:txXfrm>
    </dsp:sp>
    <dsp:sp modelId="{B9FFE0CF-5ADA-475C-84D7-7B6474239B54}">
      <dsp:nvSpPr>
        <dsp:cNvPr id="0" name=""/>
        <dsp:cNvSpPr/>
      </dsp:nvSpPr>
      <dsp:spPr>
        <a:xfrm>
          <a:off x="229750" y="1056638"/>
          <a:ext cx="995736" cy="1026339"/>
        </a:xfrm>
        <a:prstGeom prst="roundRect">
          <a:avLst/>
        </a:prstGeom>
        <a:blipFill dpi="0" rotWithShape="1">
          <a:blip xmlns:r="http://schemas.openxmlformats.org/officeDocument/2006/relationships" r:embed="rId1">
            <a:grayscl/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72337" y="1883496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72337" y="1883496"/>
        <a:ext cx="910562" cy="337818"/>
      </dsp:txXfrm>
    </dsp:sp>
    <dsp:sp modelId="{C4353F88-F62F-4503-A620-C2F89C4950A5}">
      <dsp:nvSpPr>
        <dsp:cNvPr id="0" name=""/>
        <dsp:cNvSpPr/>
      </dsp:nvSpPr>
      <dsp:spPr>
        <a:xfrm>
          <a:off x="272337" y="2312371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72337" y="2939749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72337" y="2939749"/>
        <a:ext cx="910562" cy="337818"/>
      </dsp:txXfrm>
    </dsp:sp>
    <dsp:sp modelId="{18683EFC-28F5-4403-A465-DD752C4C0D25}">
      <dsp:nvSpPr>
        <dsp:cNvPr id="0" name=""/>
        <dsp:cNvSpPr/>
      </dsp:nvSpPr>
      <dsp:spPr>
        <a:xfrm>
          <a:off x="293631" y="3368624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93631" y="3996001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293631" y="3996001"/>
        <a:ext cx="910562" cy="337818"/>
      </dsp:txXfrm>
    </dsp:sp>
    <dsp:sp modelId="{576F2626-9B55-43A9-91A7-799F0775552F}">
      <dsp:nvSpPr>
        <dsp:cNvPr id="0" name=""/>
        <dsp:cNvSpPr/>
      </dsp:nvSpPr>
      <dsp:spPr>
        <a:xfrm>
          <a:off x="293631" y="4424876"/>
          <a:ext cx="910562" cy="675509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93631" y="5076319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293631" y="5076319"/>
        <a:ext cx="910562" cy="337818"/>
      </dsp:txXfrm>
    </dsp:sp>
    <dsp:sp modelId="{716EDCC0-8929-4EA8-8824-4EC228DFD720}">
      <dsp:nvSpPr>
        <dsp:cNvPr id="0" name=""/>
        <dsp:cNvSpPr/>
      </dsp:nvSpPr>
      <dsp:spPr>
        <a:xfrm>
          <a:off x="293631" y="5505194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93631" y="6132572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293631" y="6132572"/>
        <a:ext cx="910562" cy="337818"/>
      </dsp:txXfrm>
    </dsp:sp>
    <dsp:sp modelId="{40986F88-38E4-4D11-8BA0-D5AE6E32CCA8}">
      <dsp:nvSpPr>
        <dsp:cNvPr id="0" name=""/>
        <dsp:cNvSpPr/>
      </dsp:nvSpPr>
      <dsp:spPr>
        <a:xfrm>
          <a:off x="293631" y="6561446"/>
          <a:ext cx="910562" cy="60760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293631" y="7178940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293631" y="7178940"/>
        <a:ext cx="910562" cy="337818"/>
      </dsp:txXfrm>
    </dsp:sp>
  </dsp:spTree>
</dsp:drawing>
</file>

<file path=xl/diagrams/drawing1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23465" y="188482"/>
          <a:ext cx="1036993" cy="714488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23465" y="902970"/>
          <a:ext cx="1036993" cy="3847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23465" y="902970"/>
        <a:ext cx="1036993" cy="384724"/>
      </dsp:txXfrm>
    </dsp:sp>
    <dsp:sp modelId="{FEFDE0B9-CDBB-49B4-8781-549C08778A62}">
      <dsp:nvSpPr>
        <dsp:cNvPr id="0" name=""/>
        <dsp:cNvSpPr/>
      </dsp:nvSpPr>
      <dsp:spPr>
        <a:xfrm>
          <a:off x="3404803" y="201982"/>
          <a:ext cx="1031808" cy="711301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64202" y="902174"/>
          <a:ext cx="1036993" cy="3847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464202" y="902174"/>
        <a:ext cx="1036993" cy="384724"/>
      </dsp:txXfrm>
    </dsp:sp>
    <dsp:sp modelId="{AFF539D5-DC29-419D-AC44-827D44109FBF}">
      <dsp:nvSpPr>
        <dsp:cNvPr id="0" name=""/>
        <dsp:cNvSpPr/>
      </dsp:nvSpPr>
      <dsp:spPr>
        <a:xfrm>
          <a:off x="4604938" y="10333"/>
          <a:ext cx="2297095" cy="1465844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34989" y="1090809"/>
          <a:ext cx="1036993" cy="3847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34989" y="1090809"/>
        <a:ext cx="1036993" cy="384724"/>
      </dsp:txXfrm>
    </dsp:sp>
    <dsp:sp modelId="{8786A4B4-63AD-4282-AB9B-978539C1D026}">
      <dsp:nvSpPr>
        <dsp:cNvPr id="0" name=""/>
        <dsp:cNvSpPr/>
      </dsp:nvSpPr>
      <dsp:spPr>
        <a:xfrm>
          <a:off x="7005777" y="186487"/>
          <a:ext cx="1047581" cy="72246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11070" y="904966"/>
          <a:ext cx="1036993" cy="3847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11070" y="904966"/>
        <a:ext cx="1036993" cy="384724"/>
      </dsp:txXfrm>
    </dsp:sp>
  </dsp:spTree>
</dsp:drawing>
</file>

<file path=xl/diagrams/drawing1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55409" y="3435"/>
          <a:ext cx="905683" cy="624015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55409" y="627451"/>
          <a:ext cx="905683" cy="33600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55409" y="627451"/>
        <a:ext cx="905683" cy="336008"/>
      </dsp:txXfrm>
    </dsp:sp>
    <dsp:sp modelId="{B9FFE0CF-5ADA-475C-84D7-7B6474239B54}">
      <dsp:nvSpPr>
        <dsp:cNvPr id="0" name=""/>
        <dsp:cNvSpPr/>
      </dsp:nvSpPr>
      <dsp:spPr>
        <a:xfrm>
          <a:off x="213050" y="1054028"/>
          <a:ext cx="990401" cy="1020840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55409" y="1876456"/>
          <a:ext cx="905683" cy="33600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55409" y="1876456"/>
        <a:ext cx="905683" cy="336008"/>
      </dsp:txXfrm>
    </dsp:sp>
    <dsp:sp modelId="{C4353F88-F62F-4503-A620-C2F89C4950A5}">
      <dsp:nvSpPr>
        <dsp:cNvPr id="0" name=""/>
        <dsp:cNvSpPr/>
      </dsp:nvSpPr>
      <dsp:spPr>
        <a:xfrm>
          <a:off x="255409" y="2303033"/>
          <a:ext cx="905683" cy="624015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55409" y="2927049"/>
          <a:ext cx="905683" cy="33600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55409" y="2927049"/>
        <a:ext cx="905683" cy="336008"/>
      </dsp:txXfrm>
    </dsp:sp>
    <dsp:sp modelId="{18683EFC-28F5-4403-A465-DD752C4C0D25}">
      <dsp:nvSpPr>
        <dsp:cNvPr id="0" name=""/>
        <dsp:cNvSpPr/>
      </dsp:nvSpPr>
      <dsp:spPr>
        <a:xfrm>
          <a:off x="276589" y="3353625"/>
          <a:ext cx="905683" cy="62401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76589" y="3977641"/>
          <a:ext cx="905683" cy="33600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276589" y="3977641"/>
        <a:ext cx="905683" cy="336008"/>
      </dsp:txXfrm>
    </dsp:sp>
    <dsp:sp modelId="{576F2626-9B55-43A9-91A7-799F0775552F}">
      <dsp:nvSpPr>
        <dsp:cNvPr id="0" name=""/>
        <dsp:cNvSpPr/>
      </dsp:nvSpPr>
      <dsp:spPr>
        <a:xfrm>
          <a:off x="276589" y="4404218"/>
          <a:ext cx="905683" cy="671890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76589" y="5052171"/>
          <a:ext cx="905683" cy="33600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276589" y="5052171"/>
        <a:ext cx="905683" cy="336008"/>
      </dsp:txXfrm>
    </dsp:sp>
    <dsp:sp modelId="{716EDCC0-8929-4EA8-8824-4EC228DFD720}">
      <dsp:nvSpPr>
        <dsp:cNvPr id="0" name=""/>
        <dsp:cNvSpPr/>
      </dsp:nvSpPr>
      <dsp:spPr>
        <a:xfrm>
          <a:off x="276589" y="5478748"/>
          <a:ext cx="905683" cy="624015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76589" y="6102764"/>
          <a:ext cx="905683" cy="33600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276589" y="6102764"/>
        <a:ext cx="905683" cy="336008"/>
      </dsp:txXfrm>
    </dsp:sp>
    <dsp:sp modelId="{40986F88-38E4-4D11-8BA0-D5AE6E32CCA8}">
      <dsp:nvSpPr>
        <dsp:cNvPr id="0" name=""/>
        <dsp:cNvSpPr/>
      </dsp:nvSpPr>
      <dsp:spPr>
        <a:xfrm>
          <a:off x="276589" y="6529341"/>
          <a:ext cx="905683" cy="60435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276589" y="7143525"/>
          <a:ext cx="905683" cy="33600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276589" y="7143525"/>
        <a:ext cx="905683" cy="336008"/>
      </dsp:txXfrm>
    </dsp:sp>
  </dsp:spTree>
</dsp:drawing>
</file>

<file path=xl/diagrams/drawing1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3957" y="187271"/>
          <a:ext cx="1030759" cy="71019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3957" y="897464"/>
          <a:ext cx="1030759" cy="38241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53957" y="897464"/>
        <a:ext cx="1030759" cy="382411"/>
      </dsp:txXfrm>
    </dsp:sp>
    <dsp:sp modelId="{FEFDE0B9-CDBB-49B4-8781-549C08778A62}">
      <dsp:nvSpPr>
        <dsp:cNvPr id="0" name=""/>
        <dsp:cNvSpPr/>
      </dsp:nvSpPr>
      <dsp:spPr>
        <a:xfrm>
          <a:off x="3428794" y="200690"/>
          <a:ext cx="1025605" cy="70702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87836" y="896672"/>
          <a:ext cx="1030759" cy="38241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487836" y="896672"/>
        <a:ext cx="1030759" cy="382411"/>
      </dsp:txXfrm>
    </dsp:sp>
    <dsp:sp modelId="{AFF539D5-DC29-419D-AC44-827D44109FBF}">
      <dsp:nvSpPr>
        <dsp:cNvPr id="0" name=""/>
        <dsp:cNvSpPr/>
      </dsp:nvSpPr>
      <dsp:spPr>
        <a:xfrm>
          <a:off x="4621715" y="10115"/>
          <a:ext cx="2283287" cy="1457032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47979" y="1084174"/>
          <a:ext cx="1030759" cy="38241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47979" y="1084174"/>
        <a:ext cx="1030759" cy="382411"/>
      </dsp:txXfrm>
    </dsp:sp>
    <dsp:sp modelId="{8786A4B4-63AD-4282-AB9B-978539C1D026}">
      <dsp:nvSpPr>
        <dsp:cNvPr id="0" name=""/>
        <dsp:cNvSpPr/>
      </dsp:nvSpPr>
      <dsp:spPr>
        <a:xfrm>
          <a:off x="7008121" y="185288"/>
          <a:ext cx="1041283" cy="718126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13383" y="899447"/>
          <a:ext cx="1030759" cy="38241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13383" y="899447"/>
        <a:ext cx="1030759" cy="382411"/>
      </dsp:txXfrm>
    </dsp:sp>
  </dsp:spTree>
</dsp:drawing>
</file>

<file path=xl/diagrams/drawing1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90596" y="2510"/>
          <a:ext cx="901984" cy="621467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90596" y="623978"/>
          <a:ext cx="901984" cy="3346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90596" y="623978"/>
        <a:ext cx="901984" cy="334636"/>
      </dsp:txXfrm>
    </dsp:sp>
    <dsp:sp modelId="{B9FFE0CF-5ADA-475C-84D7-7B6474239B54}">
      <dsp:nvSpPr>
        <dsp:cNvPr id="0" name=""/>
        <dsp:cNvSpPr/>
      </dsp:nvSpPr>
      <dsp:spPr>
        <a:xfrm>
          <a:off x="248411" y="1048812"/>
          <a:ext cx="986355" cy="1016670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90596" y="1867881"/>
          <a:ext cx="901984" cy="3346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90596" y="1867881"/>
        <a:ext cx="901984" cy="334636"/>
      </dsp:txXfrm>
    </dsp:sp>
    <dsp:sp modelId="{C4353F88-F62F-4503-A620-C2F89C4950A5}">
      <dsp:nvSpPr>
        <dsp:cNvPr id="0" name=""/>
        <dsp:cNvSpPr/>
      </dsp:nvSpPr>
      <dsp:spPr>
        <a:xfrm>
          <a:off x="290596" y="2292715"/>
          <a:ext cx="901984" cy="621467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90596" y="2914183"/>
          <a:ext cx="901984" cy="3346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90596" y="2914183"/>
        <a:ext cx="901984" cy="334636"/>
      </dsp:txXfrm>
    </dsp:sp>
    <dsp:sp modelId="{18683EFC-28F5-4403-A465-DD752C4C0D25}">
      <dsp:nvSpPr>
        <dsp:cNvPr id="0" name=""/>
        <dsp:cNvSpPr/>
      </dsp:nvSpPr>
      <dsp:spPr>
        <a:xfrm>
          <a:off x="311689" y="3339017"/>
          <a:ext cx="901984" cy="62146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11689" y="3960484"/>
          <a:ext cx="901984" cy="3346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11689" y="3960484"/>
        <a:ext cx="901984" cy="334636"/>
      </dsp:txXfrm>
    </dsp:sp>
    <dsp:sp modelId="{576F2626-9B55-43A9-91A7-799F0775552F}">
      <dsp:nvSpPr>
        <dsp:cNvPr id="0" name=""/>
        <dsp:cNvSpPr/>
      </dsp:nvSpPr>
      <dsp:spPr>
        <a:xfrm>
          <a:off x="311689" y="4385319"/>
          <a:ext cx="901984" cy="669146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11689" y="5030625"/>
          <a:ext cx="901984" cy="3346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11689" y="5030625"/>
        <a:ext cx="901984" cy="334636"/>
      </dsp:txXfrm>
    </dsp:sp>
    <dsp:sp modelId="{716EDCC0-8929-4EA8-8824-4EC228DFD720}">
      <dsp:nvSpPr>
        <dsp:cNvPr id="0" name=""/>
        <dsp:cNvSpPr/>
      </dsp:nvSpPr>
      <dsp:spPr>
        <a:xfrm>
          <a:off x="311689" y="5455460"/>
          <a:ext cx="901984" cy="62146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11689" y="6076927"/>
          <a:ext cx="901984" cy="3346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11689" y="6076927"/>
        <a:ext cx="901984" cy="334636"/>
      </dsp:txXfrm>
    </dsp:sp>
    <dsp:sp modelId="{40986F88-38E4-4D11-8BA0-D5AE6E32CCA8}">
      <dsp:nvSpPr>
        <dsp:cNvPr id="0" name=""/>
        <dsp:cNvSpPr/>
      </dsp:nvSpPr>
      <dsp:spPr>
        <a:xfrm>
          <a:off x="311689" y="6501762"/>
          <a:ext cx="901984" cy="60188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11689" y="7113437"/>
          <a:ext cx="901984" cy="33463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11689" y="7113437"/>
        <a:ext cx="901984" cy="334636"/>
      </dsp:txXfrm>
    </dsp:sp>
  </dsp:spTree>
</dsp:drawing>
</file>

<file path=xl/diagrams/drawing1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20127" y="184112"/>
          <a:ext cx="1011918" cy="697211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20127" y="881324"/>
          <a:ext cx="1011918" cy="3754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20127" y="881324"/>
        <a:ext cx="1011918" cy="375421"/>
      </dsp:txXfrm>
    </dsp:sp>
    <dsp:sp modelId="{FEFDE0B9-CDBB-49B4-8781-549C08778A62}">
      <dsp:nvSpPr>
        <dsp:cNvPr id="0" name=""/>
        <dsp:cNvSpPr/>
      </dsp:nvSpPr>
      <dsp:spPr>
        <a:xfrm>
          <a:off x="3475317" y="197286"/>
          <a:ext cx="1006858" cy="694102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33280" y="880546"/>
          <a:ext cx="1011918" cy="3754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33280" y="880546"/>
        <a:ext cx="1011918" cy="375421"/>
      </dsp:txXfrm>
    </dsp:sp>
    <dsp:sp modelId="{AFF539D5-DC29-419D-AC44-827D44109FBF}">
      <dsp:nvSpPr>
        <dsp:cNvPr id="0" name=""/>
        <dsp:cNvSpPr/>
      </dsp:nvSpPr>
      <dsp:spPr>
        <a:xfrm>
          <a:off x="4646433" y="10458"/>
          <a:ext cx="2241551" cy="1430399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61249" y="1064621"/>
          <a:ext cx="1011918" cy="3754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61249" y="1064621"/>
        <a:ext cx="1011918" cy="375421"/>
      </dsp:txXfrm>
    </dsp:sp>
    <dsp:sp modelId="{8786A4B4-63AD-4282-AB9B-978539C1D026}">
      <dsp:nvSpPr>
        <dsp:cNvPr id="0" name=""/>
        <dsp:cNvSpPr/>
      </dsp:nvSpPr>
      <dsp:spPr>
        <a:xfrm>
          <a:off x="6989219" y="182165"/>
          <a:ext cx="1022250" cy="70499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94384" y="883271"/>
          <a:ext cx="1011918" cy="37542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94384" y="883271"/>
        <a:ext cx="1011918" cy="375421"/>
      </dsp:txXfrm>
    </dsp:sp>
  </dsp:spTree>
</dsp:drawing>
</file>

<file path=xl/diagrams/drawing2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76842" y="3015"/>
          <a:ext cx="929492" cy="640420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76842" y="643435"/>
          <a:ext cx="929492" cy="3448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76842" y="643435"/>
        <a:ext cx="929492" cy="344841"/>
      </dsp:txXfrm>
    </dsp:sp>
    <dsp:sp modelId="{B9FFE0CF-5ADA-475C-84D7-7B6474239B54}">
      <dsp:nvSpPr>
        <dsp:cNvPr id="0" name=""/>
        <dsp:cNvSpPr/>
      </dsp:nvSpPr>
      <dsp:spPr>
        <a:xfrm>
          <a:off x="233370" y="1081226"/>
          <a:ext cx="1016437" cy="104767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76842" y="1925274"/>
          <a:ext cx="929492" cy="3448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76842" y="1925274"/>
        <a:ext cx="929492" cy="344841"/>
      </dsp:txXfrm>
    </dsp:sp>
    <dsp:sp modelId="{C4353F88-F62F-4503-A620-C2F89C4950A5}">
      <dsp:nvSpPr>
        <dsp:cNvPr id="0" name=""/>
        <dsp:cNvSpPr/>
      </dsp:nvSpPr>
      <dsp:spPr>
        <a:xfrm>
          <a:off x="276842" y="2363065"/>
          <a:ext cx="929492" cy="640420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76842" y="3003486"/>
          <a:ext cx="929492" cy="3448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76842" y="3003486"/>
        <a:ext cx="929492" cy="344841"/>
      </dsp:txXfrm>
    </dsp:sp>
    <dsp:sp modelId="{18683EFC-28F5-4403-A465-DD752C4C0D25}">
      <dsp:nvSpPr>
        <dsp:cNvPr id="0" name=""/>
        <dsp:cNvSpPr/>
      </dsp:nvSpPr>
      <dsp:spPr>
        <a:xfrm>
          <a:off x="298578" y="3441277"/>
          <a:ext cx="929492" cy="64042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98578" y="4081697"/>
          <a:ext cx="929492" cy="3448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298578" y="4081697"/>
        <a:ext cx="929492" cy="344841"/>
      </dsp:txXfrm>
    </dsp:sp>
    <dsp:sp modelId="{576F2626-9B55-43A9-91A7-799F0775552F}">
      <dsp:nvSpPr>
        <dsp:cNvPr id="0" name=""/>
        <dsp:cNvSpPr/>
      </dsp:nvSpPr>
      <dsp:spPr>
        <a:xfrm>
          <a:off x="298578" y="4519488"/>
          <a:ext cx="929492" cy="689553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98578" y="5184475"/>
          <a:ext cx="929492" cy="3448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298578" y="5184475"/>
        <a:ext cx="929492" cy="344841"/>
      </dsp:txXfrm>
    </dsp:sp>
    <dsp:sp modelId="{716EDCC0-8929-4EA8-8824-4EC228DFD720}">
      <dsp:nvSpPr>
        <dsp:cNvPr id="0" name=""/>
        <dsp:cNvSpPr/>
      </dsp:nvSpPr>
      <dsp:spPr>
        <a:xfrm>
          <a:off x="298578" y="5622266"/>
          <a:ext cx="929492" cy="64042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98578" y="6262686"/>
          <a:ext cx="929492" cy="3448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298578" y="6262686"/>
        <a:ext cx="929492" cy="344841"/>
      </dsp:txXfrm>
    </dsp:sp>
    <dsp:sp modelId="{40986F88-38E4-4D11-8BA0-D5AE6E32CCA8}">
      <dsp:nvSpPr>
        <dsp:cNvPr id="0" name=""/>
        <dsp:cNvSpPr/>
      </dsp:nvSpPr>
      <dsp:spPr>
        <a:xfrm>
          <a:off x="298578" y="6700477"/>
          <a:ext cx="929492" cy="62024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298578" y="7330808"/>
          <a:ext cx="929492" cy="34484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298578" y="7330808"/>
        <a:ext cx="929492" cy="344841"/>
      </dsp:txXfrm>
    </dsp:sp>
  </dsp:spTree>
</dsp:drawing>
</file>

<file path=xl/diagrams/drawing2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3357" y="857"/>
          <a:ext cx="916462" cy="631442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3357" y="632300"/>
          <a:ext cx="916462" cy="3400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3357" y="632300"/>
        <a:ext cx="916462" cy="340007"/>
      </dsp:txXfrm>
    </dsp:sp>
    <dsp:sp modelId="{B9FFE0CF-5ADA-475C-84D7-7B6474239B54}">
      <dsp:nvSpPr>
        <dsp:cNvPr id="0" name=""/>
        <dsp:cNvSpPr/>
      </dsp:nvSpPr>
      <dsp:spPr>
        <a:xfrm>
          <a:off x="240494" y="1063953"/>
          <a:ext cx="1002188" cy="1032989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3357" y="1896169"/>
          <a:ext cx="916462" cy="3400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3357" y="1896169"/>
        <a:ext cx="916462" cy="340007"/>
      </dsp:txXfrm>
    </dsp:sp>
    <dsp:sp modelId="{C4353F88-F62F-4503-A620-C2F89C4950A5}">
      <dsp:nvSpPr>
        <dsp:cNvPr id="0" name=""/>
        <dsp:cNvSpPr/>
      </dsp:nvSpPr>
      <dsp:spPr>
        <a:xfrm>
          <a:off x="283357" y="2327823"/>
          <a:ext cx="916462" cy="631442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3357" y="2959266"/>
          <a:ext cx="916462" cy="3400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3357" y="2959266"/>
        <a:ext cx="916462" cy="340007"/>
      </dsp:txXfrm>
    </dsp:sp>
    <dsp:sp modelId="{18683EFC-28F5-4403-A465-DD752C4C0D25}">
      <dsp:nvSpPr>
        <dsp:cNvPr id="0" name=""/>
        <dsp:cNvSpPr/>
      </dsp:nvSpPr>
      <dsp:spPr>
        <a:xfrm>
          <a:off x="304789" y="3390919"/>
          <a:ext cx="916462" cy="631442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4789" y="4022362"/>
          <a:ext cx="916462" cy="3400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4789" y="4022362"/>
        <a:ext cx="916462" cy="340007"/>
      </dsp:txXfrm>
    </dsp:sp>
    <dsp:sp modelId="{576F2626-9B55-43A9-91A7-799F0775552F}">
      <dsp:nvSpPr>
        <dsp:cNvPr id="0" name=""/>
        <dsp:cNvSpPr/>
      </dsp:nvSpPr>
      <dsp:spPr>
        <a:xfrm>
          <a:off x="304789" y="4454016"/>
          <a:ext cx="916462" cy="679886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4789" y="5109680"/>
          <a:ext cx="916462" cy="3400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4789" y="5109680"/>
        <a:ext cx="916462" cy="340007"/>
      </dsp:txXfrm>
    </dsp:sp>
    <dsp:sp modelId="{716EDCC0-8929-4EA8-8824-4EC228DFD720}">
      <dsp:nvSpPr>
        <dsp:cNvPr id="0" name=""/>
        <dsp:cNvSpPr/>
      </dsp:nvSpPr>
      <dsp:spPr>
        <a:xfrm>
          <a:off x="304789" y="5541334"/>
          <a:ext cx="916462" cy="631442"/>
        </a:xfrm>
        <a:prstGeom prst="roundRect">
          <a:avLst/>
        </a:prstGeom>
        <a:blipFill dpi="0"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4789" y="6172776"/>
          <a:ext cx="916462" cy="3400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4789" y="6172776"/>
        <a:ext cx="916462" cy="340007"/>
      </dsp:txXfrm>
    </dsp:sp>
    <dsp:sp modelId="{40986F88-38E4-4D11-8BA0-D5AE6E32CCA8}">
      <dsp:nvSpPr>
        <dsp:cNvPr id="0" name=""/>
        <dsp:cNvSpPr/>
      </dsp:nvSpPr>
      <dsp:spPr>
        <a:xfrm>
          <a:off x="304789" y="6604430"/>
          <a:ext cx="916462" cy="61154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4789" y="7225924"/>
          <a:ext cx="916462" cy="34000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4789" y="7225924"/>
        <a:ext cx="916462" cy="340007"/>
      </dsp:txXfrm>
    </dsp:sp>
  </dsp:spTree>
</dsp:drawing>
</file>

<file path=xl/diagrams/drawing2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72988" y="184901"/>
          <a:ext cx="1019502" cy="70243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72988" y="887338"/>
          <a:ext cx="1019502" cy="3782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72988" y="887338"/>
        <a:ext cx="1019502" cy="378235"/>
      </dsp:txXfrm>
    </dsp:sp>
    <dsp:sp modelId="{FEFDE0B9-CDBB-49B4-8781-549C08778A62}">
      <dsp:nvSpPr>
        <dsp:cNvPr id="0" name=""/>
        <dsp:cNvSpPr/>
      </dsp:nvSpPr>
      <dsp:spPr>
        <a:xfrm>
          <a:off x="3436087" y="198174"/>
          <a:ext cx="1014405" cy="699304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94484" y="886555"/>
          <a:ext cx="1019502" cy="3782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494484" y="886555"/>
        <a:ext cx="1019502" cy="378235"/>
      </dsp:txXfrm>
    </dsp:sp>
    <dsp:sp modelId="{AFF539D5-DC29-419D-AC44-827D44109FBF}">
      <dsp:nvSpPr>
        <dsp:cNvPr id="0" name=""/>
        <dsp:cNvSpPr/>
      </dsp:nvSpPr>
      <dsp:spPr>
        <a:xfrm>
          <a:off x="4615980" y="9355"/>
          <a:ext cx="2258351" cy="1441120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35405" y="1072009"/>
          <a:ext cx="1019502" cy="3782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35405" y="1072009"/>
        <a:ext cx="1019502" cy="378235"/>
      </dsp:txXfrm>
    </dsp:sp>
    <dsp:sp modelId="{8786A4B4-63AD-4282-AB9B-978539C1D026}">
      <dsp:nvSpPr>
        <dsp:cNvPr id="0" name=""/>
        <dsp:cNvSpPr/>
      </dsp:nvSpPr>
      <dsp:spPr>
        <a:xfrm>
          <a:off x="6976325" y="182939"/>
          <a:ext cx="1029912" cy="71028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81530" y="889300"/>
          <a:ext cx="1019502" cy="3782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81530" y="889300"/>
        <a:ext cx="1019502" cy="378235"/>
      </dsp:txXfrm>
    </dsp:sp>
  </dsp:spTree>
</dsp:drawing>
</file>

<file path=xl/diagrams/drawing2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78290" y="6018"/>
          <a:ext cx="926596" cy="638425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78290" y="644443"/>
          <a:ext cx="926596" cy="3437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78290" y="644443"/>
        <a:ext cx="926596" cy="343767"/>
      </dsp:txXfrm>
    </dsp:sp>
    <dsp:sp modelId="{B9FFE0CF-5ADA-475C-84D7-7B6474239B54}">
      <dsp:nvSpPr>
        <dsp:cNvPr id="0" name=""/>
        <dsp:cNvSpPr/>
      </dsp:nvSpPr>
      <dsp:spPr>
        <a:xfrm>
          <a:off x="234953" y="1080871"/>
          <a:ext cx="1013270" cy="104441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78290" y="1922290"/>
          <a:ext cx="926596" cy="3437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78290" y="1922290"/>
        <a:ext cx="926596" cy="343767"/>
      </dsp:txXfrm>
    </dsp:sp>
    <dsp:sp modelId="{C4353F88-F62F-4503-A620-C2F89C4950A5}">
      <dsp:nvSpPr>
        <dsp:cNvPr id="0" name=""/>
        <dsp:cNvSpPr/>
      </dsp:nvSpPr>
      <dsp:spPr>
        <a:xfrm>
          <a:off x="278290" y="2358717"/>
          <a:ext cx="926596" cy="638425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78290" y="2997142"/>
          <a:ext cx="926596" cy="3437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78290" y="2997142"/>
        <a:ext cx="926596" cy="343767"/>
      </dsp:txXfrm>
    </dsp:sp>
    <dsp:sp modelId="{18683EFC-28F5-4403-A465-DD752C4C0D25}">
      <dsp:nvSpPr>
        <dsp:cNvPr id="0" name=""/>
        <dsp:cNvSpPr/>
      </dsp:nvSpPr>
      <dsp:spPr>
        <a:xfrm>
          <a:off x="299959" y="3433569"/>
          <a:ext cx="926596" cy="63842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99959" y="4071994"/>
          <a:ext cx="926596" cy="3437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299959" y="4071994"/>
        <a:ext cx="926596" cy="343767"/>
      </dsp:txXfrm>
    </dsp:sp>
    <dsp:sp modelId="{576F2626-9B55-43A9-91A7-799F0775552F}">
      <dsp:nvSpPr>
        <dsp:cNvPr id="0" name=""/>
        <dsp:cNvSpPr/>
      </dsp:nvSpPr>
      <dsp:spPr>
        <a:xfrm>
          <a:off x="299959" y="4508422"/>
          <a:ext cx="926596" cy="687405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99959" y="5171337"/>
          <a:ext cx="926596" cy="3437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299959" y="5171337"/>
        <a:ext cx="926596" cy="343767"/>
      </dsp:txXfrm>
    </dsp:sp>
    <dsp:sp modelId="{716EDCC0-8929-4EA8-8824-4EC228DFD720}">
      <dsp:nvSpPr>
        <dsp:cNvPr id="0" name=""/>
        <dsp:cNvSpPr/>
      </dsp:nvSpPr>
      <dsp:spPr>
        <a:xfrm>
          <a:off x="299959" y="5607764"/>
          <a:ext cx="926596" cy="638425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99959" y="6246189"/>
          <a:ext cx="926596" cy="3437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299959" y="6246189"/>
        <a:ext cx="926596" cy="343767"/>
      </dsp:txXfrm>
    </dsp:sp>
    <dsp:sp modelId="{40986F88-38E4-4D11-8BA0-D5AE6E32CCA8}">
      <dsp:nvSpPr>
        <dsp:cNvPr id="0" name=""/>
        <dsp:cNvSpPr/>
      </dsp:nvSpPr>
      <dsp:spPr>
        <a:xfrm>
          <a:off x="299959" y="6682616"/>
          <a:ext cx="926596" cy="618308"/>
        </a:xfrm>
        <a:prstGeom prst="roundRect">
          <a:avLst/>
        </a:prstGeom>
        <a:blipFill>
          <a:blip xmlns:r="http://schemas.openxmlformats.org/officeDocument/2006/relationships" r:embed="rId6"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5000" b="-25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299959" y="7310983"/>
          <a:ext cx="926596" cy="3437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299959" y="7310983"/>
        <a:ext cx="926596" cy="343767"/>
      </dsp:txXfrm>
    </dsp:sp>
  </dsp:spTree>
</dsp:drawing>
</file>

<file path=xl/diagrams/drawing2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23647" y="191575"/>
          <a:ext cx="1057078" cy="72832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23647" y="919902"/>
          <a:ext cx="1057078" cy="39217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23647" y="919902"/>
        <a:ext cx="1057078" cy="392176"/>
      </dsp:txXfrm>
    </dsp:sp>
    <dsp:sp modelId="{FEFDE0B9-CDBB-49B4-8781-549C08778A62}">
      <dsp:nvSpPr>
        <dsp:cNvPr id="0" name=""/>
        <dsp:cNvSpPr/>
      </dsp:nvSpPr>
      <dsp:spPr>
        <a:xfrm>
          <a:off x="3425929" y="205336"/>
          <a:ext cx="1051793" cy="725078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86478" y="919090"/>
          <a:ext cx="1057078" cy="39217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486478" y="919090"/>
        <a:ext cx="1057078" cy="392176"/>
      </dsp:txXfrm>
    </dsp:sp>
    <dsp:sp modelId="{AFF539D5-DC29-419D-AC44-827D44109FBF}">
      <dsp:nvSpPr>
        <dsp:cNvPr id="0" name=""/>
        <dsp:cNvSpPr/>
      </dsp:nvSpPr>
      <dsp:spPr>
        <a:xfrm>
          <a:off x="4649310" y="9417"/>
          <a:ext cx="2341588" cy="1494236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91564" y="1111379"/>
          <a:ext cx="1057078" cy="39217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5291564" y="1111379"/>
        <a:ext cx="1057078" cy="392176"/>
      </dsp:txXfrm>
    </dsp:sp>
    <dsp:sp modelId="{8786A4B4-63AD-4282-AB9B-978539C1D026}">
      <dsp:nvSpPr>
        <dsp:cNvPr id="0" name=""/>
        <dsp:cNvSpPr/>
      </dsp:nvSpPr>
      <dsp:spPr>
        <a:xfrm>
          <a:off x="7096650" y="189541"/>
          <a:ext cx="1067871" cy="73646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02046" y="921936"/>
          <a:ext cx="1057078" cy="39217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102046" y="921936"/>
        <a:ext cx="1057078" cy="392176"/>
      </dsp:txXfrm>
    </dsp:sp>
  </dsp:spTree>
</dsp:drawing>
</file>

<file path=xl/diagrams/drawing2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7BA503-BC32-471B-A4B5-6C4C4EF1C443}">
      <dsp:nvSpPr>
        <dsp:cNvPr id="0" name=""/>
        <dsp:cNvSpPr/>
      </dsp:nvSpPr>
      <dsp:spPr>
        <a:xfrm>
          <a:off x="331" y="1340820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 w="12700" cap="flat" cmpd="sng" algn="ctr">
          <a:noFill/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75C8EB-2047-4AA6-8AFD-4B1408EF7B7F}">
      <dsp:nvSpPr>
        <dsp:cNvPr id="0" name=""/>
        <dsp:cNvSpPr/>
      </dsp:nvSpPr>
      <dsp:spPr>
        <a:xfrm>
          <a:off x="331" y="2427986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600" b="1" kern="1200"/>
            <a:t>Configuración</a:t>
          </a:r>
          <a:br>
            <a:rPr lang="es-419" sz="1600" b="1" kern="1200"/>
          </a:br>
          <a:r>
            <a:rPr lang="es-419" sz="1600" b="1" kern="1200"/>
            <a:t>Sistema</a:t>
          </a:r>
        </a:p>
      </dsp:txBody>
      <dsp:txXfrm>
        <a:off x="331" y="2427986"/>
        <a:ext cx="1577889" cy="585396"/>
      </dsp:txXfrm>
    </dsp:sp>
    <dsp:sp modelId="{D91744EB-7F5A-4A54-AD45-EB9D77334FF1}">
      <dsp:nvSpPr>
        <dsp:cNvPr id="0" name=""/>
        <dsp:cNvSpPr/>
      </dsp:nvSpPr>
      <dsp:spPr>
        <a:xfrm>
          <a:off x="331" y="3171238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2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3EE5AB-1CF8-4C43-83BC-E7A06CC64989}">
      <dsp:nvSpPr>
        <dsp:cNvPr id="0" name=""/>
        <dsp:cNvSpPr/>
      </dsp:nvSpPr>
      <dsp:spPr>
        <a:xfrm>
          <a:off x="331" y="4258403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600" kern="1200"/>
            <a:t>Comparación sistemas</a:t>
          </a:r>
        </a:p>
      </dsp:txBody>
      <dsp:txXfrm>
        <a:off x="331" y="4258403"/>
        <a:ext cx="1577889" cy="585396"/>
      </dsp:txXfrm>
    </dsp:sp>
  </dsp:spTree>
</dsp:drawing>
</file>

<file path=xl/diagrams/drawing2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3030071" y="188754"/>
          <a:ext cx="1041252" cy="71742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3030071" y="906177"/>
          <a:ext cx="1041252" cy="38630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3030071" y="906177"/>
        <a:ext cx="1041252" cy="386304"/>
      </dsp:txXfrm>
    </dsp:sp>
    <dsp:sp modelId="{FEFDE0B9-CDBB-49B4-8781-549C08778A62}">
      <dsp:nvSpPr>
        <dsp:cNvPr id="0" name=""/>
        <dsp:cNvSpPr/>
      </dsp:nvSpPr>
      <dsp:spPr>
        <a:xfrm>
          <a:off x="4115849" y="202310"/>
          <a:ext cx="1036046" cy="714223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75492" y="905377"/>
          <a:ext cx="1041252" cy="38630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4175492" y="905377"/>
        <a:ext cx="1041252" cy="386304"/>
      </dsp:txXfrm>
    </dsp:sp>
    <dsp:sp modelId="{AFF539D5-DC29-419D-AC44-827D44109FBF}">
      <dsp:nvSpPr>
        <dsp:cNvPr id="0" name=""/>
        <dsp:cNvSpPr/>
      </dsp:nvSpPr>
      <dsp:spPr>
        <a:xfrm>
          <a:off x="5321033" y="215037"/>
          <a:ext cx="1041012" cy="717121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320914" y="906102"/>
          <a:ext cx="1041252" cy="38630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320914" y="906102"/>
        <a:ext cx="1041252" cy="386304"/>
      </dsp:txXfrm>
    </dsp:sp>
    <dsp:sp modelId="{8786A4B4-63AD-4282-AB9B-978539C1D026}">
      <dsp:nvSpPr>
        <dsp:cNvPr id="0" name=""/>
        <dsp:cNvSpPr/>
      </dsp:nvSpPr>
      <dsp:spPr>
        <a:xfrm>
          <a:off x="6466335" y="144"/>
          <a:ext cx="2306530" cy="1471864"/>
        </a:xfrm>
        <a:prstGeom prst="roundRect">
          <a:avLst/>
        </a:prstGeom>
        <a:blipFill dpi="0" rotWithShape="1"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98974" y="1094788"/>
          <a:ext cx="1041252" cy="38630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7098974" y="1094788"/>
        <a:ext cx="1041252" cy="386304"/>
      </dsp:txXfrm>
    </dsp:sp>
  </dsp:spTree>
</dsp:drawing>
</file>

<file path=xl/diagrams/drawing2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7BA503-BC32-471B-A4B5-6C4C4EF1C443}">
      <dsp:nvSpPr>
        <dsp:cNvPr id="0" name=""/>
        <dsp:cNvSpPr/>
      </dsp:nvSpPr>
      <dsp:spPr>
        <a:xfrm>
          <a:off x="323" y="1526700"/>
          <a:ext cx="1539805" cy="106092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 w="12700" cap="flat" cmpd="sng" algn="ctr">
          <a:noFill/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75C8EB-2047-4AA6-8AFD-4B1408EF7B7F}">
      <dsp:nvSpPr>
        <dsp:cNvPr id="0" name=""/>
        <dsp:cNvSpPr/>
      </dsp:nvSpPr>
      <dsp:spPr>
        <a:xfrm>
          <a:off x="323" y="2587626"/>
          <a:ext cx="1539805" cy="5712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600" b="1" kern="1200"/>
            <a:t>Configuración</a:t>
          </a:r>
          <a:br>
            <a:rPr lang="es-419" sz="1600" b="1" kern="1200"/>
          </a:br>
          <a:r>
            <a:rPr lang="es-419" sz="1600" b="1" kern="1200"/>
            <a:t>Sistema</a:t>
          </a:r>
        </a:p>
      </dsp:txBody>
      <dsp:txXfrm>
        <a:off x="323" y="2587626"/>
        <a:ext cx="1539805" cy="571267"/>
      </dsp:txXfrm>
    </dsp:sp>
    <dsp:sp modelId="{D91744EB-7F5A-4A54-AD45-EB9D77334FF1}">
      <dsp:nvSpPr>
        <dsp:cNvPr id="0" name=""/>
        <dsp:cNvSpPr/>
      </dsp:nvSpPr>
      <dsp:spPr>
        <a:xfrm>
          <a:off x="323" y="3312939"/>
          <a:ext cx="1539805" cy="1060925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3EE5AB-1CF8-4C43-83BC-E7A06CC64989}">
      <dsp:nvSpPr>
        <dsp:cNvPr id="0" name=""/>
        <dsp:cNvSpPr/>
      </dsp:nvSpPr>
      <dsp:spPr>
        <a:xfrm>
          <a:off x="323" y="4373864"/>
          <a:ext cx="1539805" cy="57126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600" kern="1200"/>
            <a:t>Comparación</a:t>
          </a:r>
          <a:br>
            <a:rPr lang="es-CL" sz="1600" kern="1200"/>
          </a:br>
          <a:r>
            <a:rPr lang="es-CL" sz="1600" kern="1200"/>
            <a:t>Sistemas</a:t>
          </a:r>
        </a:p>
      </dsp:txBody>
      <dsp:txXfrm>
        <a:off x="323" y="4373864"/>
        <a:ext cx="1539805" cy="571267"/>
      </dsp:txXfrm>
    </dsp:sp>
  </dsp:spTree>
</dsp:drawing>
</file>

<file path=xl/diagrams/drawing2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777310" y="192600"/>
          <a:ext cx="1062922" cy="73235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777310" y="924953"/>
          <a:ext cx="1062922" cy="3943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777310" y="924953"/>
        <a:ext cx="1062922" cy="394344"/>
      </dsp:txXfrm>
    </dsp:sp>
    <dsp:sp modelId="{FEFDE0B9-CDBB-49B4-8781-549C08778A62}">
      <dsp:nvSpPr>
        <dsp:cNvPr id="0" name=""/>
        <dsp:cNvSpPr/>
      </dsp:nvSpPr>
      <dsp:spPr>
        <a:xfrm>
          <a:off x="3885686" y="206437"/>
          <a:ext cx="1057607" cy="72908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946570" y="924137"/>
          <a:ext cx="1062922" cy="3943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946570" y="924137"/>
        <a:ext cx="1062922" cy="394344"/>
      </dsp:txXfrm>
    </dsp:sp>
    <dsp:sp modelId="{AFF539D5-DC29-419D-AC44-827D44109FBF}">
      <dsp:nvSpPr>
        <dsp:cNvPr id="0" name=""/>
        <dsp:cNvSpPr/>
      </dsp:nvSpPr>
      <dsp:spPr>
        <a:xfrm>
          <a:off x="5115952" y="219429"/>
          <a:ext cx="1062678" cy="73204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115829" y="924876"/>
          <a:ext cx="1062922" cy="3943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115829" y="924876"/>
        <a:ext cx="1062922" cy="394344"/>
      </dsp:txXfrm>
    </dsp:sp>
    <dsp:sp modelId="{8786A4B4-63AD-4282-AB9B-978539C1D026}">
      <dsp:nvSpPr>
        <dsp:cNvPr id="0" name=""/>
        <dsp:cNvSpPr/>
      </dsp:nvSpPr>
      <dsp:spPr>
        <a:xfrm>
          <a:off x="6285089" y="64"/>
          <a:ext cx="2354532" cy="1502496"/>
        </a:xfrm>
        <a:prstGeom prst="roundRect">
          <a:avLst/>
        </a:prstGeom>
        <a:blipFill dpi="0" rotWithShape="1"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30894" y="1117489"/>
          <a:ext cx="1062922" cy="3943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6930894" y="1117489"/>
        <a:ext cx="1062922" cy="394344"/>
      </dsp:txXfrm>
    </dsp:sp>
  </dsp:spTree>
</dsp:drawing>
</file>

<file path=xl/diagrams/drawing2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6418711" y="3821"/>
          <a:ext cx="1413671" cy="974019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6418711" y="977840"/>
          <a:ext cx="1413671" cy="5244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m1 Parámetros de la faena</a:t>
          </a:r>
        </a:p>
      </dsp:txBody>
      <dsp:txXfrm>
        <a:off x="6418711" y="977840"/>
        <a:ext cx="1413671" cy="524472"/>
      </dsp:txXfrm>
    </dsp:sp>
    <dsp:sp modelId="{FEFDE0B9-CDBB-49B4-8781-549C08778A62}">
      <dsp:nvSpPr>
        <dsp:cNvPr id="0" name=""/>
        <dsp:cNvSpPr/>
      </dsp:nvSpPr>
      <dsp:spPr>
        <a:xfrm>
          <a:off x="7892833" y="22225"/>
          <a:ext cx="1406603" cy="969675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7973808" y="976754"/>
          <a:ext cx="1413671" cy="5244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m2 Tiempos y Rendimiento</a:t>
          </a:r>
        </a:p>
      </dsp:txBody>
      <dsp:txXfrm>
        <a:off x="7973808" y="976754"/>
        <a:ext cx="1413671" cy="524472"/>
      </dsp:txXfrm>
    </dsp:sp>
    <dsp:sp modelId="{AFF539D5-DC29-419D-AC44-827D44109FBF}">
      <dsp:nvSpPr>
        <dsp:cNvPr id="0" name=""/>
        <dsp:cNvSpPr/>
      </dsp:nvSpPr>
      <dsp:spPr>
        <a:xfrm>
          <a:off x="9529069" y="39504"/>
          <a:ext cx="1413346" cy="97361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9528906" y="977738"/>
          <a:ext cx="1413671" cy="5244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b="0" kern="1200"/>
            <a:t>m3 Descripción Máquinas</a:t>
          </a:r>
        </a:p>
      </dsp:txBody>
      <dsp:txXfrm>
        <a:off x="9528906" y="977738"/>
        <a:ext cx="1413671" cy="524472"/>
      </dsp:txXfrm>
    </dsp:sp>
    <dsp:sp modelId="{8786A4B4-63AD-4282-AB9B-978539C1D026}">
      <dsp:nvSpPr>
        <dsp:cNvPr id="0" name=""/>
        <dsp:cNvSpPr/>
      </dsp:nvSpPr>
      <dsp:spPr>
        <a:xfrm>
          <a:off x="11084004" y="1101"/>
          <a:ext cx="1428105" cy="98489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11091221" y="980560"/>
          <a:ext cx="1413671" cy="5244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b="0" kern="1200"/>
            <a:t>m4 Análisis de Sistema</a:t>
          </a:r>
        </a:p>
      </dsp:txBody>
      <dsp:txXfrm>
        <a:off x="11091221" y="980560"/>
        <a:ext cx="1413671" cy="524472"/>
      </dsp:txXfrm>
    </dsp:sp>
  </dsp:spTree>
</dsp:drawing>
</file>

<file path=xl/diagrams/drawing3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9AD85FE-E745-45AE-9716-5B9028F8CB57}">
      <dsp:nvSpPr>
        <dsp:cNvPr id="0" name=""/>
        <dsp:cNvSpPr/>
      </dsp:nvSpPr>
      <dsp:spPr>
        <a:xfrm>
          <a:off x="0" y="553254"/>
          <a:ext cx="1653901" cy="133200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3038" t="-11819" r="3038" b="-11819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27AB2C5-706D-4099-8556-CD05091B2DD6}">
      <dsp:nvSpPr>
        <dsp:cNvPr id="0" name=""/>
        <dsp:cNvSpPr/>
      </dsp:nvSpPr>
      <dsp:spPr>
        <a:xfrm>
          <a:off x="347" y="1788787"/>
          <a:ext cx="1653207" cy="6133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1.1 Descricpión</a:t>
          </a:r>
        </a:p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del rodal</a:t>
          </a:r>
        </a:p>
      </dsp:txBody>
      <dsp:txXfrm>
        <a:off x="347" y="1788787"/>
        <a:ext cx="1653207" cy="613339"/>
      </dsp:txXfrm>
    </dsp:sp>
    <dsp:sp modelId="{AFCF69DA-85DF-403F-A286-2C071B04BA2D}">
      <dsp:nvSpPr>
        <dsp:cNvPr id="0" name=""/>
        <dsp:cNvSpPr/>
      </dsp:nvSpPr>
      <dsp:spPr>
        <a:xfrm>
          <a:off x="347" y="2567517"/>
          <a:ext cx="1653207" cy="113905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7236" t="862" r="8498" b="86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7365F4-FB98-4C60-900D-2A4F1B76CBAA}">
      <dsp:nvSpPr>
        <dsp:cNvPr id="0" name=""/>
        <dsp:cNvSpPr/>
      </dsp:nvSpPr>
      <dsp:spPr>
        <a:xfrm>
          <a:off x="347" y="3706577"/>
          <a:ext cx="1653207" cy="6133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1.2 Factores operacionales</a:t>
          </a:r>
        </a:p>
      </dsp:txBody>
      <dsp:txXfrm>
        <a:off x="347" y="3706577"/>
        <a:ext cx="1653207" cy="613339"/>
      </dsp:txXfrm>
    </dsp:sp>
  </dsp:spTree>
</dsp:drawing>
</file>

<file path=xl/diagrams/drawing3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68315" y="127"/>
          <a:ext cx="2272355" cy="1450057"/>
        </a:xfrm>
        <a:prstGeom prst="roundRect">
          <a:avLst/>
        </a:prstGeom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991580" y="1078553"/>
          <a:ext cx="1025824" cy="3805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2991580" y="1078553"/>
        <a:ext cx="1025824" cy="380580"/>
      </dsp:txXfrm>
    </dsp:sp>
    <dsp:sp modelId="{FEFDE0B9-CDBB-49B4-8781-549C08778A62}">
      <dsp:nvSpPr>
        <dsp:cNvPr id="0" name=""/>
        <dsp:cNvSpPr/>
      </dsp:nvSpPr>
      <dsp:spPr>
        <a:xfrm>
          <a:off x="4684537" y="199298"/>
          <a:ext cx="1020695" cy="70364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743296" y="891949"/>
          <a:ext cx="1025824" cy="3805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4743296" y="891949"/>
        <a:ext cx="1025824" cy="380580"/>
      </dsp:txXfrm>
    </dsp:sp>
    <dsp:sp modelId="{AFF539D5-DC29-419D-AC44-827D44109FBF}">
      <dsp:nvSpPr>
        <dsp:cNvPr id="0" name=""/>
        <dsp:cNvSpPr/>
      </dsp:nvSpPr>
      <dsp:spPr>
        <a:xfrm>
          <a:off x="5871864" y="211837"/>
          <a:ext cx="1025588" cy="70649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71746" y="892662"/>
          <a:ext cx="1025824" cy="3805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Descripción Máquinas</a:t>
          </a:r>
        </a:p>
      </dsp:txBody>
      <dsp:txXfrm>
        <a:off x="5871746" y="892662"/>
        <a:ext cx="1025824" cy="380580"/>
      </dsp:txXfrm>
    </dsp:sp>
    <dsp:sp modelId="{8786A4B4-63AD-4282-AB9B-978539C1D026}">
      <dsp:nvSpPr>
        <dsp:cNvPr id="0" name=""/>
        <dsp:cNvSpPr/>
      </dsp:nvSpPr>
      <dsp:spPr>
        <a:xfrm>
          <a:off x="7000197" y="183970"/>
          <a:ext cx="1036298" cy="71468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05434" y="894710"/>
          <a:ext cx="1025824" cy="3805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05434" y="894710"/>
        <a:ext cx="1025824" cy="380580"/>
      </dsp:txXfrm>
    </dsp:sp>
  </dsp:spTree>
</dsp:drawing>
</file>

<file path=xl/diagrams/drawing3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9AD85FE-E745-45AE-9716-5B9028F8CB57}">
      <dsp:nvSpPr>
        <dsp:cNvPr id="0" name=""/>
        <dsp:cNvSpPr/>
      </dsp:nvSpPr>
      <dsp:spPr>
        <a:xfrm>
          <a:off x="345" y="1612662"/>
          <a:ext cx="1643051" cy="1132062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2893" t="-16781" r="2893" b="-16781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27AB2C5-706D-4099-8556-CD05091B2DD6}">
      <dsp:nvSpPr>
        <dsp:cNvPr id="0" name=""/>
        <dsp:cNvSpPr/>
      </dsp:nvSpPr>
      <dsp:spPr>
        <a:xfrm>
          <a:off x="345" y="2744724"/>
          <a:ext cx="1643051" cy="6095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1.1 Descricpión</a:t>
          </a:r>
        </a:p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del rodal</a:t>
          </a:r>
        </a:p>
      </dsp:txBody>
      <dsp:txXfrm>
        <a:off x="345" y="2744724"/>
        <a:ext cx="1643051" cy="609572"/>
      </dsp:txXfrm>
    </dsp:sp>
    <dsp:sp modelId="{AFCF69DA-85DF-403F-A286-2C071B04BA2D}">
      <dsp:nvSpPr>
        <dsp:cNvPr id="0" name=""/>
        <dsp:cNvSpPr/>
      </dsp:nvSpPr>
      <dsp:spPr>
        <a:xfrm>
          <a:off x="345" y="3518671"/>
          <a:ext cx="1643051" cy="1132062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8228" t="710" r="9467" b="71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7365F4-FB98-4C60-900D-2A4F1B76CBAA}">
      <dsp:nvSpPr>
        <dsp:cNvPr id="0" name=""/>
        <dsp:cNvSpPr/>
      </dsp:nvSpPr>
      <dsp:spPr>
        <a:xfrm>
          <a:off x="345" y="4650733"/>
          <a:ext cx="1643051" cy="6095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Factores operacionales</a:t>
          </a:r>
        </a:p>
      </dsp:txBody>
      <dsp:txXfrm>
        <a:off x="345" y="4650733"/>
        <a:ext cx="1643051" cy="609572"/>
      </dsp:txXfrm>
    </dsp:sp>
  </dsp:spTree>
</dsp:drawing>
</file>

<file path=xl/diagrams/drawing3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051701" y="405"/>
          <a:ext cx="2251331" cy="1436640"/>
        </a:xfrm>
        <a:prstGeom prst="roundRect">
          <a:avLst/>
        </a:prstGeom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669200" y="1068853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2669200" y="1068853"/>
        <a:ext cx="1016333" cy="377059"/>
      </dsp:txXfrm>
    </dsp:sp>
    <dsp:sp modelId="{FEFDE0B9-CDBB-49B4-8781-549C08778A62}">
      <dsp:nvSpPr>
        <dsp:cNvPr id="0" name=""/>
        <dsp:cNvSpPr/>
      </dsp:nvSpPr>
      <dsp:spPr>
        <a:xfrm>
          <a:off x="4346493" y="197733"/>
          <a:ext cx="1011251" cy="69713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404708" y="883975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4404708" y="883975"/>
        <a:ext cx="1016333" cy="377059"/>
      </dsp:txXfrm>
    </dsp:sp>
    <dsp:sp modelId="{AFF539D5-DC29-419D-AC44-827D44109FBF}">
      <dsp:nvSpPr>
        <dsp:cNvPr id="0" name=""/>
        <dsp:cNvSpPr/>
      </dsp:nvSpPr>
      <dsp:spPr>
        <a:xfrm>
          <a:off x="5522835" y="210156"/>
          <a:ext cx="1016099" cy="699959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522718" y="884683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Descripción Máquinas</a:t>
          </a:r>
        </a:p>
      </dsp:txBody>
      <dsp:txXfrm>
        <a:off x="5522718" y="884683"/>
        <a:ext cx="1016333" cy="377059"/>
      </dsp:txXfrm>
    </dsp:sp>
    <dsp:sp modelId="{8786A4B4-63AD-4282-AB9B-978539C1D026}">
      <dsp:nvSpPr>
        <dsp:cNvPr id="0" name=""/>
        <dsp:cNvSpPr/>
      </dsp:nvSpPr>
      <dsp:spPr>
        <a:xfrm>
          <a:off x="6640728" y="182547"/>
          <a:ext cx="1026710" cy="70807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645916" y="886711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645916" y="886711"/>
        <a:ext cx="1016333" cy="37705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Data" Target="../diagrams/data2.xml"/><Relationship Id="rId3" Type="http://schemas.openxmlformats.org/officeDocument/2006/relationships/diagramLayout" Target="../diagrams/layout1.xml"/><Relationship Id="rId7" Type="http://schemas.openxmlformats.org/officeDocument/2006/relationships/hyperlink" Target="#'m4 An&#225;lisis de sistema'!A1"/><Relationship Id="rId12" Type="http://schemas.microsoft.com/office/2007/relationships/diagramDrawing" Target="../diagrams/drawing2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11" Type="http://schemas.openxmlformats.org/officeDocument/2006/relationships/diagramColors" Target="../diagrams/colors2.xml"/><Relationship Id="rId5" Type="http://schemas.openxmlformats.org/officeDocument/2006/relationships/diagramColors" Target="../diagrams/colors1.xml"/><Relationship Id="rId10" Type="http://schemas.openxmlformats.org/officeDocument/2006/relationships/diagramQuickStyle" Target="../diagrams/quickStyle2.xml"/><Relationship Id="rId4" Type="http://schemas.openxmlformats.org/officeDocument/2006/relationships/diagramQuickStyle" Target="../diagrams/quickStyle1.xml"/><Relationship Id="rId9" Type="http://schemas.openxmlformats.org/officeDocument/2006/relationships/diagramLayout" Target="../diagrams/layou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4.xml"/><Relationship Id="rId3" Type="http://schemas.openxmlformats.org/officeDocument/2006/relationships/diagramQuickStyle" Target="../diagrams/quickStyle3.xml"/><Relationship Id="rId7" Type="http://schemas.openxmlformats.org/officeDocument/2006/relationships/diagramLayout" Target="../diagrams/layout4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diagramData" Target="../diagrams/data4.xml"/><Relationship Id="rId5" Type="http://schemas.microsoft.com/office/2007/relationships/diagramDrawing" Target="../diagrams/drawing3.xml"/><Relationship Id="rId10" Type="http://schemas.microsoft.com/office/2007/relationships/diagramDrawing" Target="../diagrams/drawing4.xml"/><Relationship Id="rId4" Type="http://schemas.openxmlformats.org/officeDocument/2006/relationships/diagramColors" Target="../diagrams/colors3.xml"/><Relationship Id="rId9" Type="http://schemas.openxmlformats.org/officeDocument/2006/relationships/diagramColors" Target="../diagrams/colors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6.xml"/><Relationship Id="rId3" Type="http://schemas.openxmlformats.org/officeDocument/2006/relationships/diagramQuickStyle" Target="../diagrams/quickStyle5.xml"/><Relationship Id="rId7" Type="http://schemas.openxmlformats.org/officeDocument/2006/relationships/diagramLayout" Target="../diagrams/layout6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diagramData" Target="../diagrams/data6.xml"/><Relationship Id="rId5" Type="http://schemas.microsoft.com/office/2007/relationships/diagramDrawing" Target="../diagrams/drawing5.xml"/><Relationship Id="rId10" Type="http://schemas.microsoft.com/office/2007/relationships/diagramDrawing" Target="../diagrams/drawing6.xml"/><Relationship Id="rId4" Type="http://schemas.openxmlformats.org/officeDocument/2006/relationships/diagramColors" Target="../diagrams/colors5.xml"/><Relationship Id="rId9" Type="http://schemas.openxmlformats.org/officeDocument/2006/relationships/diagramColors" Target="../diagrams/colors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8.xml"/><Relationship Id="rId3" Type="http://schemas.openxmlformats.org/officeDocument/2006/relationships/diagramQuickStyle" Target="../diagrams/quickStyle7.xml"/><Relationship Id="rId7" Type="http://schemas.openxmlformats.org/officeDocument/2006/relationships/diagramLayout" Target="../diagrams/layout8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diagramData" Target="../diagrams/data8.xml"/><Relationship Id="rId5" Type="http://schemas.microsoft.com/office/2007/relationships/diagramDrawing" Target="../diagrams/drawing7.xml"/><Relationship Id="rId10" Type="http://schemas.microsoft.com/office/2007/relationships/diagramDrawing" Target="../diagrams/drawing8.xml"/><Relationship Id="rId4" Type="http://schemas.openxmlformats.org/officeDocument/2006/relationships/diagramColors" Target="../diagrams/colors7.xml"/><Relationship Id="rId9" Type="http://schemas.openxmlformats.org/officeDocument/2006/relationships/diagramColors" Target="../diagrams/colors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0.xml"/><Relationship Id="rId3" Type="http://schemas.openxmlformats.org/officeDocument/2006/relationships/diagramQuickStyle" Target="../diagrams/quickStyle9.xml"/><Relationship Id="rId7" Type="http://schemas.openxmlformats.org/officeDocument/2006/relationships/diagramLayout" Target="../diagrams/layout10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diagramData" Target="../diagrams/data10.xml"/><Relationship Id="rId5" Type="http://schemas.microsoft.com/office/2007/relationships/diagramDrawing" Target="../diagrams/drawing9.xml"/><Relationship Id="rId10" Type="http://schemas.microsoft.com/office/2007/relationships/diagramDrawing" Target="../diagrams/drawing10.xml"/><Relationship Id="rId4" Type="http://schemas.openxmlformats.org/officeDocument/2006/relationships/diagramColors" Target="../diagrams/colors9.xml"/><Relationship Id="rId9" Type="http://schemas.openxmlformats.org/officeDocument/2006/relationships/diagramColors" Target="../diagrams/colors1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2.xml"/><Relationship Id="rId3" Type="http://schemas.openxmlformats.org/officeDocument/2006/relationships/diagramQuickStyle" Target="../diagrams/quickStyle11.xml"/><Relationship Id="rId7" Type="http://schemas.openxmlformats.org/officeDocument/2006/relationships/diagramLayout" Target="../diagrams/layout12.xml"/><Relationship Id="rId2" Type="http://schemas.openxmlformats.org/officeDocument/2006/relationships/diagramLayout" Target="../diagrams/layout11.xml"/><Relationship Id="rId1" Type="http://schemas.openxmlformats.org/officeDocument/2006/relationships/diagramData" Target="../diagrams/data11.xml"/><Relationship Id="rId6" Type="http://schemas.openxmlformats.org/officeDocument/2006/relationships/diagramData" Target="../diagrams/data12.xml"/><Relationship Id="rId5" Type="http://schemas.microsoft.com/office/2007/relationships/diagramDrawing" Target="../diagrams/drawing11.xml"/><Relationship Id="rId10" Type="http://schemas.microsoft.com/office/2007/relationships/diagramDrawing" Target="../diagrams/drawing12.xml"/><Relationship Id="rId4" Type="http://schemas.openxmlformats.org/officeDocument/2006/relationships/diagramColors" Target="../diagrams/colors11.xml"/><Relationship Id="rId9" Type="http://schemas.openxmlformats.org/officeDocument/2006/relationships/diagramColors" Target="../diagrams/colors1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4.xml"/><Relationship Id="rId3" Type="http://schemas.openxmlformats.org/officeDocument/2006/relationships/diagramQuickStyle" Target="../diagrams/quickStyle13.xml"/><Relationship Id="rId7" Type="http://schemas.openxmlformats.org/officeDocument/2006/relationships/diagramLayout" Target="../diagrams/layout14.xml"/><Relationship Id="rId2" Type="http://schemas.openxmlformats.org/officeDocument/2006/relationships/diagramLayout" Target="../diagrams/layout13.xml"/><Relationship Id="rId1" Type="http://schemas.openxmlformats.org/officeDocument/2006/relationships/diagramData" Target="../diagrams/data13.xml"/><Relationship Id="rId6" Type="http://schemas.openxmlformats.org/officeDocument/2006/relationships/diagramData" Target="../diagrams/data14.xml"/><Relationship Id="rId5" Type="http://schemas.microsoft.com/office/2007/relationships/diagramDrawing" Target="../diagrams/drawing13.xml"/><Relationship Id="rId10" Type="http://schemas.microsoft.com/office/2007/relationships/diagramDrawing" Target="../diagrams/drawing14.xml"/><Relationship Id="rId4" Type="http://schemas.openxmlformats.org/officeDocument/2006/relationships/diagramColors" Target="../diagrams/colors13.xml"/><Relationship Id="rId9" Type="http://schemas.openxmlformats.org/officeDocument/2006/relationships/diagramColors" Target="../diagrams/colors1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6.xml"/><Relationship Id="rId3" Type="http://schemas.openxmlformats.org/officeDocument/2006/relationships/diagramLayout" Target="../diagrams/layout15.xml"/><Relationship Id="rId7" Type="http://schemas.openxmlformats.org/officeDocument/2006/relationships/diagramData" Target="../diagrams/data16.xml"/><Relationship Id="rId2" Type="http://schemas.openxmlformats.org/officeDocument/2006/relationships/diagramData" Target="../diagrams/data15.xml"/><Relationship Id="rId1" Type="http://schemas.openxmlformats.org/officeDocument/2006/relationships/hyperlink" Target="#'m1 Descrip_rodal'!A1"/><Relationship Id="rId6" Type="http://schemas.microsoft.com/office/2007/relationships/diagramDrawing" Target="../diagrams/drawing15.xml"/><Relationship Id="rId11" Type="http://schemas.microsoft.com/office/2007/relationships/diagramDrawing" Target="../diagrams/drawing16.xml"/><Relationship Id="rId5" Type="http://schemas.openxmlformats.org/officeDocument/2006/relationships/diagramColors" Target="../diagrams/colors15.xml"/><Relationship Id="rId10" Type="http://schemas.openxmlformats.org/officeDocument/2006/relationships/diagramColors" Target="../diagrams/colors16.xml"/><Relationship Id="rId4" Type="http://schemas.openxmlformats.org/officeDocument/2006/relationships/diagramQuickStyle" Target="../diagrams/quickStyle15.xml"/><Relationship Id="rId9" Type="http://schemas.openxmlformats.org/officeDocument/2006/relationships/diagramQuickStyle" Target="../diagrams/quickStyle1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8.xml"/><Relationship Id="rId3" Type="http://schemas.openxmlformats.org/officeDocument/2006/relationships/diagramQuickStyle" Target="../diagrams/quickStyle17.xml"/><Relationship Id="rId7" Type="http://schemas.openxmlformats.org/officeDocument/2006/relationships/diagramLayout" Target="../diagrams/layout18.xml"/><Relationship Id="rId2" Type="http://schemas.openxmlformats.org/officeDocument/2006/relationships/diagramLayout" Target="../diagrams/layout17.xml"/><Relationship Id="rId1" Type="http://schemas.openxmlformats.org/officeDocument/2006/relationships/diagramData" Target="../diagrams/data17.xml"/><Relationship Id="rId6" Type="http://schemas.openxmlformats.org/officeDocument/2006/relationships/diagramData" Target="../diagrams/data18.xml"/><Relationship Id="rId5" Type="http://schemas.microsoft.com/office/2007/relationships/diagramDrawing" Target="../diagrams/drawing17.xml"/><Relationship Id="rId10" Type="http://schemas.microsoft.com/office/2007/relationships/diagramDrawing" Target="../diagrams/drawing18.xml"/><Relationship Id="rId4" Type="http://schemas.openxmlformats.org/officeDocument/2006/relationships/diagramColors" Target="../diagrams/colors17.xml"/><Relationship Id="rId9" Type="http://schemas.openxmlformats.org/officeDocument/2006/relationships/diagramColors" Target="../diagrams/colors18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0.xml"/><Relationship Id="rId3" Type="http://schemas.openxmlformats.org/officeDocument/2006/relationships/diagramLayout" Target="../diagrams/layout19.xml"/><Relationship Id="rId7" Type="http://schemas.openxmlformats.org/officeDocument/2006/relationships/diagramData" Target="../diagrams/data20.xml"/><Relationship Id="rId2" Type="http://schemas.openxmlformats.org/officeDocument/2006/relationships/diagramData" Target="../diagrams/data19.xml"/><Relationship Id="rId1" Type="http://schemas.openxmlformats.org/officeDocument/2006/relationships/hyperlink" Target="#'m3 Cargu&#237;o'!A1"/><Relationship Id="rId6" Type="http://schemas.microsoft.com/office/2007/relationships/diagramDrawing" Target="../diagrams/drawing19.xml"/><Relationship Id="rId11" Type="http://schemas.microsoft.com/office/2007/relationships/diagramDrawing" Target="../diagrams/drawing20.xml"/><Relationship Id="rId5" Type="http://schemas.openxmlformats.org/officeDocument/2006/relationships/diagramColors" Target="../diagrams/colors19.xml"/><Relationship Id="rId10" Type="http://schemas.openxmlformats.org/officeDocument/2006/relationships/diagramColors" Target="../diagrams/colors20.xml"/><Relationship Id="rId4" Type="http://schemas.openxmlformats.org/officeDocument/2006/relationships/diagramQuickStyle" Target="../diagrams/quickStyle19.xml"/><Relationship Id="rId9" Type="http://schemas.openxmlformats.org/officeDocument/2006/relationships/diagramQuickStyle" Target="../diagrams/quickStyle2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2.xml"/><Relationship Id="rId3" Type="http://schemas.openxmlformats.org/officeDocument/2006/relationships/diagramQuickStyle" Target="../diagrams/quickStyle21.xml"/><Relationship Id="rId7" Type="http://schemas.openxmlformats.org/officeDocument/2006/relationships/diagramLayout" Target="../diagrams/layout22.xml"/><Relationship Id="rId2" Type="http://schemas.openxmlformats.org/officeDocument/2006/relationships/diagramLayout" Target="../diagrams/layout21.xml"/><Relationship Id="rId1" Type="http://schemas.openxmlformats.org/officeDocument/2006/relationships/diagramData" Target="../diagrams/data21.xml"/><Relationship Id="rId6" Type="http://schemas.openxmlformats.org/officeDocument/2006/relationships/diagramData" Target="../diagrams/data22.xml"/><Relationship Id="rId5" Type="http://schemas.microsoft.com/office/2007/relationships/diagramDrawing" Target="../diagrams/drawing21.xml"/><Relationship Id="rId10" Type="http://schemas.microsoft.com/office/2007/relationships/diagramDrawing" Target="../diagrams/drawing22.xml"/><Relationship Id="rId4" Type="http://schemas.openxmlformats.org/officeDocument/2006/relationships/diagramColors" Target="../diagrams/colors21.xml"/><Relationship Id="rId9" Type="http://schemas.openxmlformats.org/officeDocument/2006/relationships/diagramColors" Target="../diagrams/colors22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4.xml"/><Relationship Id="rId3" Type="http://schemas.openxmlformats.org/officeDocument/2006/relationships/diagramQuickStyle" Target="../diagrams/quickStyle23.xml"/><Relationship Id="rId7" Type="http://schemas.openxmlformats.org/officeDocument/2006/relationships/diagramLayout" Target="../diagrams/layout24.xml"/><Relationship Id="rId2" Type="http://schemas.openxmlformats.org/officeDocument/2006/relationships/diagramLayout" Target="../diagrams/layout23.xml"/><Relationship Id="rId1" Type="http://schemas.openxmlformats.org/officeDocument/2006/relationships/diagramData" Target="../diagrams/data23.xml"/><Relationship Id="rId6" Type="http://schemas.openxmlformats.org/officeDocument/2006/relationships/diagramData" Target="../diagrams/data24.xml"/><Relationship Id="rId5" Type="http://schemas.microsoft.com/office/2007/relationships/diagramDrawing" Target="../diagrams/drawing23.xml"/><Relationship Id="rId10" Type="http://schemas.microsoft.com/office/2007/relationships/diagramDrawing" Target="../diagrams/drawing24.xml"/><Relationship Id="rId4" Type="http://schemas.openxmlformats.org/officeDocument/2006/relationships/diagramColors" Target="../diagrams/colors23.xml"/><Relationship Id="rId9" Type="http://schemas.openxmlformats.org/officeDocument/2006/relationships/diagramColors" Target="../diagrams/colors24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6.xml"/><Relationship Id="rId3" Type="http://schemas.openxmlformats.org/officeDocument/2006/relationships/diagramQuickStyle" Target="../diagrams/quickStyle25.xml"/><Relationship Id="rId7" Type="http://schemas.openxmlformats.org/officeDocument/2006/relationships/diagramLayout" Target="../diagrams/layout26.xml"/><Relationship Id="rId2" Type="http://schemas.openxmlformats.org/officeDocument/2006/relationships/diagramLayout" Target="../diagrams/layout25.xml"/><Relationship Id="rId1" Type="http://schemas.openxmlformats.org/officeDocument/2006/relationships/diagramData" Target="../diagrams/data25.xml"/><Relationship Id="rId6" Type="http://schemas.openxmlformats.org/officeDocument/2006/relationships/diagramData" Target="../diagrams/data26.xml"/><Relationship Id="rId5" Type="http://schemas.microsoft.com/office/2007/relationships/diagramDrawing" Target="../diagrams/drawing25.xml"/><Relationship Id="rId10" Type="http://schemas.microsoft.com/office/2007/relationships/diagramDrawing" Target="../diagrams/drawing26.xml"/><Relationship Id="rId4" Type="http://schemas.openxmlformats.org/officeDocument/2006/relationships/diagramColors" Target="../diagrams/colors25.xml"/><Relationship Id="rId9" Type="http://schemas.openxmlformats.org/officeDocument/2006/relationships/diagramColors" Target="../diagrams/colors26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8.xml"/><Relationship Id="rId3" Type="http://schemas.openxmlformats.org/officeDocument/2006/relationships/diagramQuickStyle" Target="../diagrams/quickStyle27.xml"/><Relationship Id="rId7" Type="http://schemas.openxmlformats.org/officeDocument/2006/relationships/diagramLayout" Target="../diagrams/layout28.xml"/><Relationship Id="rId2" Type="http://schemas.openxmlformats.org/officeDocument/2006/relationships/diagramLayout" Target="../diagrams/layout27.xml"/><Relationship Id="rId1" Type="http://schemas.openxmlformats.org/officeDocument/2006/relationships/diagramData" Target="../diagrams/data27.xml"/><Relationship Id="rId6" Type="http://schemas.openxmlformats.org/officeDocument/2006/relationships/diagramData" Target="../diagrams/data28.xml"/><Relationship Id="rId11" Type="http://schemas.openxmlformats.org/officeDocument/2006/relationships/chart" Target="../charts/chart1.xml"/><Relationship Id="rId5" Type="http://schemas.microsoft.com/office/2007/relationships/diagramDrawing" Target="../diagrams/drawing27.xml"/><Relationship Id="rId10" Type="http://schemas.microsoft.com/office/2007/relationships/diagramDrawing" Target="../diagrams/drawing28.xml"/><Relationship Id="rId4" Type="http://schemas.openxmlformats.org/officeDocument/2006/relationships/diagramColors" Target="../diagrams/colors27.xml"/><Relationship Id="rId9" Type="http://schemas.openxmlformats.org/officeDocument/2006/relationships/diagramColors" Target="../diagrams/colors2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9.xml"/><Relationship Id="rId3" Type="http://schemas.microsoft.com/office/2007/relationships/hdphoto" Target="../media/hdphoto1.wdp"/><Relationship Id="rId7" Type="http://schemas.openxmlformats.org/officeDocument/2006/relationships/diagramData" Target="../diagrams/data29.xml"/><Relationship Id="rId2" Type="http://schemas.openxmlformats.org/officeDocument/2006/relationships/image" Target="../media/image2.png"/><Relationship Id="rId1" Type="http://schemas.openxmlformats.org/officeDocument/2006/relationships/hyperlink" Target="#BD!A1"/><Relationship Id="rId6" Type="http://schemas.openxmlformats.org/officeDocument/2006/relationships/image" Target="../media/image19.svg"/><Relationship Id="rId11" Type="http://schemas.microsoft.com/office/2007/relationships/diagramDrawing" Target="../diagrams/drawing29.xml"/><Relationship Id="rId5" Type="http://schemas.openxmlformats.org/officeDocument/2006/relationships/image" Target="../media/image18.png"/><Relationship Id="rId10" Type="http://schemas.openxmlformats.org/officeDocument/2006/relationships/diagramColors" Target="../diagrams/colors29.xml"/><Relationship Id="rId4" Type="http://schemas.openxmlformats.org/officeDocument/2006/relationships/hyperlink" Target="#'BD Costos'!A1"/><Relationship Id="rId9" Type="http://schemas.openxmlformats.org/officeDocument/2006/relationships/diagramQuickStyle" Target="../diagrams/quickStyle29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31.xml"/><Relationship Id="rId3" Type="http://schemas.openxmlformats.org/officeDocument/2006/relationships/diagramQuickStyle" Target="../diagrams/quickStyle30.xml"/><Relationship Id="rId7" Type="http://schemas.openxmlformats.org/officeDocument/2006/relationships/diagramData" Target="../diagrams/data31.xml"/><Relationship Id="rId2" Type="http://schemas.openxmlformats.org/officeDocument/2006/relationships/diagramLayout" Target="../diagrams/layout30.xml"/><Relationship Id="rId1" Type="http://schemas.openxmlformats.org/officeDocument/2006/relationships/diagramData" Target="../diagrams/data30.xml"/><Relationship Id="rId6" Type="http://schemas.openxmlformats.org/officeDocument/2006/relationships/hyperlink" Target="#'m2 Volteo'!A1"/><Relationship Id="rId11" Type="http://schemas.microsoft.com/office/2007/relationships/diagramDrawing" Target="../diagrams/drawing31.xml"/><Relationship Id="rId5" Type="http://schemas.microsoft.com/office/2007/relationships/diagramDrawing" Target="../diagrams/drawing30.xml"/><Relationship Id="rId10" Type="http://schemas.openxmlformats.org/officeDocument/2006/relationships/diagramColors" Target="../diagrams/colors31.xml"/><Relationship Id="rId4" Type="http://schemas.openxmlformats.org/officeDocument/2006/relationships/diagramColors" Target="../diagrams/colors30.xml"/><Relationship Id="rId9" Type="http://schemas.openxmlformats.org/officeDocument/2006/relationships/diagramQuickStyle" Target="../diagrams/quickStyle31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33.xml"/><Relationship Id="rId3" Type="http://schemas.openxmlformats.org/officeDocument/2006/relationships/diagramQuickStyle" Target="../diagrams/quickStyle32.xml"/><Relationship Id="rId7" Type="http://schemas.openxmlformats.org/officeDocument/2006/relationships/diagramLayout" Target="../diagrams/layout33.xml"/><Relationship Id="rId2" Type="http://schemas.openxmlformats.org/officeDocument/2006/relationships/diagramLayout" Target="../diagrams/layout32.xml"/><Relationship Id="rId1" Type="http://schemas.openxmlformats.org/officeDocument/2006/relationships/diagramData" Target="../diagrams/data32.xml"/><Relationship Id="rId6" Type="http://schemas.openxmlformats.org/officeDocument/2006/relationships/diagramData" Target="../diagrams/data33.xml"/><Relationship Id="rId5" Type="http://schemas.microsoft.com/office/2007/relationships/diagramDrawing" Target="../diagrams/drawing32.xml"/><Relationship Id="rId10" Type="http://schemas.microsoft.com/office/2007/relationships/diagramDrawing" Target="../diagrams/drawing33.xml"/><Relationship Id="rId4" Type="http://schemas.openxmlformats.org/officeDocument/2006/relationships/diagramColors" Target="../diagrams/colors32.xml"/><Relationship Id="rId9" Type="http://schemas.openxmlformats.org/officeDocument/2006/relationships/diagramColors" Target="../diagrams/colors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714375</xdr:colOff>
      <xdr:row>139</xdr:row>
      <xdr:rowOff>152400</xdr:rowOff>
    </xdr:from>
    <xdr:to>
      <xdr:col>16384</xdr:col>
      <xdr:colOff>762137</xdr:colOff>
      <xdr:row>155</xdr:row>
      <xdr:rowOff>149443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46400" y="8534400"/>
          <a:ext cx="5838095" cy="30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149446</xdr:rowOff>
    </xdr:to>
    <xdr:graphicFrame macro="">
      <xdr:nvGraphicFramePr>
        <xdr:cNvPr id="66" name="Diagrama 65">
          <a:extLst>
            <a:ext uri="{FF2B5EF4-FFF2-40B4-BE49-F238E27FC236}">
              <a16:creationId xmlns:a16="http://schemas.microsoft.com/office/drawing/2014/main" id="{942E1232-35D1-4F97-A8D9-D1B2DFA75C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absolute">
    <xdr:from>
      <xdr:col>1</xdr:col>
      <xdr:colOff>100099</xdr:colOff>
      <xdr:row>13</xdr:row>
      <xdr:rowOff>0</xdr:rowOff>
    </xdr:from>
    <xdr:to>
      <xdr:col>14</xdr:col>
      <xdr:colOff>4018469</xdr:colOff>
      <xdr:row>15</xdr:row>
      <xdr:rowOff>73934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áquina 3">
              <a:extLst>
                <a:ext uri="{FF2B5EF4-FFF2-40B4-BE49-F238E27FC236}">
                  <a16:creationId xmlns:a16="http://schemas.microsoft.com/office/drawing/2014/main" id="{47633D07-7AC2-42AC-A904-FBB87A9ED9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3631" y="2401455"/>
              <a:ext cx="19383045" cy="443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0</xdr:colOff>
      <xdr:row>0</xdr:row>
      <xdr:rowOff>0</xdr:rowOff>
    </xdr:from>
    <xdr:to>
      <xdr:col>9</xdr:col>
      <xdr:colOff>760560</xdr:colOff>
      <xdr:row>10</xdr:row>
      <xdr:rowOff>98663</xdr:rowOff>
    </xdr:to>
    <xdr:grpSp>
      <xdr:nvGrpSpPr>
        <xdr:cNvPr id="3" name="Grup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BD392EC-9E5E-4B9B-8A7C-278FC964CCF1}"/>
            </a:ext>
          </a:extLst>
        </xdr:cNvPr>
        <xdr:cNvGrpSpPr>
          <a:grpSpLocks noChangeAspect="1"/>
        </xdr:cNvGrpSpPr>
      </xdr:nvGrpSpPr>
      <xdr:grpSpPr>
        <a:xfrm>
          <a:off x="2933700" y="0"/>
          <a:ext cx="10374460" cy="1876663"/>
          <a:chOff x="2921000" y="0"/>
          <a:chExt cx="10399745" cy="1938316"/>
        </a:xfrm>
      </xdr:grpSpPr>
      <xdr:graphicFrame macro="">
        <xdr:nvGraphicFramePr>
          <xdr:cNvPr id="12" name="Diagrama 11">
            <a:extLst>
              <a:ext uri="{FF2B5EF4-FFF2-40B4-BE49-F238E27FC236}">
                <a16:creationId xmlns:a16="http://schemas.microsoft.com/office/drawing/2014/main" id="{2B436826-EC64-4ECB-AC8D-14E15260902E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8" r:lo="rId9" r:qs="rId10" r:cs="rId11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5BE8DE8C-2CED-43D5-9A8B-1F0ABA6CE360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476397</xdr:colOff>
      <xdr:row>14</xdr:row>
      <xdr:rowOff>107487</xdr:rowOff>
    </xdr:from>
    <xdr:ext cx="3098471" cy="342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334C989-6862-4E97-9AC9-75CFEC354615}"/>
            </a:ext>
          </a:extLst>
        </xdr:cNvPr>
        <xdr:cNvSpPr txBox="1"/>
      </xdr:nvSpPr>
      <xdr:spPr>
        <a:xfrm>
          <a:off x="2173579" y="2705214"/>
          <a:ext cx="30984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223719</xdr:colOff>
      <xdr:row>21</xdr:row>
      <xdr:rowOff>164485</xdr:rowOff>
    </xdr:from>
    <xdr:ext cx="2243941" cy="342786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ACEFF9E-F01F-4AB7-A8F9-7E5F5724F5E0}"/>
            </a:ext>
          </a:extLst>
        </xdr:cNvPr>
        <xdr:cNvSpPr txBox="1"/>
      </xdr:nvSpPr>
      <xdr:spPr>
        <a:xfrm>
          <a:off x="1920901" y="4078394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Resumen </a:t>
          </a:r>
        </a:p>
      </xdr:txBody>
    </xdr:sp>
    <xdr:clientData/>
  </xdr:oneCellAnchor>
  <xdr:oneCellAnchor>
    <xdr:from>
      <xdr:col>7</xdr:col>
      <xdr:colOff>1373908</xdr:colOff>
      <xdr:row>14</xdr:row>
      <xdr:rowOff>67655</xdr:rowOff>
    </xdr:from>
    <xdr:ext cx="4398818" cy="342786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3FCFE59-E9CB-4772-BCC7-D053C4688443}"/>
            </a:ext>
          </a:extLst>
        </xdr:cNvPr>
        <xdr:cNvSpPr txBox="1">
          <a:spLocks noChangeAspect="1"/>
        </xdr:cNvSpPr>
      </xdr:nvSpPr>
      <xdr:spPr>
        <a:xfrm>
          <a:off x="10587181" y="2665382"/>
          <a:ext cx="4398818" cy="342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</a:t>
          </a:r>
          <a:r>
            <a:rPr lang="es-419" sz="1600" b="1" baseline="0">
              <a:solidFill>
                <a:srgbClr val="00B050"/>
              </a:solidFill>
            </a:rPr>
            <a:t> rendimiento </a:t>
          </a:r>
          <a:r>
            <a:rPr lang="es-419" sz="1600" b="1">
              <a:solidFill>
                <a:srgbClr val="00B050"/>
              </a:solidFill>
            </a:rPr>
            <a:t>con id_volteo: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113977</xdr:rowOff>
    </xdr:to>
    <xdr:graphicFrame macro="">
      <xdr:nvGraphicFramePr>
        <xdr:cNvPr id="24" name="Diagrama 23">
          <a:extLst>
            <a:ext uri="{FF2B5EF4-FFF2-40B4-BE49-F238E27FC236}">
              <a16:creationId xmlns:a16="http://schemas.microsoft.com/office/drawing/2014/main" id="{4DDB5C45-33ED-463D-98B8-C3EC5308DE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absoluteAnchor>
    <xdr:pos x="4166112" y="4075854"/>
    <xdr:ext cx="4081648" cy="448663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áquina">
              <a:extLst>
                <a:ext uri="{FF2B5EF4-FFF2-40B4-BE49-F238E27FC236}">
                  <a16:creationId xmlns:a16="http://schemas.microsoft.com/office/drawing/2014/main" id="{8EEB3C0D-D9DA-4EAB-80CC-55278D5D4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66112" y="4075854"/>
              <a:ext cx="4081648" cy="448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twoCellAnchor editAs="absolute">
    <xdr:from>
      <xdr:col>2</xdr:col>
      <xdr:colOff>0</xdr:colOff>
      <xdr:row>0</xdr:row>
      <xdr:rowOff>0</xdr:rowOff>
    </xdr:from>
    <xdr:to>
      <xdr:col>10</xdr:col>
      <xdr:colOff>441098</xdr:colOff>
      <xdr:row>10</xdr:row>
      <xdr:rowOff>76958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98AAF0DA-C090-42F5-9300-2985542C38C8}"/>
            </a:ext>
          </a:extLst>
        </xdr:cNvPr>
        <xdr:cNvGrpSpPr>
          <a:grpSpLocks noChangeAspect="1"/>
        </xdr:cNvGrpSpPr>
      </xdr:nvGrpSpPr>
      <xdr:grpSpPr>
        <a:xfrm>
          <a:off x="3200400" y="0"/>
          <a:ext cx="10347098" cy="1867658"/>
          <a:chOff x="2921000" y="0"/>
          <a:chExt cx="10399745" cy="1938316"/>
        </a:xfrm>
      </xdr:grpSpPr>
      <xdr:graphicFrame macro="">
        <xdr:nvGraphicFramePr>
          <xdr:cNvPr id="11" name="Diagrama 10">
            <a:extLst>
              <a:ext uri="{FF2B5EF4-FFF2-40B4-BE49-F238E27FC236}">
                <a16:creationId xmlns:a16="http://schemas.microsoft.com/office/drawing/2014/main" id="{7008A20B-A723-42F4-B6BF-52B21E156447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2E97F886-50AE-4DF9-8C5C-C3E21CB36CEF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277090</xdr:colOff>
      <xdr:row>12</xdr:row>
      <xdr:rowOff>51954</xdr:rowOff>
    </xdr:from>
    <xdr:ext cx="2243941" cy="342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B105A7AD-50BE-4517-A10F-E933C690F756}"/>
            </a:ext>
          </a:extLst>
        </xdr:cNvPr>
        <xdr:cNvSpPr txBox="1"/>
      </xdr:nvSpPr>
      <xdr:spPr>
        <a:xfrm>
          <a:off x="2353540" y="23378679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357123</xdr:colOff>
      <xdr:row>20</xdr:row>
      <xdr:rowOff>130629</xdr:rowOff>
    </xdr:from>
    <xdr:ext cx="3098269" cy="382045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587B71D-1CD1-44AC-84AF-311AA5375068}"/>
            </a:ext>
          </a:extLst>
        </xdr:cNvPr>
        <xdr:cNvSpPr txBox="1"/>
      </xdr:nvSpPr>
      <xdr:spPr>
        <a:xfrm>
          <a:off x="2055294" y="3853543"/>
          <a:ext cx="3098269" cy="3820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Resumen 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3</xdr:col>
      <xdr:colOff>415471</xdr:colOff>
      <xdr:row>12</xdr:row>
      <xdr:rowOff>88447</xdr:rowOff>
    </xdr:from>
    <xdr:ext cx="8598937" cy="421822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DD142C0-1F62-4998-9E49-72517C9E409A}"/>
            </a:ext>
          </a:extLst>
        </xdr:cNvPr>
        <xdr:cNvSpPr txBox="1"/>
      </xdr:nvSpPr>
      <xdr:spPr>
        <a:xfrm>
          <a:off x="4933042" y="2374447"/>
          <a:ext cx="8598937" cy="4218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límite</a:t>
          </a:r>
          <a:r>
            <a:rPr lang="es-419" sz="1600" b="1" baseline="0">
              <a:solidFill>
                <a:srgbClr val="00B050"/>
              </a:solidFill>
            </a:rPr>
            <a:t> pcs por dap [pulgadas]: &lt;=8, 4pcs; &lt;=10, 3 pcs; &lt;=16, 2pcs; &gt;16, 1 pcs. Kluender et al 1997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oneCell">
    <xdr:from>
      <xdr:col>3</xdr:col>
      <xdr:colOff>289760</xdr:colOff>
      <xdr:row>21</xdr:row>
      <xdr:rowOff>118051</xdr:rowOff>
    </xdr:from>
    <xdr:to>
      <xdr:col>6</xdr:col>
      <xdr:colOff>129540</xdr:colOff>
      <xdr:row>23</xdr:row>
      <xdr:rowOff>155303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Máquina 1">
              <a:extLst>
                <a:ext uri="{FF2B5EF4-FFF2-40B4-BE49-F238E27FC236}">
                  <a16:creationId xmlns:a16="http://schemas.microsoft.com/office/drawing/2014/main" id="{E7962044-F5E8-4BA9-B502-9FBC10AA4F4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9396" y="4020415"/>
              <a:ext cx="4986513" cy="406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oneCellAnchor>
    <xdr:from>
      <xdr:col>7</xdr:col>
      <xdr:colOff>82415</xdr:colOff>
      <xdr:row>20</xdr:row>
      <xdr:rowOff>37233</xdr:rowOff>
    </xdr:from>
    <xdr:ext cx="3565071" cy="342786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744C6E82-53F9-4D99-A599-0573FB886BB2}"/>
            </a:ext>
          </a:extLst>
        </xdr:cNvPr>
        <xdr:cNvSpPr txBox="1">
          <a:spLocks noChangeAspect="1"/>
        </xdr:cNvSpPr>
      </xdr:nvSpPr>
      <xdr:spPr>
        <a:xfrm>
          <a:off x="10681142" y="3754869"/>
          <a:ext cx="35650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iD_Madereo: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116953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9177115C-1CE7-42FF-A7E4-3FEDD85A3E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9</xdr:col>
      <xdr:colOff>173936</xdr:colOff>
      <xdr:row>10</xdr:row>
      <xdr:rowOff>25696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C8A3F8D2-1305-4AF3-B56D-D30BB265A78F}"/>
            </a:ext>
          </a:extLst>
        </xdr:cNvPr>
        <xdr:cNvGrpSpPr>
          <a:grpSpLocks noChangeAspect="1"/>
        </xdr:cNvGrpSpPr>
      </xdr:nvGrpSpPr>
      <xdr:grpSpPr>
        <a:xfrm>
          <a:off x="3175000" y="0"/>
          <a:ext cx="10384736" cy="1803696"/>
          <a:chOff x="2921000" y="0"/>
          <a:chExt cx="10399745" cy="1938316"/>
        </a:xfrm>
      </xdr:grpSpPr>
      <xdr:graphicFrame macro="">
        <xdr:nvGraphicFramePr>
          <xdr:cNvPr id="17" name="Diagrama 16">
            <a:extLst>
              <a:ext uri="{FF2B5EF4-FFF2-40B4-BE49-F238E27FC236}">
                <a16:creationId xmlns:a16="http://schemas.microsoft.com/office/drawing/2014/main" id="{D9E52DD7-1BCD-4AD1-BA2D-56DAFC470494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74EE2043-9FBC-47CD-9F31-325E2A93A294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111265</xdr:colOff>
      <xdr:row>13</xdr:row>
      <xdr:rowOff>127000</xdr:rowOff>
    </xdr:from>
    <xdr:ext cx="2243941" cy="342786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52FC640-DC59-45E0-9287-C49829806CB5}"/>
            </a:ext>
          </a:extLst>
        </xdr:cNvPr>
        <xdr:cNvSpPr txBox="1"/>
      </xdr:nvSpPr>
      <xdr:spPr>
        <a:xfrm>
          <a:off x="1843083" y="2528455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334158</xdr:colOff>
      <xdr:row>22</xdr:row>
      <xdr:rowOff>112552</xdr:rowOff>
    </xdr:from>
    <xdr:ext cx="3003019" cy="382045"/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EE09E607-3607-483F-99CB-20647ECB5FFD}"/>
            </a:ext>
          </a:extLst>
        </xdr:cNvPr>
        <xdr:cNvSpPr txBox="1"/>
      </xdr:nvSpPr>
      <xdr:spPr>
        <a:xfrm>
          <a:off x="2065976" y="4211188"/>
          <a:ext cx="3003019" cy="3820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Funciones de rendimiento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absoluteAnchor>
    <xdr:pos x="5759698" y="4155604"/>
    <xdr:ext cx="4134757" cy="428624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MÁQUINA 2">
              <a:extLst>
                <a:ext uri="{FF2B5EF4-FFF2-40B4-BE49-F238E27FC236}">
                  <a16:creationId xmlns:a16="http://schemas.microsoft.com/office/drawing/2014/main" id="{A4392B25-5970-4EB4-A425-8011673A5B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9698" y="4155604"/>
              <a:ext cx="4134757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oneCellAnchor>
    <xdr:from>
      <xdr:col>7</xdr:col>
      <xdr:colOff>750076</xdr:colOff>
      <xdr:row>13</xdr:row>
      <xdr:rowOff>121342</xdr:rowOff>
    </xdr:from>
    <xdr:ext cx="3565071" cy="342786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7C9A87BE-8835-40C9-8150-166B9DA37032}"/>
            </a:ext>
          </a:extLst>
        </xdr:cNvPr>
        <xdr:cNvSpPr txBox="1">
          <a:spLocks noChangeAspect="1"/>
        </xdr:cNvSpPr>
      </xdr:nvSpPr>
      <xdr:spPr>
        <a:xfrm>
          <a:off x="10171167" y="2522797"/>
          <a:ext cx="35650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Id_Madereo: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119691</xdr:rowOff>
    </xdr:to>
    <xdr:graphicFrame macro="">
      <xdr:nvGraphicFramePr>
        <xdr:cNvPr id="22" name="Diagrama 21">
          <a:extLst>
            <a:ext uri="{FF2B5EF4-FFF2-40B4-BE49-F238E27FC236}">
              <a16:creationId xmlns:a16="http://schemas.microsoft.com/office/drawing/2014/main" id="{A8C5AD30-5221-4ABD-BED0-1F47A95A8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10</xdr:col>
      <xdr:colOff>972189</xdr:colOff>
      <xdr:row>10</xdr:row>
      <xdr:rowOff>91043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F97510F4-928B-4337-9718-9C18059A479C}"/>
            </a:ext>
          </a:extLst>
        </xdr:cNvPr>
        <xdr:cNvGrpSpPr>
          <a:grpSpLocks noChangeAspect="1"/>
        </xdr:cNvGrpSpPr>
      </xdr:nvGrpSpPr>
      <xdr:grpSpPr>
        <a:xfrm>
          <a:off x="3136900" y="0"/>
          <a:ext cx="10382889" cy="1869043"/>
          <a:chOff x="2921000" y="0"/>
          <a:chExt cx="10399745" cy="1938316"/>
        </a:xfrm>
      </xdr:grpSpPr>
      <xdr:graphicFrame macro="">
        <xdr:nvGraphicFramePr>
          <xdr:cNvPr id="11" name="Diagrama 10">
            <a:extLst>
              <a:ext uri="{FF2B5EF4-FFF2-40B4-BE49-F238E27FC236}">
                <a16:creationId xmlns:a16="http://schemas.microsoft.com/office/drawing/2014/main" id="{8F3D1600-614D-4B5B-A33A-5139CD499B0E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8E2B92E3-96C5-47C7-9D0C-FA310941655E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518058</xdr:colOff>
      <xdr:row>12</xdr:row>
      <xdr:rowOff>138545</xdr:rowOff>
    </xdr:from>
    <xdr:ext cx="3099586" cy="381000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E660A56-D8EA-457A-8B77-FDFB053B20CA}"/>
            </a:ext>
          </a:extLst>
        </xdr:cNvPr>
        <xdr:cNvSpPr txBox="1"/>
      </xdr:nvSpPr>
      <xdr:spPr>
        <a:xfrm>
          <a:off x="2249876" y="2355272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529603</xdr:colOff>
      <xdr:row>20</xdr:row>
      <xdr:rowOff>75421</xdr:rowOff>
    </xdr:from>
    <xdr:ext cx="3099586" cy="374853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529D1C95-253E-4C62-B94A-59AC417F6EC3}"/>
            </a:ext>
          </a:extLst>
        </xdr:cNvPr>
        <xdr:cNvSpPr txBox="1"/>
      </xdr:nvSpPr>
      <xdr:spPr>
        <a:xfrm>
          <a:off x="2261421" y="3793057"/>
          <a:ext cx="3099586" cy="3748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Resumen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138972</xdr:rowOff>
    </xdr:to>
    <xdr:graphicFrame macro="">
      <xdr:nvGraphicFramePr>
        <xdr:cNvPr id="13" name="Diagrama 12">
          <a:extLst>
            <a:ext uri="{FF2B5EF4-FFF2-40B4-BE49-F238E27FC236}">
              <a16:creationId xmlns:a16="http://schemas.microsoft.com/office/drawing/2014/main" id="{F86B723D-07A4-471B-9279-FC37AC907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7</xdr:col>
      <xdr:colOff>488703</xdr:colOff>
      <xdr:row>12</xdr:row>
      <xdr:rowOff>115454</xdr:rowOff>
    </xdr:from>
    <xdr:ext cx="4708070" cy="342786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63BAD7B-2BEF-43CB-9414-A5ECB3E158D5}"/>
            </a:ext>
          </a:extLst>
        </xdr:cNvPr>
        <xdr:cNvSpPr txBox="1">
          <a:spLocks noChangeAspect="1"/>
        </xdr:cNvSpPr>
      </xdr:nvSpPr>
      <xdr:spPr>
        <a:xfrm>
          <a:off x="9494158" y="2332181"/>
          <a:ext cx="4708070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Id_Carguío</a:t>
          </a:r>
          <a:r>
            <a:rPr lang="es-419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: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absolute">
    <xdr:from>
      <xdr:col>2</xdr:col>
      <xdr:colOff>0</xdr:colOff>
      <xdr:row>0</xdr:row>
      <xdr:rowOff>0</xdr:rowOff>
    </xdr:from>
    <xdr:to>
      <xdr:col>11</xdr:col>
      <xdr:colOff>396120</xdr:colOff>
      <xdr:row>10</xdr:row>
      <xdr:rowOff>122760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045819E-BD1A-4A7F-A195-AB70B0AEF8F7}"/>
            </a:ext>
          </a:extLst>
        </xdr:cNvPr>
        <xdr:cNvGrpSpPr>
          <a:grpSpLocks noChangeAspect="1"/>
        </xdr:cNvGrpSpPr>
      </xdr:nvGrpSpPr>
      <xdr:grpSpPr>
        <a:xfrm>
          <a:off x="2489200" y="0"/>
          <a:ext cx="10352920" cy="1900760"/>
          <a:chOff x="2921000" y="0"/>
          <a:chExt cx="10399745" cy="1938316"/>
        </a:xfrm>
      </xdr:grpSpPr>
      <xdr:graphicFrame macro="">
        <xdr:nvGraphicFramePr>
          <xdr:cNvPr id="16" name="Diagrama 15">
            <a:extLst>
              <a:ext uri="{FF2B5EF4-FFF2-40B4-BE49-F238E27FC236}">
                <a16:creationId xmlns:a16="http://schemas.microsoft.com/office/drawing/2014/main" id="{F3AF66BF-266C-4B12-967D-810E2F1D60AA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E8463FF1-9012-4E1D-9FCD-4949B14A029D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144167</xdr:rowOff>
    </xdr:to>
    <xdr:graphicFrame macro="">
      <xdr:nvGraphicFramePr>
        <xdr:cNvPr id="6" name="Diagrama 5">
          <a:extLst>
            <a:ext uri="{FF2B5EF4-FFF2-40B4-BE49-F238E27FC236}">
              <a16:creationId xmlns:a16="http://schemas.microsoft.com/office/drawing/2014/main" id="{5E55C57E-61D9-4032-B3ED-50ABE85F1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1</xdr:col>
      <xdr:colOff>442953</xdr:colOff>
      <xdr:row>13</xdr:row>
      <xdr:rowOff>0</xdr:rowOff>
    </xdr:from>
    <xdr:ext cx="3099586" cy="381000"/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1A18CDF3-A8DE-4941-8020-7A6ADBBB4F25}"/>
            </a:ext>
          </a:extLst>
        </xdr:cNvPr>
        <xdr:cNvSpPr txBox="1"/>
      </xdr:nvSpPr>
      <xdr:spPr>
        <a:xfrm>
          <a:off x="2148382" y="2358571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654136</xdr:colOff>
      <xdr:row>19</xdr:row>
      <xdr:rowOff>63499</xdr:rowOff>
    </xdr:from>
    <xdr:ext cx="3099586" cy="38100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6312AE8-5492-43FE-B513-390DB82CB4B0}"/>
            </a:ext>
          </a:extLst>
        </xdr:cNvPr>
        <xdr:cNvSpPr txBox="1"/>
      </xdr:nvSpPr>
      <xdr:spPr>
        <a:xfrm>
          <a:off x="2359565" y="3510642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Reza </a:t>
          </a:r>
          <a:r>
            <a:rPr lang="es-419" sz="1600" b="1" i="1">
              <a:solidFill>
                <a:srgbClr val="00B050"/>
              </a:solidFill>
            </a:rPr>
            <a:t>et al </a:t>
          </a:r>
          <a:r>
            <a:rPr lang="es-419" sz="1600" b="1">
              <a:solidFill>
                <a:srgbClr val="00B050"/>
              </a:solidFill>
            </a:rPr>
            <a:t>2013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absolute">
    <xdr:from>
      <xdr:col>2</xdr:col>
      <xdr:colOff>0</xdr:colOff>
      <xdr:row>0</xdr:row>
      <xdr:rowOff>0</xdr:rowOff>
    </xdr:from>
    <xdr:to>
      <xdr:col>8</xdr:col>
      <xdr:colOff>1757214</xdr:colOff>
      <xdr:row>10</xdr:row>
      <xdr:rowOff>122760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3FADE5F-9964-4109-AF66-095064A88808}"/>
            </a:ext>
          </a:extLst>
        </xdr:cNvPr>
        <xdr:cNvGrpSpPr>
          <a:grpSpLocks noChangeAspect="1"/>
        </xdr:cNvGrpSpPr>
      </xdr:nvGrpSpPr>
      <xdr:grpSpPr>
        <a:xfrm>
          <a:off x="2489200" y="0"/>
          <a:ext cx="10367814" cy="1900760"/>
          <a:chOff x="2921000" y="0"/>
          <a:chExt cx="10399745" cy="1938316"/>
        </a:xfrm>
      </xdr:grpSpPr>
      <xdr:graphicFrame macro="">
        <xdr:nvGraphicFramePr>
          <xdr:cNvPr id="9" name="Diagrama 8">
            <a:extLst>
              <a:ext uri="{FF2B5EF4-FFF2-40B4-BE49-F238E27FC236}">
                <a16:creationId xmlns:a16="http://schemas.microsoft.com/office/drawing/2014/main" id="{F42E6D1D-DEE8-4A84-8765-A25CC8DD44AC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1A356BBE-E48B-45D8-9F81-17CE3DBE39AC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  <xdr:oneCellAnchor>
    <xdr:from>
      <xdr:col>7</xdr:col>
      <xdr:colOff>288635</xdr:colOff>
      <xdr:row>14</xdr:row>
      <xdr:rowOff>173182</xdr:rowOff>
    </xdr:from>
    <xdr:ext cx="4708070" cy="342786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7B9A5E76-9269-4BA2-B113-8AABAAEC0F19}"/>
            </a:ext>
          </a:extLst>
        </xdr:cNvPr>
        <xdr:cNvSpPr txBox="1">
          <a:spLocks noChangeAspect="1"/>
        </xdr:cNvSpPr>
      </xdr:nvSpPr>
      <xdr:spPr>
        <a:xfrm>
          <a:off x="10032999" y="2759364"/>
          <a:ext cx="4708070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Id_transporte</a:t>
          </a:r>
          <a:r>
            <a:rPr lang="es-419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: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2625165</xdr:colOff>
      <xdr:row>0</xdr:row>
      <xdr:rowOff>0</xdr:rowOff>
    </xdr:from>
    <xdr:to>
      <xdr:col>8</xdr:col>
      <xdr:colOff>2713660</xdr:colOff>
      <xdr:row>10</xdr:row>
      <xdr:rowOff>47034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B06DE3F3-7536-4C8F-8BE3-52649FCC2E1B}"/>
            </a:ext>
          </a:extLst>
        </xdr:cNvPr>
        <xdr:cNvGrpSpPr>
          <a:grpSpLocks noChangeAspect="1"/>
        </xdr:cNvGrpSpPr>
      </xdr:nvGrpSpPr>
      <xdr:grpSpPr>
        <a:xfrm>
          <a:off x="4062079" y="0"/>
          <a:ext cx="10484352" cy="1897605"/>
          <a:chOff x="5732493" y="0"/>
          <a:chExt cx="10387354" cy="1902908"/>
        </a:xfrm>
      </xdr:grpSpPr>
      <xdr:graphicFrame macro="">
        <xdr:nvGraphicFramePr>
          <xdr:cNvPr id="25" name="Diagrama 24">
            <a:extLst>
              <a:ext uri="{FF2B5EF4-FFF2-40B4-BE49-F238E27FC236}">
                <a16:creationId xmlns:a16="http://schemas.microsoft.com/office/drawing/2014/main" id="{13036442-CAF7-41C4-B270-A95EDC95D92D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26" name="CuadroTexto 25">
            <a:extLst>
              <a:ext uri="{FF2B5EF4-FFF2-40B4-BE49-F238E27FC236}">
                <a16:creationId xmlns:a16="http://schemas.microsoft.com/office/drawing/2014/main" id="{7A9B4D32-E68D-41F1-A508-B5F6B43612B9}"/>
              </a:ext>
            </a:extLst>
          </xdr:cNvPr>
          <xdr:cNvSpPr txBox="1"/>
        </xdr:nvSpPr>
        <xdr:spPr>
          <a:xfrm>
            <a:off x="9191625" y="1498908"/>
            <a:ext cx="4744889" cy="40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138546</xdr:colOff>
      <xdr:row>10</xdr:row>
      <xdr:rowOff>80817</xdr:rowOff>
    </xdr:from>
    <xdr:to>
      <xdr:col>2</xdr:col>
      <xdr:colOff>898750</xdr:colOff>
      <xdr:row>22</xdr:row>
      <xdr:rowOff>150091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CFA2B7E3-66E3-464D-BCD6-0231E6863508}"/>
            </a:ext>
          </a:extLst>
        </xdr:cNvPr>
        <xdr:cNvGrpSpPr/>
      </xdr:nvGrpSpPr>
      <xdr:grpSpPr>
        <a:xfrm>
          <a:off x="1575460" y="1931388"/>
          <a:ext cx="4428690" cy="3095503"/>
          <a:chOff x="1870364" y="1951181"/>
          <a:chExt cx="4858841" cy="3117274"/>
        </a:xfrm>
      </xdr:grpSpPr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CC511E7A-6758-4C67-B48E-CAD0084ADF76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723AE866-D3CD-4DCB-B093-0FBCFB1B2553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22678</xdr:colOff>
      <xdr:row>36</xdr:row>
      <xdr:rowOff>80025</xdr:rowOff>
    </xdr:to>
    <xdr:graphicFrame macro="">
      <xdr:nvGraphicFramePr>
        <xdr:cNvPr id="12" name="Diagrama 11">
          <a:extLst>
            <a:ext uri="{FF2B5EF4-FFF2-40B4-BE49-F238E27FC236}">
              <a16:creationId xmlns:a16="http://schemas.microsoft.com/office/drawing/2014/main" id="{B02ADB75-13B8-48AC-A288-1ADECA3CC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2357582</xdr:colOff>
      <xdr:row>0</xdr:row>
      <xdr:rowOff>115454</xdr:rowOff>
    </xdr:from>
    <xdr:to>
      <xdr:col>7</xdr:col>
      <xdr:colOff>1670624</xdr:colOff>
      <xdr:row>10</xdr:row>
      <xdr:rowOff>173629</xdr:rowOff>
    </xdr:to>
    <xdr:grpSp>
      <xdr:nvGrpSpPr>
        <xdr:cNvPr id="16" name="Grup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11D3BF-F0B8-4960-8BA5-041EEE8D7D42}"/>
            </a:ext>
          </a:extLst>
        </xdr:cNvPr>
        <xdr:cNvGrpSpPr>
          <a:grpSpLocks noChangeAspect="1"/>
        </xdr:cNvGrpSpPr>
      </xdr:nvGrpSpPr>
      <xdr:grpSpPr>
        <a:xfrm>
          <a:off x="3805382" y="115454"/>
          <a:ext cx="13539582" cy="1908746"/>
          <a:chOff x="5732493" y="0"/>
          <a:chExt cx="13553322" cy="1902908"/>
        </a:xfrm>
      </xdr:grpSpPr>
      <xdr:graphicFrame macro="">
        <xdr:nvGraphicFramePr>
          <xdr:cNvPr id="18" name="Diagrama 17">
            <a:extLst>
              <a:ext uri="{FF2B5EF4-FFF2-40B4-BE49-F238E27FC236}">
                <a16:creationId xmlns:a16="http://schemas.microsoft.com/office/drawing/2014/main" id="{403B6FCB-0C8B-4E4E-B327-A7C1CBBC962C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2" r:lo="rId3" r:qs="rId4" r:cs="rId5"/>
          </a:graphicData>
        </a:graphic>
      </xdr:graphicFrame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68BB925-1F0D-47FF-BBBA-5957FEF33D24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444500</xdr:colOff>
      <xdr:row>11</xdr:row>
      <xdr:rowOff>165100</xdr:rowOff>
    </xdr:from>
    <xdr:to>
      <xdr:col>1</xdr:col>
      <xdr:colOff>5303341</xdr:colOff>
      <xdr:row>22</xdr:row>
      <xdr:rowOff>43874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3AE023AC-C4E4-42EF-A901-2EF5B6021FC5}"/>
            </a:ext>
          </a:extLst>
        </xdr:cNvPr>
        <xdr:cNvGrpSpPr/>
      </xdr:nvGrpSpPr>
      <xdr:grpSpPr>
        <a:xfrm>
          <a:off x="1892300" y="2200729"/>
          <a:ext cx="4858841" cy="3002974"/>
          <a:chOff x="1870364" y="1951181"/>
          <a:chExt cx="4858841" cy="3117274"/>
        </a:xfrm>
      </xdr:grpSpPr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FAEA6DE-BB7B-40FC-BA50-1DC79F4CAA83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B661CBD9-0BC2-4E0B-9BEB-86A68DE35B1A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6803</xdr:colOff>
      <xdr:row>31</xdr:row>
      <xdr:rowOff>139195</xdr:rowOff>
    </xdr:to>
    <xdr:graphicFrame macro="">
      <xdr:nvGraphicFramePr>
        <xdr:cNvPr id="24" name="Diagrama 23">
          <a:extLst>
            <a:ext uri="{FF2B5EF4-FFF2-40B4-BE49-F238E27FC236}">
              <a16:creationId xmlns:a16="http://schemas.microsoft.com/office/drawing/2014/main" id="{A9F07F5A-26C5-4E3D-90C3-C3D4091E7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2840065</xdr:colOff>
      <xdr:row>0</xdr:row>
      <xdr:rowOff>97444</xdr:rowOff>
    </xdr:from>
    <xdr:to>
      <xdr:col>9</xdr:col>
      <xdr:colOff>360334</xdr:colOff>
      <xdr:row>10</xdr:row>
      <xdr:rowOff>35085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3CFD468D-1F23-4841-8B7C-A20B598F8588}"/>
            </a:ext>
          </a:extLst>
        </xdr:cNvPr>
        <xdr:cNvGrpSpPr>
          <a:grpSpLocks noChangeAspect="1"/>
        </xdr:cNvGrpSpPr>
      </xdr:nvGrpSpPr>
      <xdr:grpSpPr>
        <a:xfrm>
          <a:off x="4549122" y="97444"/>
          <a:ext cx="10789955" cy="1897070"/>
          <a:chOff x="5732493" y="0"/>
          <a:chExt cx="10773351" cy="1902908"/>
        </a:xfrm>
      </xdr:grpSpPr>
      <xdr:graphicFrame macro="">
        <xdr:nvGraphicFramePr>
          <xdr:cNvPr id="9" name="Diagrama 8">
            <a:extLst>
              <a:ext uri="{FF2B5EF4-FFF2-40B4-BE49-F238E27FC236}">
                <a16:creationId xmlns:a16="http://schemas.microsoft.com/office/drawing/2014/main" id="{8CE31E9A-8298-4C21-AA63-864E63E3BE34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0F0D888C-7503-482E-9C87-7D9FEC4E9A92}"/>
              </a:ext>
            </a:extLst>
          </xdr:cNvPr>
          <xdr:cNvSpPr txBox="1"/>
        </xdr:nvSpPr>
        <xdr:spPr>
          <a:xfrm>
            <a:off x="9191625" y="1406667"/>
            <a:ext cx="7314219" cy="49624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323272</xdr:colOff>
      <xdr:row>10</xdr:row>
      <xdr:rowOff>265544</xdr:rowOff>
    </xdr:from>
    <xdr:to>
      <xdr:col>3</xdr:col>
      <xdr:colOff>461817</xdr:colOff>
      <xdr:row>21</xdr:row>
      <xdr:rowOff>80819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DB8CD06B-1B5D-4103-B83C-FC4185E72EF2}"/>
            </a:ext>
          </a:extLst>
        </xdr:cNvPr>
        <xdr:cNvGrpSpPr/>
      </xdr:nvGrpSpPr>
      <xdr:grpSpPr>
        <a:xfrm>
          <a:off x="2032329" y="2224973"/>
          <a:ext cx="7072745" cy="3048332"/>
          <a:chOff x="1870362" y="1951180"/>
          <a:chExt cx="7042201" cy="3117275"/>
        </a:xfrm>
      </xdr:grpSpPr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076A8B56-ED71-4ED7-AB20-B31CD15C48F0}"/>
              </a:ext>
            </a:extLst>
          </xdr:cNvPr>
          <xdr:cNvSpPr txBox="1"/>
        </xdr:nvSpPr>
        <xdr:spPr>
          <a:xfrm>
            <a:off x="1870362" y="1951180"/>
            <a:ext cx="7042201" cy="70427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9F7F0D61-81FF-463D-B08D-23DE6A2EAB6B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30</xdr:row>
      <xdr:rowOff>97285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76A4720D-0AB7-4DC4-85C2-C0A11942F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3032125</xdr:colOff>
      <xdr:row>0</xdr:row>
      <xdr:rowOff>0</xdr:rowOff>
    </xdr:from>
    <xdr:to>
      <xdr:col>12</xdr:col>
      <xdr:colOff>474920</xdr:colOff>
      <xdr:row>10</xdr:row>
      <xdr:rowOff>61985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963314-2D07-430D-8C0E-83633C997C17}"/>
            </a:ext>
          </a:extLst>
        </xdr:cNvPr>
        <xdr:cNvGrpSpPr>
          <a:grpSpLocks noChangeAspect="1"/>
        </xdr:cNvGrpSpPr>
      </xdr:nvGrpSpPr>
      <xdr:grpSpPr>
        <a:xfrm>
          <a:off x="4736234" y="0"/>
          <a:ext cx="13611050" cy="1863076"/>
          <a:chOff x="5732493" y="0"/>
          <a:chExt cx="13553322" cy="1902908"/>
        </a:xfrm>
      </xdr:grpSpPr>
      <xdr:graphicFrame macro="">
        <xdr:nvGraphicFramePr>
          <xdr:cNvPr id="7" name="Diagrama 6">
            <a:extLst>
              <a:ext uri="{FF2B5EF4-FFF2-40B4-BE49-F238E27FC236}">
                <a16:creationId xmlns:a16="http://schemas.microsoft.com/office/drawing/2014/main" id="{A44C72FC-C4C6-4144-98DC-441D9837126F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2" r:lo="rId3" r:qs="rId4" r:cs="rId5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E8A06D60-AEE4-4D04-954F-FE16FEEF0966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240659</xdr:colOff>
      <xdr:row>24</xdr:row>
      <xdr:rowOff>34637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3B6B21B8-F746-4549-8809-63B3E0F7950F}"/>
            </a:ext>
          </a:extLst>
        </xdr:cNvPr>
        <xdr:cNvGrpSpPr/>
      </xdr:nvGrpSpPr>
      <xdr:grpSpPr>
        <a:xfrm>
          <a:off x="1704109" y="1440873"/>
          <a:ext cx="7777532" cy="3470564"/>
          <a:chOff x="1870364" y="1951181"/>
          <a:chExt cx="4858841" cy="3117274"/>
        </a:xfrm>
      </xdr:grpSpPr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80508BC1-DE3B-4EE9-9544-99B41A0FE896}"/>
              </a:ext>
            </a:extLst>
          </xdr:cNvPr>
          <xdr:cNvSpPr txBox="1"/>
        </xdr:nvSpPr>
        <xdr:spPr>
          <a:xfrm>
            <a:off x="1870365" y="1951181"/>
            <a:ext cx="2788260" cy="51450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AC0BDDB8-E805-47E4-BF4E-FE38C072FC76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1483178</xdr:colOff>
      <xdr:row>33</xdr:row>
      <xdr:rowOff>230115</xdr:rowOff>
    </xdr:to>
    <xdr:graphicFrame macro="">
      <xdr:nvGraphicFramePr>
        <xdr:cNvPr id="14" name="Diagrama 13">
          <a:extLst>
            <a:ext uri="{FF2B5EF4-FFF2-40B4-BE49-F238E27FC236}">
              <a16:creationId xmlns:a16="http://schemas.microsoft.com/office/drawing/2014/main" id="{ED3701F7-2DAE-4A59-8A4A-E283EFEE01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37</xdr:row>
      <xdr:rowOff>61090</xdr:rowOff>
    </xdr:to>
    <xdr:graphicFrame macro="">
      <xdr:nvGraphicFramePr>
        <xdr:cNvPr id="8" name="Diagrama 7">
          <a:extLst>
            <a:ext uri="{FF2B5EF4-FFF2-40B4-BE49-F238E27FC236}">
              <a16:creationId xmlns:a16="http://schemas.microsoft.com/office/drawing/2014/main" id="{63B7B217-0C20-4C00-97EB-D1A7BB3144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</xdr:col>
      <xdr:colOff>2324100</xdr:colOff>
      <xdr:row>0</xdr:row>
      <xdr:rowOff>0</xdr:rowOff>
    </xdr:from>
    <xdr:to>
      <xdr:col>10</xdr:col>
      <xdr:colOff>664917</xdr:colOff>
      <xdr:row>10</xdr:row>
      <xdr:rowOff>97512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81333177-1997-45CD-B095-11FF001A964B}"/>
            </a:ext>
          </a:extLst>
        </xdr:cNvPr>
        <xdr:cNvGrpSpPr>
          <a:grpSpLocks noChangeAspect="1"/>
        </xdr:cNvGrpSpPr>
      </xdr:nvGrpSpPr>
      <xdr:grpSpPr>
        <a:xfrm>
          <a:off x="4025900" y="0"/>
          <a:ext cx="13542717" cy="1875512"/>
          <a:chOff x="5732493" y="0"/>
          <a:chExt cx="13553322" cy="1902908"/>
        </a:xfrm>
      </xdr:grpSpPr>
      <xdr:graphicFrame macro="">
        <xdr:nvGraphicFramePr>
          <xdr:cNvPr id="7" name="Diagrama 6">
            <a:extLst>
              <a:ext uri="{FF2B5EF4-FFF2-40B4-BE49-F238E27FC236}">
                <a16:creationId xmlns:a16="http://schemas.microsoft.com/office/drawing/2014/main" id="{90EA30EA-BA98-48F9-9452-FF42D0FF7D8E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11CDB3C2-ACF9-4581-976F-4156B703D9E2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393700</xdr:colOff>
      <xdr:row>10</xdr:row>
      <xdr:rowOff>63500</xdr:rowOff>
    </xdr:from>
    <xdr:to>
      <xdr:col>2</xdr:col>
      <xdr:colOff>909141</xdr:colOff>
      <xdr:row>26</xdr:row>
      <xdr:rowOff>132774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73A977D-F4DC-472D-AE24-960A25A60CA1}"/>
            </a:ext>
          </a:extLst>
        </xdr:cNvPr>
        <xdr:cNvGrpSpPr/>
      </xdr:nvGrpSpPr>
      <xdr:grpSpPr>
        <a:xfrm>
          <a:off x="2095500" y="1841500"/>
          <a:ext cx="4668341" cy="3269674"/>
          <a:chOff x="1870364" y="1951181"/>
          <a:chExt cx="4858841" cy="3117274"/>
        </a:xfrm>
      </xdr:grpSpPr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C50DDE4B-7A73-4879-9613-7B74E7E9F349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5C21D23F-1956-490C-97B2-D6364951E7B8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54429</xdr:colOff>
      <xdr:row>18</xdr:row>
      <xdr:rowOff>149678</xdr:rowOff>
    </xdr:from>
    <xdr:to>
      <xdr:col>20</xdr:col>
      <xdr:colOff>759054</xdr:colOff>
      <xdr:row>21</xdr:row>
      <xdr:rowOff>42949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D34CCAAA-6841-4D01-AEFD-E580F3F11EC1}"/>
            </a:ext>
          </a:extLst>
        </xdr:cNvPr>
        <xdr:cNvSpPr txBox="1">
          <a:spLocks noChangeAspect="1"/>
        </xdr:cNvSpPr>
      </xdr:nvSpPr>
      <xdr:spPr>
        <a:xfrm>
          <a:off x="28995189" y="3441518"/>
          <a:ext cx="4068509" cy="444451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Volteo	</a:t>
          </a:r>
        </a:p>
      </xdr:txBody>
    </xdr:sp>
    <xdr:clientData/>
  </xdr:twoCellAnchor>
  <xdr:twoCellAnchor editAs="oneCell">
    <xdr:from>
      <xdr:col>18</xdr:col>
      <xdr:colOff>54429</xdr:colOff>
      <xdr:row>33</xdr:row>
      <xdr:rowOff>13607</xdr:rowOff>
    </xdr:from>
    <xdr:to>
      <xdr:col>20</xdr:col>
      <xdr:colOff>759054</xdr:colOff>
      <xdr:row>35</xdr:row>
      <xdr:rowOff>80869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B2F29A3C-4F6B-4328-9EBA-047052C00DC3}"/>
            </a:ext>
          </a:extLst>
        </xdr:cNvPr>
        <xdr:cNvSpPr txBox="1">
          <a:spLocks noChangeAspect="1"/>
        </xdr:cNvSpPr>
      </xdr:nvSpPr>
      <xdr:spPr>
        <a:xfrm>
          <a:off x="28995189" y="6086747"/>
          <a:ext cx="4068509" cy="452072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Madereo</a:t>
          </a:r>
        </a:p>
      </xdr:txBody>
    </xdr:sp>
    <xdr:clientData/>
  </xdr:twoCellAnchor>
  <xdr:twoCellAnchor editAs="oneCell">
    <xdr:from>
      <xdr:col>18</xdr:col>
      <xdr:colOff>6804</xdr:colOff>
      <xdr:row>54</xdr:row>
      <xdr:rowOff>45357</xdr:rowOff>
    </xdr:from>
    <xdr:to>
      <xdr:col>20</xdr:col>
      <xdr:colOff>708889</xdr:colOff>
      <xdr:row>56</xdr:row>
      <xdr:rowOff>111350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81DB6A97-8237-40BD-B54A-C0BA8FED4DA3}"/>
            </a:ext>
          </a:extLst>
        </xdr:cNvPr>
        <xdr:cNvSpPr txBox="1">
          <a:spLocks noChangeAspect="1"/>
        </xdr:cNvSpPr>
      </xdr:nvSpPr>
      <xdr:spPr>
        <a:xfrm>
          <a:off x="31121804" y="10332357"/>
          <a:ext cx="4133625" cy="446993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Procesado</a:t>
          </a:r>
        </a:p>
      </xdr:txBody>
    </xdr:sp>
    <xdr:clientData/>
  </xdr:twoCellAnchor>
  <xdr:twoCellAnchor editAs="oneCell">
    <xdr:from>
      <xdr:col>17</xdr:col>
      <xdr:colOff>2428875</xdr:colOff>
      <xdr:row>69</xdr:row>
      <xdr:rowOff>129981</xdr:rowOff>
    </xdr:from>
    <xdr:to>
      <xdr:col>20</xdr:col>
      <xdr:colOff>670970</xdr:colOff>
      <xdr:row>72</xdr:row>
      <xdr:rowOff>35376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BDA061E2-1405-4B83-81BB-AD291076CE00}"/>
            </a:ext>
          </a:extLst>
        </xdr:cNvPr>
        <xdr:cNvSpPr txBox="1">
          <a:spLocks noChangeAspect="1"/>
        </xdr:cNvSpPr>
      </xdr:nvSpPr>
      <xdr:spPr>
        <a:xfrm>
          <a:off x="31099125" y="13274481"/>
          <a:ext cx="4112035" cy="47689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Carguío</a:t>
          </a:r>
        </a:p>
      </xdr:txBody>
    </xdr:sp>
    <xdr:clientData/>
  </xdr:twoCellAnchor>
  <xdr:twoCellAnchor editAs="oneCell">
    <xdr:from>
      <xdr:col>18</xdr:col>
      <xdr:colOff>22679</xdr:colOff>
      <xdr:row>81</xdr:row>
      <xdr:rowOff>167640</xdr:rowOff>
    </xdr:from>
    <xdr:to>
      <xdr:col>20</xdr:col>
      <xdr:colOff>728574</xdr:colOff>
      <xdr:row>84</xdr:row>
      <xdr:rowOff>71535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265E291-8E1F-4177-B907-498842342D14}"/>
            </a:ext>
          </a:extLst>
        </xdr:cNvPr>
        <xdr:cNvSpPr txBox="1">
          <a:spLocks noChangeAspect="1"/>
        </xdr:cNvSpPr>
      </xdr:nvSpPr>
      <xdr:spPr>
        <a:xfrm>
          <a:off x="31137679" y="15598140"/>
          <a:ext cx="4133625" cy="47666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Transporte</a:t>
          </a:r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155070</xdr:rowOff>
    </xdr:to>
    <xdr:graphicFrame macro="">
      <xdr:nvGraphicFramePr>
        <xdr:cNvPr id="26" name="Diagrama 25">
          <a:extLst>
            <a:ext uri="{FF2B5EF4-FFF2-40B4-BE49-F238E27FC236}">
              <a16:creationId xmlns:a16="http://schemas.microsoft.com/office/drawing/2014/main" id="{7B26875D-7FF8-48CE-B5AD-3E3EFECB6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11</xdr:col>
      <xdr:colOff>1503752</xdr:colOff>
      <xdr:row>10</xdr:row>
      <xdr:rowOff>93702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2485704B-2E2D-461F-A87E-38E9EB59FB62}"/>
            </a:ext>
          </a:extLst>
        </xdr:cNvPr>
        <xdr:cNvGrpSpPr>
          <a:grpSpLocks noChangeAspect="1"/>
        </xdr:cNvGrpSpPr>
      </xdr:nvGrpSpPr>
      <xdr:grpSpPr>
        <a:xfrm>
          <a:off x="3385457" y="0"/>
          <a:ext cx="13684866" cy="1944273"/>
          <a:chOff x="5732493" y="0"/>
          <a:chExt cx="13553322" cy="1902908"/>
        </a:xfrm>
      </xdr:grpSpPr>
      <xdr:graphicFrame macro="">
        <xdr:nvGraphicFramePr>
          <xdr:cNvPr id="31" name="Diagrama 30">
            <a:extLst>
              <a:ext uri="{FF2B5EF4-FFF2-40B4-BE49-F238E27FC236}">
                <a16:creationId xmlns:a16="http://schemas.microsoft.com/office/drawing/2014/main" id="{CF085F0C-95C4-4634-B886-5F4FCEE1F2E6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61FF3BDA-F355-48C9-8D06-E1B402BCCEE0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542637</xdr:colOff>
      <xdr:row>15</xdr:row>
      <xdr:rowOff>0</xdr:rowOff>
    </xdr:from>
    <xdr:to>
      <xdr:col>16</xdr:col>
      <xdr:colOff>287426</xdr:colOff>
      <xdr:row>18</xdr:row>
      <xdr:rowOff>35197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3A8165F8-38B5-4814-9522-9C392C8E3C76}"/>
            </a:ext>
          </a:extLst>
        </xdr:cNvPr>
        <xdr:cNvSpPr txBox="1">
          <a:spLocks noChangeAspect="1"/>
        </xdr:cNvSpPr>
      </xdr:nvSpPr>
      <xdr:spPr>
        <a:xfrm>
          <a:off x="16059728" y="3024349"/>
          <a:ext cx="5770246" cy="5893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Costos</a:t>
          </a:r>
          <a:r>
            <a:rPr lang="es-419" sz="2000" b="1" baseline="0">
              <a:solidFill>
                <a:srgbClr val="00B050"/>
              </a:solidFill>
            </a:rPr>
            <a:t> de la configuración del Sistema 1, $/hrpl</a:t>
          </a:r>
          <a:endParaRPr lang="es-419" sz="2000" b="1">
            <a:solidFill>
              <a:srgbClr val="00B050"/>
            </a:solidFill>
          </a:endParaRPr>
        </a:p>
      </xdr:txBody>
    </xdr:sp>
    <xdr:clientData/>
  </xdr:twoCellAnchor>
  <xdr:twoCellAnchor editAs="oneCell">
    <xdr:from>
      <xdr:col>1</xdr:col>
      <xdr:colOff>105145</xdr:colOff>
      <xdr:row>15</xdr:row>
      <xdr:rowOff>136072</xdr:rowOff>
    </xdr:from>
    <xdr:to>
      <xdr:col>3</xdr:col>
      <xdr:colOff>502366</xdr:colOff>
      <xdr:row>18</xdr:row>
      <xdr:rowOff>149678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E282F47E-F203-4A5F-8EC8-CD8CFC5DC4C4}"/>
            </a:ext>
          </a:extLst>
        </xdr:cNvPr>
        <xdr:cNvSpPr txBox="1">
          <a:spLocks noChangeAspect="1"/>
        </xdr:cNvSpPr>
      </xdr:nvSpPr>
      <xdr:spPr>
        <a:xfrm>
          <a:off x="1836963" y="2930072"/>
          <a:ext cx="4054590" cy="5677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Configuración del Sistema 1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0</xdr:col>
      <xdr:colOff>1578552</xdr:colOff>
      <xdr:row>36</xdr:row>
      <xdr:rowOff>58141</xdr:rowOff>
    </xdr:to>
    <xdr:graphicFrame macro="">
      <xdr:nvGraphicFramePr>
        <xdr:cNvPr id="34" name="Diagrama 33">
          <a:extLst>
            <a:ext uri="{FF2B5EF4-FFF2-40B4-BE49-F238E27FC236}">
              <a16:creationId xmlns:a16="http://schemas.microsoft.com/office/drawing/2014/main" id="{DEACC1B8-5219-4F59-B80B-6F43BA271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8</xdr:col>
      <xdr:colOff>281824</xdr:colOff>
      <xdr:row>11</xdr:row>
      <xdr:rowOff>34637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5D036927-02D8-4E4E-9BEB-FE1D1F8737DD}"/>
            </a:ext>
          </a:extLst>
        </xdr:cNvPr>
        <xdr:cNvGrpSpPr/>
      </xdr:nvGrpSpPr>
      <xdr:grpSpPr>
        <a:xfrm>
          <a:off x="2698376" y="0"/>
          <a:ext cx="12841377" cy="2024802"/>
          <a:chOff x="3844636" y="0"/>
          <a:chExt cx="11480915" cy="2066637"/>
        </a:xfrm>
      </xdr:grpSpPr>
      <xdr:graphicFrame macro="">
        <xdr:nvGraphicFramePr>
          <xdr:cNvPr id="16" name="Diagrama 15">
            <a:extLst>
              <a:ext uri="{FF2B5EF4-FFF2-40B4-BE49-F238E27FC236}">
                <a16:creationId xmlns:a16="http://schemas.microsoft.com/office/drawing/2014/main" id="{ECA71337-10AC-4562-A0E4-B78F2595D813}"/>
              </a:ext>
            </a:extLst>
          </xdr:cNvPr>
          <xdr:cNvGraphicFramePr/>
        </xdr:nvGraphicFramePr>
        <xdr:xfrm>
          <a:off x="3844636" y="0"/>
          <a:ext cx="10552491" cy="151184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5B87515F-87F3-40E6-82AC-E74BE995DF65}"/>
              </a:ext>
            </a:extLst>
          </xdr:cNvPr>
          <xdr:cNvSpPr txBox="1"/>
        </xdr:nvSpPr>
        <xdr:spPr>
          <a:xfrm>
            <a:off x="5022273" y="1651823"/>
            <a:ext cx="10303278" cy="4148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2800" b="1">
                <a:solidFill>
                  <a:schemeClr val="accent6"/>
                </a:solidFill>
              </a:rPr>
              <a:t>m4.</a:t>
            </a:r>
            <a:r>
              <a:rPr lang="es-CL" sz="2800" b="1" baseline="0">
                <a:solidFill>
                  <a:schemeClr val="accent6"/>
                </a:solidFill>
              </a:rPr>
              <a:t> ANÁLISIS DE SISTEMA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1581728</xdr:colOff>
      <xdr:row>9</xdr:row>
      <xdr:rowOff>115456</xdr:rowOff>
    </xdr:from>
    <xdr:to>
      <xdr:col>2</xdr:col>
      <xdr:colOff>2043012</xdr:colOff>
      <xdr:row>12</xdr:row>
      <xdr:rowOff>173274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5F006360-0F1D-416B-B427-D413A83B3BDF}"/>
            </a:ext>
          </a:extLst>
        </xdr:cNvPr>
        <xdr:cNvSpPr txBox="1">
          <a:spLocks noChangeAspect="1"/>
        </xdr:cNvSpPr>
      </xdr:nvSpPr>
      <xdr:spPr>
        <a:xfrm>
          <a:off x="1581728" y="1778001"/>
          <a:ext cx="3203099" cy="612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Parámetros Costos</a:t>
          </a:r>
        </a:p>
      </xdr:txBody>
    </xdr:sp>
    <xdr:clientData/>
  </xdr:twoCellAnchor>
  <xdr:twoCellAnchor editAs="oneCell">
    <xdr:from>
      <xdr:col>1</xdr:col>
      <xdr:colOff>105145</xdr:colOff>
      <xdr:row>30</xdr:row>
      <xdr:rowOff>150091</xdr:rowOff>
    </xdr:from>
    <xdr:to>
      <xdr:col>3</xdr:col>
      <xdr:colOff>502366</xdr:colOff>
      <xdr:row>33</xdr:row>
      <xdr:rowOff>168777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5B95D808-393C-41AB-846C-AC9C123EA690}"/>
            </a:ext>
          </a:extLst>
        </xdr:cNvPr>
        <xdr:cNvSpPr txBox="1">
          <a:spLocks noChangeAspect="1"/>
        </xdr:cNvSpPr>
      </xdr:nvSpPr>
      <xdr:spPr>
        <a:xfrm>
          <a:off x="1836963" y="5784273"/>
          <a:ext cx="4054590" cy="5677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Configuración del Sistema 2</a:t>
          </a:r>
        </a:p>
      </xdr:txBody>
    </xdr:sp>
    <xdr:clientData/>
  </xdr:twoCellAnchor>
  <xdr:twoCellAnchor editAs="oneCell">
    <xdr:from>
      <xdr:col>11</xdr:col>
      <xdr:colOff>646546</xdr:colOff>
      <xdr:row>29</xdr:row>
      <xdr:rowOff>115454</xdr:rowOff>
    </xdr:from>
    <xdr:to>
      <xdr:col>16</xdr:col>
      <xdr:colOff>393875</xdr:colOff>
      <xdr:row>32</xdr:row>
      <xdr:rowOff>134026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AE8CBD3-8926-4123-BA88-9100D2DF49FA}"/>
            </a:ext>
          </a:extLst>
        </xdr:cNvPr>
        <xdr:cNvSpPr txBox="1">
          <a:spLocks noChangeAspect="1"/>
        </xdr:cNvSpPr>
      </xdr:nvSpPr>
      <xdr:spPr>
        <a:xfrm>
          <a:off x="14905182" y="5980545"/>
          <a:ext cx="5751485" cy="5893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Costos</a:t>
          </a:r>
          <a:r>
            <a:rPr lang="es-419" sz="2000" b="1" baseline="0">
              <a:solidFill>
                <a:srgbClr val="00B050"/>
              </a:solidFill>
            </a:rPr>
            <a:t> de la configuración del Sistema 2, $/hrpl</a:t>
          </a:r>
          <a:endParaRPr lang="es-419" sz="2000" b="1">
            <a:solidFill>
              <a:srgbClr val="00B05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29632</xdr:colOff>
      <xdr:row>13</xdr:row>
      <xdr:rowOff>91013</xdr:rowOff>
    </xdr:from>
    <xdr:to>
      <xdr:col>9</xdr:col>
      <xdr:colOff>927099</xdr:colOff>
      <xdr:row>16</xdr:row>
      <xdr:rowOff>71770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3DBC363-BB47-478A-9523-A9BBDDE69699}"/>
            </a:ext>
          </a:extLst>
        </xdr:cNvPr>
        <xdr:cNvSpPr txBox="1"/>
      </xdr:nvSpPr>
      <xdr:spPr>
        <a:xfrm>
          <a:off x="1769532" y="2618313"/>
          <a:ext cx="10358967" cy="5522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POR SUBSISTEMA, sin considerar costos indirectos</a:t>
          </a:r>
        </a:p>
        <a:p>
          <a:pPr algn="ctr"/>
          <a:endParaRPr lang="es-ES" sz="3200" u="none"/>
        </a:p>
      </xdr:txBody>
    </xdr:sp>
    <xdr:clientData/>
  </xdr:twoCellAnchor>
  <xdr:twoCellAnchor editAs="oneCell">
    <xdr:from>
      <xdr:col>4</xdr:col>
      <xdr:colOff>366182</xdr:colOff>
      <xdr:row>30</xdr:row>
      <xdr:rowOff>16929</xdr:rowOff>
    </xdr:from>
    <xdr:to>
      <xdr:col>7</xdr:col>
      <xdr:colOff>742949</xdr:colOff>
      <xdr:row>32</xdr:row>
      <xdr:rowOff>180296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2B0FA322-6B1F-445E-B19B-3700DDDD9164}"/>
            </a:ext>
          </a:extLst>
        </xdr:cNvPr>
        <xdr:cNvSpPr txBox="1"/>
      </xdr:nvSpPr>
      <xdr:spPr>
        <a:xfrm>
          <a:off x="4531782" y="5947829"/>
          <a:ext cx="4834467" cy="5697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POR TIPO</a:t>
          </a:r>
          <a:r>
            <a:rPr lang="es-ES" sz="3200" b="1" u="none" baseline="0">
              <a:solidFill>
                <a:schemeClr val="accent6"/>
              </a:solidFill>
            </a:rPr>
            <a:t> ($/hrpl)</a:t>
          </a:r>
          <a:endParaRPr lang="es-ES" sz="3200" u="none"/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816552</xdr:colOff>
      <xdr:row>35</xdr:row>
      <xdr:rowOff>166283</xdr:rowOff>
    </xdr:to>
    <xdr:graphicFrame macro="">
      <xdr:nvGraphicFramePr>
        <xdr:cNvPr id="15" name="Diagrama 14">
          <a:extLst>
            <a:ext uri="{FF2B5EF4-FFF2-40B4-BE49-F238E27FC236}">
              <a16:creationId xmlns:a16="http://schemas.microsoft.com/office/drawing/2014/main" id="{DF6115FD-CD3D-4774-92F4-5D2C116B5A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3</xdr:col>
      <xdr:colOff>37040</xdr:colOff>
      <xdr:row>40</xdr:row>
      <xdr:rowOff>143932</xdr:rowOff>
    </xdr:from>
    <xdr:to>
      <xdr:col>8</xdr:col>
      <xdr:colOff>373590</xdr:colOff>
      <xdr:row>43</xdr:row>
      <xdr:rowOff>178184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3170B34-25A1-43CA-AC4D-0860FA1FE1D6}"/>
            </a:ext>
          </a:extLst>
        </xdr:cNvPr>
        <xdr:cNvSpPr txBox="1"/>
      </xdr:nvSpPr>
      <xdr:spPr>
        <a:xfrm>
          <a:off x="3313640" y="8005232"/>
          <a:ext cx="7270750" cy="6057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TOTAL FAENA, POR TIPO</a:t>
          </a:r>
          <a:r>
            <a:rPr lang="es-ES" sz="3200" b="1" u="none" baseline="0">
              <a:solidFill>
                <a:schemeClr val="accent6"/>
              </a:solidFill>
            </a:rPr>
            <a:t> ($)</a:t>
          </a:r>
          <a:endParaRPr lang="es-ES" sz="3200" u="none"/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13</xdr:col>
      <xdr:colOff>176346</xdr:colOff>
      <xdr:row>10</xdr:row>
      <xdr:rowOff>67882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61A7353-08D1-4AC6-B0FD-1EA71F6B0BEC}"/>
            </a:ext>
          </a:extLst>
        </xdr:cNvPr>
        <xdr:cNvGrpSpPr/>
      </xdr:nvGrpSpPr>
      <xdr:grpSpPr>
        <a:xfrm>
          <a:off x="1709057" y="0"/>
          <a:ext cx="13554889" cy="1961996"/>
          <a:chOff x="1735667" y="0"/>
          <a:chExt cx="13299679" cy="1972882"/>
        </a:xfrm>
      </xdr:grpSpPr>
      <xdr:graphicFrame macro="">
        <xdr:nvGraphicFramePr>
          <xdr:cNvPr id="14" name="Diagrama 13">
            <a:extLst>
              <a:ext uri="{FF2B5EF4-FFF2-40B4-BE49-F238E27FC236}">
                <a16:creationId xmlns:a16="http://schemas.microsoft.com/office/drawing/2014/main" id="{9E39F291-5497-425E-9832-AEE6E122857A}"/>
              </a:ext>
            </a:extLst>
          </xdr:cNvPr>
          <xdr:cNvGraphicFramePr/>
        </xdr:nvGraphicFramePr>
        <xdr:xfrm>
          <a:off x="1735667" y="0"/>
          <a:ext cx="11201976" cy="1520287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4A0967-CB9A-40EE-83A3-3F6AED877A8E}"/>
              </a:ext>
            </a:extLst>
          </xdr:cNvPr>
          <xdr:cNvSpPr txBox="1"/>
        </xdr:nvSpPr>
        <xdr:spPr>
          <a:xfrm>
            <a:off x="3312584" y="1555751"/>
            <a:ext cx="11722762" cy="41713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2800" b="1">
                <a:solidFill>
                  <a:schemeClr val="accent6"/>
                </a:solidFill>
              </a:rPr>
              <a:t>m4.</a:t>
            </a:r>
            <a:r>
              <a:rPr lang="es-CL" sz="2800" b="1" baseline="0">
                <a:solidFill>
                  <a:schemeClr val="accent6"/>
                </a:solidFill>
              </a:rPr>
              <a:t> ANÁLISIS DE SISTEMA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10</xdr:col>
      <xdr:colOff>693718</xdr:colOff>
      <xdr:row>27</xdr:row>
      <xdr:rowOff>94097</xdr:rowOff>
    </xdr:from>
    <xdr:to>
      <xdr:col>18</xdr:col>
      <xdr:colOff>494642</xdr:colOff>
      <xdr:row>51</xdr:row>
      <xdr:rowOff>45220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2DB43117-8EA2-42D6-96A3-67CD3DC54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157375</xdr:colOff>
      <xdr:row>3</xdr:row>
      <xdr:rowOff>1947</xdr:rowOff>
    </xdr:from>
    <xdr:ext cx="1168427" cy="2532335"/>
    <xdr:grpSp>
      <xdr:nvGrpSpPr>
        <xdr:cNvPr id="7" name="Grupo 6">
          <a:extLst>
            <a:ext uri="{FF2B5EF4-FFF2-40B4-BE49-F238E27FC236}">
              <a16:creationId xmlns:a16="http://schemas.microsoft.com/office/drawing/2014/main" id="{743C54B4-62BC-4D50-943A-10E13B4457FE}"/>
            </a:ext>
          </a:extLst>
        </xdr:cNvPr>
        <xdr:cNvGrpSpPr/>
      </xdr:nvGrpSpPr>
      <xdr:grpSpPr>
        <a:xfrm>
          <a:off x="157375" y="573447"/>
          <a:ext cx="1168427" cy="2532335"/>
          <a:chOff x="157375" y="573447"/>
          <a:chExt cx="1168427" cy="2606107"/>
        </a:xfrm>
      </xdr:grpSpPr>
      <xdr:sp macro="" textlink="">
        <xdr:nvSpPr>
          <xdr:cNvPr id="8" name="Rectángulo: esquinas redondeadas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E3A281A-CF33-4224-82D1-9D90D2B02DA1}"/>
              </a:ext>
            </a:extLst>
          </xdr:cNvPr>
          <xdr:cNvSpPr/>
        </xdr:nvSpPr>
        <xdr:spPr>
          <a:xfrm>
            <a:off x="207347" y="573447"/>
            <a:ext cx="1068482" cy="736184"/>
          </a:xfrm>
          <a:prstGeom prst="roundRect">
            <a:avLst/>
          </a:prstGeom>
          <a:blipFill>
            <a:blip xmlns:r="http://schemas.openxmlformats.org/officeDocument/2006/relationships" r:embed="rId2">
              <a:alphaModFix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saturation sat="0"/>
                      </a14:imgEffect>
                    </a14:imgLayer>
                  </a14:imgProps>
                </a:ext>
              </a:extLst>
            </a:blip>
            <a:srcRect/>
            <a:stretch>
              <a:fillRect t="-23000" b="-23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" name="Forma libre: forma 8">
            <a:extLst>
              <a:ext uri="{FF2B5EF4-FFF2-40B4-BE49-F238E27FC236}">
                <a16:creationId xmlns:a16="http://schemas.microsoft.com/office/drawing/2014/main" id="{03B3C3EE-504E-4D51-A736-8870CF567C22}"/>
              </a:ext>
            </a:extLst>
          </xdr:cNvPr>
          <xdr:cNvSpPr/>
        </xdr:nvSpPr>
        <xdr:spPr>
          <a:xfrm>
            <a:off x="207347" y="1309632"/>
            <a:ext cx="1068482" cy="396406"/>
          </a:xfrm>
          <a:custGeom>
            <a:avLst/>
            <a:gdLst>
              <a:gd name="connsiteX0" fmla="*/ 0 w 1068482"/>
              <a:gd name="connsiteY0" fmla="*/ 0 h 396406"/>
              <a:gd name="connsiteX1" fmla="*/ 1068482 w 1068482"/>
              <a:gd name="connsiteY1" fmla="*/ 0 h 396406"/>
              <a:gd name="connsiteX2" fmla="*/ 1068482 w 1068482"/>
              <a:gd name="connsiteY2" fmla="*/ 396406 h 396406"/>
              <a:gd name="connsiteX3" fmla="*/ 0 w 1068482"/>
              <a:gd name="connsiteY3" fmla="*/ 396406 h 396406"/>
              <a:gd name="connsiteX4" fmla="*/ 0 w 1068482"/>
              <a:gd name="connsiteY4" fmla="*/ 0 h 3964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068482" h="396406">
                <a:moveTo>
                  <a:pt x="0" y="0"/>
                </a:moveTo>
                <a:lnTo>
                  <a:pt x="1068482" y="0"/>
                </a:lnTo>
                <a:lnTo>
                  <a:pt x="1068482" y="396406"/>
                </a:lnTo>
                <a:lnTo>
                  <a:pt x="0" y="396406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0">
            <a:schemeClr val="dk1">
              <a:alpha val="0"/>
              <a:hueOff val="0"/>
              <a:satOff val="0"/>
              <a:lumOff val="0"/>
              <a:alphaOff val="0"/>
            </a:schemeClr>
          </a:lnRef>
          <a:fillRef idx="0">
            <a:schemeClr val="lt1">
              <a:alpha val="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78232" rIns="78232" bIns="0" numCol="1" spcCol="1270" anchor="t" anchorCtr="0">
            <a:noAutofit/>
          </a:bodyPr>
          <a:lstStyle/>
          <a:p>
            <a:pPr marL="0" lvl="0" indent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s-419" sz="1100" kern="1200"/>
              <a:t>Referencias</a:t>
            </a:r>
          </a:p>
        </xdr:txBody>
      </xdr:sp>
      <xdr:sp macro="" textlink="">
        <xdr:nvSpPr>
          <xdr:cNvPr id="10" name="Rectángulo: esquinas redondeadas 9" descr="Monedas contorno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39CF23E-F7AF-428E-9D26-10B193F12130}"/>
              </a:ext>
            </a:extLst>
          </xdr:cNvPr>
          <xdr:cNvSpPr/>
        </xdr:nvSpPr>
        <xdr:spPr>
          <a:xfrm>
            <a:off x="157375" y="1812887"/>
            <a:ext cx="1168427" cy="1204338"/>
          </a:xfrm>
          <a:prstGeom prst="roundRect">
            <a:avLst/>
          </a:prstGeom>
          <a:blipFill dpi="0" rotWithShape="1">
            <a:blip xmlns:r="http://schemas.openxmlformats.org/officeDocument/2006/relationships" r:embed="rId5">
              <a:alphaModFix amt="35000"/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rcRect/>
            <a:stretch>
              <a:fillRect l="-2000" r="-2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1" name="Forma libre: forma 10">
            <a:extLst>
              <a:ext uri="{FF2B5EF4-FFF2-40B4-BE49-F238E27FC236}">
                <a16:creationId xmlns:a16="http://schemas.microsoft.com/office/drawing/2014/main" id="{9D697802-5223-4A01-8157-1A65F4E7E948}"/>
              </a:ext>
            </a:extLst>
          </xdr:cNvPr>
          <xdr:cNvSpPr/>
        </xdr:nvSpPr>
        <xdr:spPr>
          <a:xfrm>
            <a:off x="207347" y="2783148"/>
            <a:ext cx="1068482" cy="396406"/>
          </a:xfrm>
          <a:custGeom>
            <a:avLst/>
            <a:gdLst>
              <a:gd name="connsiteX0" fmla="*/ 0 w 1068482"/>
              <a:gd name="connsiteY0" fmla="*/ 0 h 396406"/>
              <a:gd name="connsiteX1" fmla="*/ 1068482 w 1068482"/>
              <a:gd name="connsiteY1" fmla="*/ 0 h 396406"/>
              <a:gd name="connsiteX2" fmla="*/ 1068482 w 1068482"/>
              <a:gd name="connsiteY2" fmla="*/ 396406 h 396406"/>
              <a:gd name="connsiteX3" fmla="*/ 0 w 1068482"/>
              <a:gd name="connsiteY3" fmla="*/ 396406 h 396406"/>
              <a:gd name="connsiteX4" fmla="*/ 0 w 1068482"/>
              <a:gd name="connsiteY4" fmla="*/ 0 h 3964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068482" h="396406">
                <a:moveTo>
                  <a:pt x="0" y="0"/>
                </a:moveTo>
                <a:lnTo>
                  <a:pt x="1068482" y="0"/>
                </a:lnTo>
                <a:lnTo>
                  <a:pt x="1068482" y="396406"/>
                </a:lnTo>
                <a:lnTo>
                  <a:pt x="0" y="396406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0">
            <a:schemeClr val="dk1">
              <a:alpha val="0"/>
              <a:hueOff val="0"/>
              <a:satOff val="0"/>
              <a:lumOff val="0"/>
              <a:alphaOff val="0"/>
            </a:schemeClr>
          </a:lnRef>
          <a:fillRef idx="0">
            <a:schemeClr val="lt1">
              <a:alpha val="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78232" rIns="78232" bIns="0" numCol="1" spcCol="1270" anchor="t" anchorCtr="0">
            <a:noAutofit/>
          </a:bodyPr>
          <a:lstStyle/>
          <a:p>
            <a:pPr marL="0" lvl="0" indent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s-419" sz="1100" kern="1200"/>
              <a:t>BD Parámetros</a:t>
            </a:r>
          </a:p>
        </xdr:txBody>
      </xdr:sp>
    </xdr:grpSp>
    <xdr:clientData/>
  </xdr:oneCellAnchor>
  <xdr:twoCellAnchor>
    <xdr:from>
      <xdr:col>2</xdr:col>
      <xdr:colOff>0</xdr:colOff>
      <xdr:row>0</xdr:row>
      <xdr:rowOff>0</xdr:rowOff>
    </xdr:from>
    <xdr:to>
      <xdr:col>5</xdr:col>
      <xdr:colOff>3062171</xdr:colOff>
      <xdr:row>8</xdr:row>
      <xdr:rowOff>32934</xdr:rowOff>
    </xdr:to>
    <xdr:graphicFrame macro="">
      <xdr:nvGraphicFramePr>
        <xdr:cNvPr id="20" name="Diagrama 19">
          <a:extLst>
            <a:ext uri="{FF2B5EF4-FFF2-40B4-BE49-F238E27FC236}">
              <a16:creationId xmlns:a16="http://schemas.microsoft.com/office/drawing/2014/main" id="{EE38CF09-1B0C-4666-BBA5-93087DB93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261257</xdr:colOff>
      <xdr:row>10</xdr:row>
      <xdr:rowOff>32658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64C68D-664D-4BB2-87BF-AF3809D9EAF1}"/>
            </a:ext>
          </a:extLst>
        </xdr:cNvPr>
        <xdr:cNvSpPr txBox="1"/>
      </xdr:nvSpPr>
      <xdr:spPr>
        <a:xfrm>
          <a:off x="22729371" y="1012371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L" sz="1100"/>
        </a:p>
      </xdr:txBody>
    </xdr:sp>
    <xdr:clientData/>
  </xdr:oneCellAnchor>
  <xdr:oneCellAnchor>
    <xdr:from>
      <xdr:col>5</xdr:col>
      <xdr:colOff>141514</xdr:colOff>
      <xdr:row>13</xdr:row>
      <xdr:rowOff>38100</xdr:rowOff>
    </xdr:from>
    <xdr:ext cx="4446175" cy="317205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2DF7BD9E-665F-4309-AA29-64AD6D3C078E}"/>
            </a:ext>
          </a:extLst>
        </xdr:cNvPr>
        <xdr:cNvSpPr txBox="1"/>
      </xdr:nvSpPr>
      <xdr:spPr>
        <a:xfrm>
          <a:off x="10156371" y="2443843"/>
          <a:ext cx="4446175" cy="31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Factores del Terreno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0</xdr:col>
      <xdr:colOff>2775857</xdr:colOff>
      <xdr:row>13</xdr:row>
      <xdr:rowOff>38100</xdr:rowOff>
    </xdr:from>
    <xdr:ext cx="4446175" cy="317205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FBE389F9-9B32-4024-9BF9-ABB5497F66FF}"/>
            </a:ext>
          </a:extLst>
        </xdr:cNvPr>
        <xdr:cNvSpPr txBox="1"/>
      </xdr:nvSpPr>
      <xdr:spPr>
        <a:xfrm>
          <a:off x="2775857" y="2443843"/>
          <a:ext cx="4446175" cy="31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Factores biométricos</a:t>
          </a:r>
        </a:p>
      </xdr:txBody>
    </xdr:sp>
    <xdr:clientData/>
  </xdr:oneCellAnchor>
  <xdr:twoCellAnchor>
    <xdr:from>
      <xdr:col>0</xdr:col>
      <xdr:colOff>354148</xdr:colOff>
      <xdr:row>12</xdr:row>
      <xdr:rowOff>125548</xdr:rowOff>
    </xdr:from>
    <xdr:to>
      <xdr:col>0</xdr:col>
      <xdr:colOff>2008050</xdr:colOff>
      <xdr:row>35</xdr:row>
      <xdr:rowOff>49348</xdr:rowOff>
    </xdr:to>
    <xdr:graphicFrame macro="">
      <xdr:nvGraphicFramePr>
        <xdr:cNvPr id="26" name="Diagrama 25">
          <a:extLst>
            <a:ext uri="{FF2B5EF4-FFF2-40B4-BE49-F238E27FC236}">
              <a16:creationId xmlns:a16="http://schemas.microsoft.com/office/drawing/2014/main" id="{A7579B04-9DB4-497F-AC9A-3E19AF19E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7</xdr:col>
      <xdr:colOff>1207023</xdr:colOff>
      <xdr:row>11</xdr:row>
      <xdr:rowOff>23968</xdr:rowOff>
    </xdr:to>
    <xdr:grpSp>
      <xdr:nvGrpSpPr>
        <xdr:cNvPr id="4" name="Grupo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337D77-6CFF-4125-8AD1-D737992E45B6}"/>
            </a:ext>
          </a:extLst>
        </xdr:cNvPr>
        <xdr:cNvGrpSpPr/>
      </xdr:nvGrpSpPr>
      <xdr:grpSpPr>
        <a:xfrm>
          <a:off x="5800165" y="0"/>
          <a:ext cx="10404811" cy="1996203"/>
          <a:chOff x="6407727" y="0"/>
          <a:chExt cx="10397205" cy="2055968"/>
        </a:xfrm>
      </xdr:grpSpPr>
      <xdr:graphicFrame macro="">
        <xdr:nvGraphicFramePr>
          <xdr:cNvPr id="14" name="Diagrama 13">
            <a:extLst>
              <a:ext uri="{FF2B5EF4-FFF2-40B4-BE49-F238E27FC236}">
                <a16:creationId xmlns:a16="http://schemas.microsoft.com/office/drawing/2014/main" id="{F3124368-85F1-4D13-B3A0-A54EF8E92956}"/>
              </a:ext>
            </a:extLst>
          </xdr:cNvPr>
          <xdr:cNvGraphicFramePr/>
        </xdr:nvGraphicFramePr>
        <xdr:xfrm>
          <a:off x="6407727" y="0"/>
          <a:ext cx="10397205" cy="150295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7" r:lo="rId8" r:qs="rId9" r:cs="rId10"/>
          </a:graphicData>
        </a:graphic>
      </xdr:graphicFrame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37AA2FC4-1890-4C6E-9B16-5B16D4536400}"/>
              </a:ext>
            </a:extLst>
          </xdr:cNvPr>
          <xdr:cNvSpPr txBox="1"/>
        </xdr:nvSpPr>
        <xdr:spPr>
          <a:xfrm>
            <a:off x="7954818" y="1646234"/>
            <a:ext cx="716072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m1.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PARÁMETROS DE LA FAENA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274863</xdr:colOff>
      <xdr:row>16</xdr:row>
      <xdr:rowOff>6724</xdr:rowOff>
    </xdr:from>
    <xdr:ext cx="4848224" cy="466725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B871673E-8E63-4AB5-ACE3-F4C482027C3E}"/>
            </a:ext>
          </a:extLst>
        </xdr:cNvPr>
        <xdr:cNvSpPr txBox="1"/>
      </xdr:nvSpPr>
      <xdr:spPr>
        <a:xfrm>
          <a:off x="3551463" y="2967638"/>
          <a:ext cx="4848224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Programación del trabajo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5</xdr:col>
      <xdr:colOff>1059317</xdr:colOff>
      <xdr:row>16</xdr:row>
      <xdr:rowOff>6724</xdr:rowOff>
    </xdr:from>
    <xdr:ext cx="4600575" cy="466725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E2D42DF7-7408-41A2-8736-335ED274FBE2}"/>
            </a:ext>
          </a:extLst>
        </xdr:cNvPr>
        <xdr:cNvSpPr txBox="1"/>
      </xdr:nvSpPr>
      <xdr:spPr>
        <a:xfrm>
          <a:off x="12478431" y="2967638"/>
          <a:ext cx="460057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Costos Indirectos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273593</xdr:colOff>
      <xdr:row>28</xdr:row>
      <xdr:rowOff>79852</xdr:rowOff>
    </xdr:from>
    <xdr:ext cx="5211536" cy="520512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FAF55376-5743-4EBA-AB79-9C4D638CAC58}"/>
            </a:ext>
          </a:extLst>
        </xdr:cNvPr>
        <xdr:cNvSpPr txBox="1"/>
      </xdr:nvSpPr>
      <xdr:spPr>
        <a:xfrm>
          <a:off x="3552502" y="6071943"/>
          <a:ext cx="5211536" cy="5205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Parámetros del transporte secundario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twoCellAnchor>
    <xdr:from>
      <xdr:col>0</xdr:col>
      <xdr:colOff>370114</xdr:colOff>
      <xdr:row>11</xdr:row>
      <xdr:rowOff>87085</xdr:rowOff>
    </xdr:from>
    <xdr:to>
      <xdr:col>0</xdr:col>
      <xdr:colOff>2013856</xdr:colOff>
      <xdr:row>38</xdr:row>
      <xdr:rowOff>130628</xdr:rowOff>
    </xdr:to>
    <xdr:graphicFrame macro="">
      <xdr:nvGraphicFramePr>
        <xdr:cNvPr id="37" name="Diagrama 36">
          <a:extLst>
            <a:ext uri="{FF2B5EF4-FFF2-40B4-BE49-F238E27FC236}">
              <a16:creationId xmlns:a16="http://schemas.microsoft.com/office/drawing/2014/main" id="{ADADE2A9-51E2-456D-A9A3-69D8CCB4E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</xdr:col>
      <xdr:colOff>1112174</xdr:colOff>
      <xdr:row>0</xdr:row>
      <xdr:rowOff>0</xdr:rowOff>
    </xdr:from>
    <xdr:to>
      <xdr:col>5</xdr:col>
      <xdr:colOff>3389114</xdr:colOff>
      <xdr:row>11</xdr:row>
      <xdr:rowOff>22698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B69D6105-B7A0-4F73-923E-8CED7E41FA82}"/>
            </a:ext>
          </a:extLst>
        </xdr:cNvPr>
        <xdr:cNvGrpSpPr>
          <a:grpSpLocks noChangeAspect="1"/>
        </xdr:cNvGrpSpPr>
      </xdr:nvGrpSpPr>
      <xdr:grpSpPr>
        <a:xfrm>
          <a:off x="3309274" y="0"/>
          <a:ext cx="9719140" cy="1978498"/>
          <a:chOff x="6407727" y="0"/>
          <a:chExt cx="10397205" cy="2055968"/>
        </a:xfrm>
      </xdr:grpSpPr>
      <xdr:graphicFrame macro="">
        <xdr:nvGraphicFramePr>
          <xdr:cNvPr id="13" name="Diagrama 12">
            <a:extLst>
              <a:ext uri="{FF2B5EF4-FFF2-40B4-BE49-F238E27FC236}">
                <a16:creationId xmlns:a16="http://schemas.microsoft.com/office/drawing/2014/main" id="{1D48B6A1-F9E2-4B59-BA78-A859B0B2B48C}"/>
              </a:ext>
            </a:extLst>
          </xdr:cNvPr>
          <xdr:cNvGraphicFramePr>
            <a:graphicFrameLocks noChangeAspect="1"/>
          </xdr:cNvGraphicFramePr>
        </xdr:nvGraphicFramePr>
        <xdr:xfrm>
          <a:off x="6407727" y="0"/>
          <a:ext cx="10397205" cy="150295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3407EA78-C878-4E78-8201-BD4CC06AB36A}"/>
              </a:ext>
            </a:extLst>
          </xdr:cNvPr>
          <xdr:cNvSpPr txBox="1">
            <a:spLocks noChangeAspect="1"/>
          </xdr:cNvSpPr>
        </xdr:nvSpPr>
        <xdr:spPr>
          <a:xfrm>
            <a:off x="7954818" y="1646234"/>
            <a:ext cx="716072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m1.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PARÁMETROS DE LA FAENA</a:t>
            </a:r>
          </a:p>
        </xdr:txBody>
      </xdr:sp>
    </xdr:grp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1" xr10:uid="{E40600AB-A57D-48A9-9201-F12CA8421697}" sourceName="Máquina">
  <extLst>
    <x:ext xmlns:x15="http://schemas.microsoft.com/office/spreadsheetml/2010/11/main" uri="{2F2917AC-EB37-4324-AD4E-5DD8C200BD13}">
      <x15:tableSlicerCache tableId="20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2" xr10:uid="{F2DA36BE-C16A-4CA3-B6C8-9BD7CC4519DA}" sourceName="Máquina">
  <extLst>
    <x:ext xmlns:x15="http://schemas.microsoft.com/office/spreadsheetml/2010/11/main" uri="{2F2917AC-EB37-4324-AD4E-5DD8C200BD13}">
      <x15:tableSlicerCache tableId="23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3" xr10:uid="{69C6D3C6-2030-471E-8B43-E229F2FAA168}" sourceName="Máquina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" xr10:uid="{856AA591-7A89-4471-ABF3-F858829FABFB}" sourceName="Máquina">
  <extLst>
    <x:ext xmlns:x15="http://schemas.microsoft.com/office/spreadsheetml/2010/11/main" uri="{2F2917AC-EB37-4324-AD4E-5DD8C200BD13}">
      <x15:tableSlicerCache tableId="5" column="11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3" xr10:uid="{87F5B251-37EA-4A2F-8874-ADA085FE9746}" cache="SegmentaciónDeDatos_Máquina3" caption="Máquina" columnCount="12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" xr10:uid="{ED921A1C-581D-4663-B863-1992C3C6DB7A}" cache="SegmentaciónDeDatos_Máquina" caption="Máquina" columnCount="3" showCaption="0" style="SlicerStyleLight1 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1" xr10:uid="{5A4F8C57-DE96-4847-A2E2-C96E569914EE}" cache="SegmentaciónDeDatos_Máquina1" caption="Máquina" columnCount="5" showCaption="0" style="SlicerStyleLight1 2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2" xr10:uid="{FB749FDA-97E6-45A1-9D6E-1B8A5BA0FD95}" cache="SegmentaciónDeDatos_MÁQUINA2" caption="Máquina" columnCount="3" showCaption="0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FC4F38-82C7-4FDF-832F-1D94B913008E}" name="m2.Referencias" displayName="m2.Referencias" ref="B17:O40" headerRowDxfId="372" dataDxfId="371" tableBorderDxfId="370">
  <autoFilter ref="B17:O40" xr:uid="{27012214-6161-47D4-AAE7-422C4F58A17C}"/>
  <sortState xmlns:xlrd2="http://schemas.microsoft.com/office/spreadsheetml/2017/richdata2" ref="B20:O27">
    <sortCondition ref="D17:D40"/>
  </sortState>
  <tableColumns count="14">
    <tableColumn id="1" xr3:uid="{E29C5430-67DD-4093-9F79-83207704502B}" name="Subsistema" dataDxfId="369" totalsRowDxfId="368"/>
    <tableColumn id="5" xr3:uid="{089FC7A1-9D23-409D-BF0C-56E30ED14D1C}" name="Referencia" dataDxfId="367" totalsRowDxfId="366"/>
    <tableColumn id="2" xr3:uid="{D15675AC-7191-4A33-9F14-857DE7E91AED}" name="Máquina" dataDxfId="365" totalsRowDxfId="364"/>
    <tableColumn id="8" xr3:uid="{F99C3CEE-5DAF-401B-BC13-5D19E8E11E63}" name="Método cosecha" dataDxfId="363" totalsRowDxfId="362"/>
    <tableColumn id="9" xr3:uid="{867FD2CC-0E87-403D-B90A-57AE53CF7223}" name="Bosque" dataDxfId="361" totalsRowDxfId="360"/>
    <tableColumn id="10" xr3:uid="{81704458-1144-4684-8BB4-7F7E22B4E0CD}" name="Spp" dataDxfId="359" totalsRowDxfId="358"/>
    <tableColumn id="6" xr3:uid="{F74BB16D-B001-4524-AF0B-F1211C46FDD7}" name="Prescripción Silv" dataDxfId="357" totalsRowDxfId="356"/>
    <tableColumn id="11" xr3:uid="{16EFA822-CE55-476D-BB9B-E8818490ED23}" name="Edad (años)" totalsRowFunction="average" dataDxfId="355" totalsRowDxfId="354"/>
    <tableColumn id="12" xr3:uid="{34AFE6E3-2EEC-4B01-AEF7-EDFCD4D0B686}" name="N/ha" totalsRowFunction="average" dataDxfId="353" totalsRowDxfId="352"/>
    <tableColumn id="13" xr3:uid="{01A4695C-6FC8-4893-816C-DAB5CDBFFF0B}" name="D.m, cm" totalsRowFunction="average" dataDxfId="351" totalsRowDxfId="350"/>
    <tableColumn id="14" xr3:uid="{88FDD445-E706-47F0-A295-F1978A085601}" name="m, %" totalsRowFunction="average" dataDxfId="349" totalsRowDxfId="348"/>
    <tableColumn id="15" xr3:uid="{0CAC39E1-1524-4236-A581-3BE0C254DEB1}" name="H.m, m" totalsRowFunction="average" dataDxfId="347" totalsRowDxfId="346"/>
    <tableColumn id="16" xr3:uid="{B3C4C92F-E8BD-43CB-8FC0-561B4ACC631D}" name="V.m, m3" totalsRowFunction="average" dataDxfId="345" totalsRowDxfId="344"/>
    <tableColumn id="20" xr3:uid="{9BFE0275-AA59-44A2-AC40-885D5670C816}" name="Título" dataDxfId="343" totalsRowDxfId="34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92792CC-7472-42D7-95E0-305B3844CA5C}" name="m2.Volteo_parámetros" displayName="m2.Volteo_parámetros" ref="C18:G19" totalsRowShown="0" headerRowDxfId="341" dataDxfId="340" tableBorderDxfId="339">
  <tableColumns count="5">
    <tableColumn id="1" xr3:uid="{2849540E-050B-4D71-836C-C14B53AF20E2}" name="m1_D.m, cm" dataDxfId="338">
      <calculatedColumnFormula>'m1 Descrip_rodal'!C24</calculatedColumnFormula>
    </tableColumn>
    <tableColumn id="2" xr3:uid="{31D1A10F-CE1C-46B3-A250-B6B9E09476F1}" name="m1_DeA, m" dataDxfId="337">
      <calculatedColumnFormula>'m1 Descrip_rodal'!C22</calculatedColumnFormula>
    </tableColumn>
    <tableColumn id="3" xr3:uid="{D72D3C5B-500F-4133-87C8-7F8FBA708F39}" name="m1.V, m3/ha" dataDxfId="336">
      <calculatedColumnFormula>'m1 Descrip_rodal'!C20</calculatedColumnFormula>
    </tableColumn>
    <tableColumn id="6" xr3:uid="{2BF47E88-8DDB-4554-8898-7962ACC6AEBD}" name="m1_V.m, m3" dataDxfId="335">
      <calculatedColumnFormula>'m1 Descrip_rodal'!C23</calculatedColumnFormula>
    </tableColumn>
    <tableColumn id="4" xr3:uid="{6F686501-375F-4554-B018-6E335898ECDA}" name="m1_N, árb/ha" dataDxfId="334">
      <calculatedColumnFormula>'m1 Descrip_rodal'!C19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274122-E443-4750-8AF3-DCC4AC608B87}" name="m2.Volteo_funciones" displayName="m2.Volteo_funciones" ref="B26:K34" headerRowDxfId="333" dataDxfId="332">
  <autoFilter ref="B26:K34" xr:uid="{7F274122-E443-4750-8AF3-DCC4AC608B87}"/>
  <sortState xmlns:xlrd2="http://schemas.microsoft.com/office/spreadsheetml/2017/richdata2" ref="B27:K34">
    <sortCondition ref="C26:C34"/>
  </sortState>
  <tableColumns count="10">
    <tableColumn id="1" xr3:uid="{5BBB6355-8681-419B-A62B-2586C9545302}" name="Fuente" totalsRowLabel="Total" dataDxfId="331" totalsRowDxfId="330"/>
    <tableColumn id="11" xr3:uid="{E2067DC3-526D-4FF6-9A44-8523AC437F2A}" name="Máquina" dataDxfId="329" totalsRowDxfId="328"/>
    <tableColumn id="3" xr3:uid="{ED6FFCF4-11ED-4C80-8B8A-CA5B74E77286}" name="Desrrame" dataDxfId="327" totalsRowDxfId="326"/>
    <tableColumn id="9" xr3:uid="{5A75E1C5-559B-4755-88CA-3832C27963A2}" name="Despunte" dataDxfId="325" totalsRowDxfId="324"/>
    <tableColumn id="5" xr3:uid="{6F7BD26B-6183-4DD0-9F5F-D3E158252B2C}" name="Trozado" dataDxfId="323" totalsRowDxfId="322"/>
    <tableColumn id="6" xr3:uid="{C44002EF-A25B-411F-A0F7-EEA126A6EC84}" name="Apilado" dataDxfId="321" totalsRowDxfId="320"/>
    <tableColumn id="12" xr3:uid="{7571722A-A15A-47CA-BF82-ECDF8143960A}" name="Descotezado" dataDxfId="319" totalsRowDxfId="318"/>
    <tableColumn id="7" xr3:uid="{F32E2647-0493-4B19-B91E-FEB8FED62D95}" name="Rxt, hrpr/ha" dataDxfId="317" totalsRowDxfId="316"/>
    <tableColumn id="8" xr3:uid="{10F76A7E-D2B7-4363-879F-A9B66FEBD798}" name="Rxv, m3/hrpr" dataDxfId="315" totalsRowDxfId="314"/>
    <tableColumn id="10" xr3:uid="{2225DACB-06CE-4312-91F3-C960DB240F40}" name="id_volteo" dataDxfId="313" totalsRowDxfId="312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8F3AFA-A293-4B54-A2D2-702B3DE3FBA0}" name="m2.Volteo_id_volteo" displayName="m2.Volteo_id_volteo" ref="I18:K19" totalsRowShown="0" headerRowDxfId="311" dataDxfId="310" tableBorderDxfId="309">
  <tableColumns count="3">
    <tableColumn id="1" xr3:uid="{8A45C4D3-6915-4AB4-9E36-A1DB9632CF77}" name="Harvester" dataDxfId="308"/>
    <tableColumn id="2" xr3:uid="{80BAE370-9BDB-4F63-BA63-4F9C441091C4}" name="Fellerbuncher" dataDxfId="307"/>
    <tableColumn id="3" xr3:uid="{EDF81DCB-F439-4E61-AC9A-2641CED7615C}" name="Motosierra" dataDxfId="3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5F0C871-F712-4C4B-8D53-C18F7572699E}" name="m2.Madereo_funciones" displayName="m2.Madereo_funciones" ref="B25:F32" totalsRowShown="0" headerRowDxfId="305" dataDxfId="304">
  <autoFilter ref="B25:F32" xr:uid="{B5F0C871-F712-4C4B-8D53-C18F7572699E}"/>
  <tableColumns count="5">
    <tableColumn id="1" xr3:uid="{F798C3FD-D314-438E-AE91-D5D38B1F7D1F}" name="Fuente" dataDxfId="303"/>
    <tableColumn id="2" xr3:uid="{535D4C0E-FEC4-4ED4-87E7-2F31EAFA66B4}" name="Máquina" dataDxfId="302"/>
    <tableColumn id="3" xr3:uid="{B9845F6A-AA83-4A79-912A-4040A3D0E4D4}" name="Rxt, hrpr/ha" dataDxfId="301"/>
    <tableColumn id="4" xr3:uid="{B5A43344-A6DE-4A9E-AA4D-CEBEC0B0F951}" name="Rxv, m3/hrpr" dataDxfId="300"/>
    <tableColumn id="5" xr3:uid="{346B997F-CD27-47A5-8ECD-C49338BAF2AD}" name="id_madereo" dataDxfId="29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D1FA0C3-C733-49C9-B2DF-A1E35F1FD0B7}" name="m2.Madereo_parámetros" displayName="m2.Madereo_parámetros" ref="B16:K17" totalsRowShown="0" headerRowDxfId="298" dataDxfId="297">
  <tableColumns count="10">
    <tableColumn id="1" xr3:uid="{7201819E-5B82-433D-A577-53ED07D44EC7}" name="DMM, m" dataDxfId="296">
      <calculatedColumnFormula>'m1 Descrip_rodal'!G20</calculatedColumnFormula>
    </tableColumn>
    <tableColumn id="10" xr3:uid="{64B3C375-6762-4A82-88DF-E16C83D6DBC2}" name="D.m" dataDxfId="295">
      <calculatedColumnFormula>'m1 Descrip_rodal'!C24</calculatedColumnFormula>
    </tableColumn>
    <tableColumn id="5" xr3:uid="{9E7255C7-6315-402D-A4F3-421B2D0CD60C}" name="Pcs Skidder, n" dataDxfId="294">
      <calculatedColumnFormula>IF(CmToPulg(m2.Madereo_parámetros[[#This Row],[D.m]])&lt;=8,4,
IF(CmToPulg(m2.Madereo_parámetros[[#This Row],[D.m]])&lt;=16,2,1))</calculatedColumnFormula>
    </tableColumn>
    <tableColumn id="3" xr3:uid="{4A8C2728-E0AB-407C-836B-315A69CB0F76}" name="VCSC, m3" dataDxfId="293"/>
    <tableColumn id="9" xr3:uid="{0E630A1F-A3B0-4368-A00A-E2860111895C}" name="VCSG, m3" dataDxfId="292"/>
    <tableColumn id="7" xr3:uid="{4960F5E7-3869-4C07-ABCB-1D6A16BAA4C8}" name="VCF, m3" dataDxfId="291"/>
    <tableColumn id="4" xr3:uid="{88BE0C0E-2DCB-4376-8205-051B823502EF}" name="V, m3/ha" dataDxfId="290">
      <calculatedColumnFormula array="1">m2.Volteo_parámetros[m1.V, m3/ha]</calculatedColumnFormula>
    </tableColumn>
    <tableColumn id="6" xr3:uid="{FC2639E5-30D2-45B2-9399-03443F4DE5A8}" name="VTr.m, m3" dataDxfId="289">
      <calculatedColumnFormula>'m1 Descrip_rodal'!C27</calculatedColumnFormula>
    </tableColumn>
    <tableColumn id="8" xr3:uid="{032F3BE7-982B-4F5D-B386-89F9A9A027D0}" name="Motor, hp" dataDxfId="288"/>
    <tableColumn id="11" xr3:uid="{1F253ECB-8A7F-43FD-90A9-D4786EDECB86}" name="Pendiente. %" dataDxfId="287">
      <calculatedColumnFormula>'m1 Descrip_rodal'!G19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8E32FC-8BF6-46E4-825B-B524EA527654}" name="m2.Madereo_id_madereo" displayName="m2.Madereo_id_madereo" ref="H24:K25" totalsRowShown="0" headerRowDxfId="286" dataDxfId="285" tableBorderDxfId="284">
  <tableColumns count="4">
    <tableColumn id="1" xr3:uid="{AEEB3B6B-0402-4EEA-BFAD-65CAD77F3F05}" name="Skidder Garra" dataDxfId="283"/>
    <tableColumn id="2" xr3:uid="{E1720C46-C390-4CA7-9EFE-229C1E098438}" name="Skidder Cable" dataDxfId="282"/>
    <tableColumn id="3" xr3:uid="{6CED1D1A-8837-4EB7-8625-91BCA1D791C2}" name="Forwarder" dataDxfId="281"/>
    <tableColumn id="4" xr3:uid="{7229B017-E8E0-4730-B267-9E03463E70F2}" name="Tractor" dataDxfId="28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9026C21-6E58-49E9-A2F4-40121FAE4F79}" name="m2.Procesado_resumen" displayName="m2.Procesado_resumen" ref="B27:L31" totalsRowShown="0" headerRowDxfId="279" dataDxfId="278">
  <autoFilter ref="B27:L31" xr:uid="{C9026C21-6E58-49E9-A2F4-40121FAE4F79}"/>
  <tableColumns count="11">
    <tableColumn id="1" xr3:uid="{03A064A3-4D6F-4D7B-BFAE-C760303CF396}" name="Fuente" dataDxfId="277"/>
    <tableColumn id="2" xr3:uid="{EC29E683-9137-4FE0-9965-F932CE9DA1EE}" name="Máquina" dataDxfId="276"/>
    <tableColumn id="15" xr3:uid="{2F400F4A-0FB9-4373-872B-9178E7F296B8}" name="Base" dataDxfId="275"/>
    <tableColumn id="4" xr3:uid="{4769A9D3-62BF-438F-95C1-90D269C756D9}" name="Despunte" dataDxfId="274"/>
    <tableColumn id="5" xr3:uid="{FFA83DD5-DBFA-48CA-9449-896F5732F2F9}" name="Desrrame" dataDxfId="273"/>
    <tableColumn id="6" xr3:uid="{8AEB7DAA-D46D-4301-B35E-C13E44D47D43}" name="Trozado" dataDxfId="272"/>
    <tableColumn id="7" xr3:uid="{ABB8A2D2-BB2C-40E7-A5BD-41651EAD5FD9}" name="Apilado" dataDxfId="271"/>
    <tableColumn id="8" xr3:uid="{15BC0A92-DE55-48D0-92A2-3FB525C04B68}" name="Descortezado" dataDxfId="270"/>
    <tableColumn id="9" xr3:uid="{96D341CC-9FA9-42D7-A1EA-A9C803E66FB0}" name="Rxt , hrpr/ha" dataDxfId="269"/>
    <tableColumn id="10" xr3:uid="{5916EDD7-F6A6-4A13-A7A5-2BE94362A19B}" name="Rxv, m3/hrpr" dataDxfId="268">
      <calculatedColumnFormula>m2.Procesado_parámetros[V, m3/ha2]/m2.Procesado_resumen[[#This Row],[Rxt , hrpr/ha]]</calculatedColumnFormula>
    </tableColumn>
    <tableColumn id="12" xr3:uid="{6EFFAFEB-7EA4-4535-9EF8-CED5B3222B23}" name="id_procesado" dataDxfId="26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265CA9F-08CF-47BE-835F-0A2A6D2B3ABB}" name="m2.Procesado_parámetros" displayName="m2.Procesado_parámetros" ref="B18:F19" totalsRowShown="0" headerRowDxfId="266" dataDxfId="265">
  <tableColumns count="5">
    <tableColumn id="1" xr3:uid="{FEEB98F5-7FD4-4E3E-9558-905B52B10392}" name="n trozas" dataDxfId="264"/>
    <tableColumn id="3" xr3:uid="{3BE8861E-87D6-4211-B370-DC648ADC7D0E}" name="N, n/ha" dataDxfId="263">
      <calculatedColumnFormula>'m1 Descrip_rodal'!C19</calculatedColumnFormula>
    </tableColumn>
    <tableColumn id="6" xr3:uid="{37D27339-1856-4DA0-AE35-08BC318C26B2}" name="D.m, cm" dataDxfId="262">
      <calculatedColumnFormula>'m1 Descrip_rodal'!C24</calculatedColumnFormula>
    </tableColumn>
    <tableColumn id="8" xr3:uid="{259BEF75-E451-4503-9853-DF599A7BF2A8}" name="V.m, m3" dataDxfId="261">
      <calculatedColumnFormula>'m1 Descrip_rodal'!C23</calculatedColumnFormula>
    </tableColumn>
    <tableColumn id="4" xr3:uid="{184711B0-EE9B-4C6A-9B95-50FA527145FA}" name="V, m3/ha2" dataDxfId="260">
      <calculatedColumnFormula>'m1 Descrip_rodal'!C20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2F5ABB-17BD-4F02-9A34-31D822F83E0F}" name="m2.Procesado_id_procesado" displayName="m2.Procesado_id_procesado" ref="H18:I19" totalsRowShown="0" headerRowDxfId="259" dataDxfId="258">
  <tableColumns count="2">
    <tableColumn id="1" xr3:uid="{A4D7D17E-4512-4FDE-A409-3D1BFB1BFB83}" name="Motosierra" dataDxfId="257"/>
    <tableColumn id="2" xr3:uid="{4A552857-716A-4B7A-9BCB-3C4DA0A85A22}" name="Procesador" dataDxfId="2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5CCB55-C65D-4863-B42D-15A068CBD8C1}" name="m2.Carguío_parámetros" displayName="m2.Carguío_parámetros" ref="C16:F17" totalsRowShown="0" headerRowDxfId="255">
  <tableColumns count="4">
    <tableColumn id="1" xr3:uid="{B1D0746F-8001-47AA-9B1E-35FBC39F6122}" name="VTr, m3/ ha" dataDxfId="254">
      <calculatedColumnFormula>'m1 Descrip_rodal'!C25</calculatedColumnFormula>
    </tableColumn>
    <tableColumn id="2" xr3:uid="{D9232F53-8EB0-4E90-BDDE-484253DD3328}" name="VTr.m, m3" dataDxfId="253">
      <calculatedColumnFormula>'m1 Descrip_rodal'!C27</calculatedColumnFormula>
    </tableColumn>
    <tableColumn id="3" xr3:uid="{30B672E7-170A-4EDF-AE96-30537EF24DBE}" name="Vol Carga Camión, m3" dataDxfId="252"/>
    <tableColumn id="4" xr3:uid="{A03A7EA4-0B93-432A-9A07-01D0B689B822}" name="NTrCC, n" dataDxfId="25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3A1DDAF-FC8A-44F4-A9AD-D625B6243E03}" name="m2.Carguío_funciones" displayName="m2.Carguío_funciones" ref="C24:H27" totalsRowShown="0" headerRowDxfId="250" dataDxfId="249">
  <tableColumns count="6">
    <tableColumn id="1" xr3:uid="{A985B83D-B838-41FC-993E-931B3162040C}" name="Fuente"/>
    <tableColumn id="2" xr3:uid="{DC8385CF-FD2D-4DB8-BF41-BE9B2FDC95BD}" name="Máquina" dataDxfId="248"/>
    <tableColumn id="3" xr3:uid="{AD437D14-1167-4C50-AA1A-A3A5558F5F49}" name="min/ciclo" dataDxfId="247">
      <calculatedColumnFormula>(505.75+35.1*F22)/60</calculatedColumnFormula>
    </tableColumn>
    <tableColumn id="4" xr3:uid="{C3D5FB23-0A86-4788-A21A-51B80C8B5A99}" name="Rxt, hrpr/ha" dataDxfId="246">
      <calculatedColumnFormula>($C$17/$E$17)/(E25/60)</calculatedColumnFormula>
    </tableColumn>
    <tableColumn id="5" xr3:uid="{35DB955F-494F-4A9A-A40E-59703384C3E2}" name="Rxv, m3/hrpr" dataDxfId="245">
      <calculatedColumnFormula>$E$17/(E25/60)</calculatedColumnFormula>
    </tableColumn>
    <tableColumn id="6" xr3:uid="{76458B02-68DA-4CA5-BC3B-7BDCFB798162}" name="id_carguío" dataDxfId="24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19249FF-74F2-4484-940D-C5C13FF784EE}" name="m2.Carguío_id_carguío" displayName="m2.Carguío_id_carguío" ref="I16:K17" totalsRowShown="0" headerRowDxfId="243" dataDxfId="242">
  <tableColumns count="3">
    <tableColumn id="1" xr3:uid="{A93119BB-33B4-4818-96A9-38CDE63A3E27}" name="Hidráulico" dataDxfId="241"/>
    <tableColumn id="2" xr3:uid="{AE00E84C-F59A-420F-AB7F-A48FC0311435}" name="Cable" dataDxfId="240"/>
    <tableColumn id="3" xr3:uid="{C6ADAA58-F177-47CE-A58E-18EA9343C0BA}" name="Grúa" dataDxfId="23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697CC33-5CEE-4EAC-B6AB-09B605C16EB6}" name="m2.Transporte_funciones" displayName="m2.Transporte_funciones" ref="C23:H24" totalsRowShown="0" headerRowDxfId="238" dataDxfId="237">
  <autoFilter ref="C23:H24" xr:uid="{6697CC33-5CEE-4EAC-B6AB-09B605C16EB6}"/>
  <tableColumns count="6">
    <tableColumn id="1" xr3:uid="{71631DEB-B37B-433C-BF2E-6C51E4E74EF8}" name="Fuente"/>
    <tableColumn id="2" xr3:uid="{F32C4199-EE64-48A5-91F8-E0AA11B3BB2B}" name="Máquina" dataDxfId="236"/>
    <tableColumn id="3" xr3:uid="{2F6561EE-5949-49F6-96E1-A75042186E11}" name="min/ciclo" dataDxfId="235">
      <calculatedColumnFormula>-60.179+3.934*D18+3.087*E18+C18</calculatedColumnFormula>
    </tableColumn>
    <tableColumn id="4" xr3:uid="{222D01C7-A9CD-4A9F-B288-57D642CCA7B7}" name="Rxt, hrpr/ha" dataDxfId="234">
      <calculatedColumnFormula>G18/m2.Transporte_funciones[[#This Row],[Rxv, m3/hrpr]]</calculatedColumnFormula>
    </tableColumn>
    <tableColumn id="5" xr3:uid="{CA4C03D6-CC41-4E7A-BF31-EDA5EFAB19CC}" name="Rxv, m3/hrpr" dataDxfId="233">
      <calculatedColumnFormula array="1">E18*(60/m2.Transporte_funciones[min/ciclo])</calculatedColumnFormula>
    </tableColumn>
    <tableColumn id="6" xr3:uid="{795BB8A2-DF78-40FF-AEA9-F32FFD655A02}" name="id_transporte" dataDxfId="23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C6CF14-4F19-46C0-B6D3-0F53F603BB03}" name="m2.Transporte_id_transporte" displayName="m2.Transporte_id_transporte" ref="I18:I19" totalsRowShown="0" headerRowDxfId="231" dataDxfId="230">
  <autoFilter ref="I18:I19" xr:uid="{5FC6CF14-4F19-46C0-B6D3-0F53F603BB03}"/>
  <tableColumns count="1">
    <tableColumn id="1" xr3:uid="{36C523FB-7764-4CD2-8FC3-BE0CA122BAA1}" name="Camión" dataDxfId="22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3F5F04-95D0-4553-9543-0B008490F80B}" name="m2.Transporte_parámetros" displayName="m2.Transporte_parámetros" ref="C17:G18" totalsRowShown="0" headerRowDxfId="228" dataDxfId="227" tableBorderDxfId="226">
  <autoFilter ref="C17:G18" xr:uid="{753F5F04-95D0-4553-9543-0B008490F80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515403E-E369-46DB-AACC-1BDDF6D900B9}" name="Descarga, min/camión" dataDxfId="225">
      <calculatedColumnFormula>9.284*EXP(0.038*E18)</calculatedColumnFormula>
    </tableColumn>
    <tableColumn id="2" xr3:uid="{D3E7B93B-0A07-4E80-ABE8-0B582B3DBB79}" name="Distancia viaje, Km" dataDxfId="224">
      <calculatedColumnFormula>'m1 Fac_oper'!C33</calculatedColumnFormula>
    </tableColumn>
    <tableColumn id="3" xr3:uid="{000A4861-9E50-466B-BF30-5DFC247C4986}" name="Vol Carga Camión, m3" dataDxfId="223">
      <calculatedColumnFormula>'m1 Fac_oper'!C34</calculatedColumnFormula>
    </tableColumn>
    <tableColumn id="4" xr3:uid="{D4C5D537-7110-44AC-AC56-044716235F4E}" name="Nro Trozas / Camión" dataDxfId="222">
      <calculatedColumnFormula>INT('m2 Transporte'!E18/'m1 Descrip_rodal'!C27)</calculatedColumnFormula>
    </tableColumn>
    <tableColumn id="5" xr3:uid="{9E952C07-EF36-41B6-A2ED-E18BE61B0A97}" name="V, m3/ha" dataDxfId="221">
      <calculatedColumnFormula>'m1 Descrip_rodal'!C20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A5B2985-6115-4614-8147-87CED5F4DF9C}" name="m3.Volteo_Maq.Disponible" displayName="m3.Volteo_Maq.Disponible" ref="B24:G60" totalsRowShown="0" headerRowDxfId="220" dataDxfId="218" headerRowBorderDxfId="219">
  <tableColumns count="6">
    <tableColumn id="1" xr3:uid="{DD1BC18A-F527-497E-99FC-E7288F394D36}" name="PARÁMETROS \ MÁQUINA" dataDxfId="217"/>
    <tableColumn id="2" xr3:uid="{883C6B25-31C6-4DB2-90E8-7E4F15BC4072}" name="Harvester1" dataDxfId="216"/>
    <tableColumn id="6" xr3:uid="{6A4720F2-80D4-4F26-9F6E-AF11996C0B0C}" name="Fellerbuncher1" dataDxfId="215"/>
    <tableColumn id="5" xr3:uid="{EB3525F8-1391-4255-93F9-544F22E8F9F0}" name="Motosierra1" dataDxfId="214"/>
    <tableColumn id="3" xr3:uid="{6EF9ED2C-F275-4AE4-98C9-25CFFE92C0B1}" name="FB_PLANFOR" dataDxfId="213"/>
    <tableColumn id="7" xr3:uid="{508D72E2-01E7-4270-9F2F-937E4E5CF49E}" name="NULO" dataDxfId="21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F153926-814E-453A-9FAC-3887EC2E1403}" name="m3.Volteo_Parámetros" displayName="m3.Volteo_Parámetros" ref="B15:E18" totalsRowShown="0" headerRowDxfId="211">
  <tableColumns count="4">
    <tableColumn id="1" xr3:uid="{0758FB71-B02E-4107-9C2B-4B843EEF4E24}" name="Factor Cons comb, lt/hrpr" dataDxfId="210"/>
    <tableColumn id="2" xr3:uid="{CCF194BB-85F1-4D69-B9CD-9FF984108C80}" name="Harvester" dataDxfId="209"/>
    <tableColumn id="3" xr3:uid="{EC94206B-C2F0-44A4-82D8-46D9C5FFA1FA}" name="Fellerbuncher" dataDxfId="208"/>
    <tableColumn id="4" xr3:uid="{BC9677BB-3248-4E57-99F0-75949D217DDD}" name="Motosierra" dataDxfId="20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5C43471-4C44-4A2E-99E9-C4968FB56A2D}" name="m3.Madereo_Maq.Disponible" displayName="m3.Madereo_Maq.Disponible" ref="B24:G60" totalsRowShown="0" headerRowDxfId="206" dataDxfId="205">
  <tableColumns count="6">
    <tableColumn id="1" xr3:uid="{D5F963A8-EE39-4EEB-8E17-6462C0DD1065}" name="PARÁMETROS \ MÁQUINA" dataDxfId="204"/>
    <tableColumn id="3" xr3:uid="{357B9953-B338-49F7-81A2-C4A398CD4E31}" name="Skidder-Garra" dataDxfId="203"/>
    <tableColumn id="4" xr3:uid="{B4F1BE74-1760-49E1-A886-FCDEF0608262}" name="Skidder-Cable" dataDxfId="202"/>
    <tableColumn id="5" xr3:uid="{B3257EE6-7671-4CBB-8BFE-84BA6DF8FEBC}" name="Forwarder" dataDxfId="201"/>
    <tableColumn id="8" xr3:uid="{AA05E6A7-E3B3-46B1-A615-0F3A11C85AAA}" name="SG_PLANFOR" dataDxfId="200"/>
    <tableColumn id="7" xr3:uid="{7B1909D9-F6A4-42A3-AD45-33BF75DCF671}" name="NULO" dataDxfId="199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E83B785-B3CA-4EFB-B82F-04746C5AE88C}" name="m3.Madereo_Parámetros" displayName="m3.Madereo_Parámetros" ref="B16:G19" totalsRowShown="0" headerRowDxfId="198">
  <tableColumns count="6">
    <tableColumn id="1" xr3:uid="{7AD0D861-F3E0-4F8F-8765-02C45D98DFFE}" name="Inv. Inicial (II), $" dataDxfId="197"/>
    <tableColumn id="3" xr3:uid="{437EEFBE-2433-4191-BD94-B1718D3BA006}" name="Skidder-Garra" dataDxfId="196"/>
    <tableColumn id="4" xr3:uid="{77F1C74B-F831-4E26-BF95-066064819901}" name="Skidder-Cable" dataDxfId="195"/>
    <tableColumn id="5" xr3:uid="{354BDA92-47B9-427C-9F5F-D67EC877DECF}" name="Forwarder" dataDxfId="194"/>
    <tableColumn id="2" xr3:uid="{3C4D601A-A3F6-438B-8C6E-5B61A93BF2AA}" name="Skidder" dataDxfId="193"/>
    <tableColumn id="6" xr3:uid="{48906E10-7D3B-4481-BE51-36778714DF31}" name="Tractor" dataDxfId="19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50E20C7-BF04-4602-A915-8CE6D4B1BE79}" name="m3.Procesado_Maq.Disponible" displayName="m3.Procesado_Maq.Disponible" ref="B23:E59" totalsRowShown="0" headerRowDxfId="191" dataDxfId="190">
  <tableColumns count="4">
    <tableColumn id="1" xr3:uid="{45BADE2F-EABF-4F24-80E7-DE6B051EC780}" name="PARÁMETROS \ MÁQUINA" dataDxfId="189"/>
    <tableColumn id="2" xr3:uid="{A14EB051-DCD5-4B1E-BAAE-03F1A11DFE31}" name="Motosierra Stihl MS-661" dataDxfId="188"/>
    <tableColumn id="3" xr3:uid="{4065DCB7-3F0E-4C97-803E-33514FEC9D1E}" name="PROCESADOR_PLANFOR" dataDxfId="187"/>
    <tableColumn id="7" xr3:uid="{CD90BB2F-8BAC-406D-AE08-149EAC568710}" name="NULO" dataDxfId="18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8386DFC-117D-4B3C-9EFF-7B29BF54343E}" name="m3.Procesado_Parámetros" displayName="m3.Procesado_Parámetros" ref="B15:E18" totalsRowShown="0" headerRowDxfId="185" dataDxfId="184">
  <tableColumns count="4">
    <tableColumn id="1" xr3:uid="{DA978994-5376-4372-B499-BB42D397EC25}" name="Inv. Inicial (II), $" dataDxfId="183"/>
    <tableColumn id="2" xr3:uid="{52A2A6B0-35BD-4BF5-97E2-31783E7DE87D}" name="Harvester" dataDxfId="182">
      <calculatedColumnFormula>INDEX( 'BD Costos'!U60:AD60,
 MATCH('m3 Procesado'!$B$15, 'BD Costos'!$U$59:$AD$59, 0 ))</calculatedColumnFormula>
    </tableColumn>
    <tableColumn id="3" xr3:uid="{10A1153B-FCC1-4DBA-AA80-6177837D07ED}" name="Motosierra" dataDxfId="181"/>
    <tableColumn id="4" xr3:uid="{26B017C1-5390-4645-822F-4FF65046A258}" name="Procesador" dataDxfId="18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796B1F3-49BF-436B-8220-95444A6A2C9C}" name="m3.Carguío_Maq.Disponible" displayName="m3.Carguío_Maq.Disponible" ref="B26:E62" totalsRowShown="0" headerRowDxfId="179" dataDxfId="178">
  <tableColumns count="4">
    <tableColumn id="1" xr3:uid="{1FDDA8C8-591D-4F0D-B55F-7EC078CF1AEE}" name="PARÁMETROS \ MÁQUINA" dataDxfId="177"/>
    <tableColumn id="2" xr3:uid="{06318F4B-2FB3-4D5E-80F0-84A9126D517E}" name="Hidráulico 1" dataDxfId="176"/>
    <tableColumn id="5" xr3:uid="{8E3F8715-888E-48C9-AC9B-89F1E9CCD598}" name="Cable 1" dataDxfId="175"/>
    <tableColumn id="4" xr3:uid="{7D7C3B09-33F6-47CA-B191-74D51D6255A5}" name="NULO" dataDxfId="17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B532D29-E69E-4784-B3D4-7D23A9C5633C}" name="m3.Carguío_Parámetros" displayName="m3.Carguío_Parámetros" ref="B14:D17" totalsRowShown="0">
  <tableColumns count="3">
    <tableColumn id="1" xr3:uid="{19DEAEB6-3E27-4C86-B866-652BEA753CD3}" name="Factor de Reventa" dataDxfId="173"/>
    <tableColumn id="2" xr3:uid="{B757A74B-2274-471D-96BB-EC2365F7651E}" name="Cargador" dataDxfId="172">
      <calculatedColumnFormula>INDEX( 'BD Costos'!U75:AD75,
 MATCH($B$14,
BD_Costos_CARGUÍO[[#Headers],[Potencia motor, hp]:[Productividad, %]], 0 ))</calculatedColumnFormula>
    </tableColumn>
    <tableColumn id="3" xr3:uid="{4B956968-5691-409E-92C0-73E9919E5C71}" name="Grúa" dataDxfId="17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1319FFA-A2E4-4D66-937F-D0CFDF1B18FB}" name="m3.Transp_parámetros" displayName="m3.Transp_parámetros" ref="B17:C20" totalsRowShown="0" headerRowDxfId="170" dataDxfId="169">
  <tableColumns count="2">
    <tableColumn id="1" xr3:uid="{F5AAB12F-C7E8-44DD-9A8D-A27F2884491C}" name="Factor de Reventa" dataDxfId="168"/>
    <tableColumn id="2" xr3:uid="{1A248AC9-7F35-4023-ABD4-558EC98F5EFA}" name="Camión" dataDxfId="167">
      <calculatedColumnFormula>INDEX( 'BD Costos'!U87:AD87,
 MATCH(m3.Transp_parámetros[[#Headers],[Factor de Reventa]],BD_Costos_TRANSPORTE[[#Headers],[Potencia motor, hp]:[Productividad, %]], 0 ))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6851921-610B-439E-9AB8-248857E7A656}" name="m3.Transporte_Maq.Disponible" displayName="m3.Transporte_Maq.Disponible" ref="B29:D65" totalsRowShown="0" headerRowDxfId="166" dataDxfId="165">
  <tableColumns count="3">
    <tableColumn id="1" xr3:uid="{70FF6182-8703-4509-B456-5EC1335FA918}" name="PARÁMETROS \ MÁQUINA" dataDxfId="164"/>
    <tableColumn id="4" xr3:uid="{31F4BEE9-80B4-491F-A100-1033C254FC6B}" name="Camión Mercedez Benz" dataDxfId="163"/>
    <tableColumn id="5" xr3:uid="{AF594846-3AB9-4685-87E1-DADE986008CC}" name="NULO" dataDxfId="16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FE1926-3FDE-4329-8A60-FB031C431CC3}" name="BD_Costos_VOLTEO" displayName="BD_Costos_VOLTEO" ref="S23:AD32" totalsRowShown="0" headerRowDxfId="161" dataDxfId="160" tableBorderDxfId="159">
  <autoFilter ref="S23:AD32" xr:uid="{6D64F8DF-B0B0-476C-9526-3D5687A4162D}"/>
  <tableColumns count="12">
    <tableColumn id="1" xr3:uid="{8378CACC-8F8E-4DD6-8D40-116D2622C95F}" name="Máquina" dataDxfId="158"/>
    <tableColumn id="2" xr3:uid="{BF13BA12-EFE6-454C-88B1-7F760F884CC6}" name="Estadísticos" dataDxfId="157"/>
    <tableColumn id="3" xr3:uid="{38CFCE9F-9748-43BD-901F-5A41E8B090E7}" name="Potencia motor, hp" dataDxfId="156"/>
    <tableColumn id="4" xr3:uid="{DD1C1C2D-19A2-4592-A970-2CC32B087382}" name="Inv. Inicial (II), $" dataDxfId="155"/>
    <tableColumn id="6" xr3:uid="{6C9D91E9-60CB-42CA-960F-516BEA50ACA5}" name="Vida Útil, (años)" dataDxfId="154"/>
    <tableColumn id="7" xr3:uid="{F2990A9C-3122-4D73-94B1-9835224AE37E}" name="Depreciación ($/año)" dataDxfId="153"/>
    <tableColumn id="8" xr3:uid="{453CBE06-B9DF-410A-AF34-314803A0E0B9}" name="Factor Mantención &amp; Reparación, %" dataDxfId="152"/>
    <tableColumn id="9" xr3:uid="{454C4828-7E5B-4885-AA44-2E5588267854}" name="Factor Cons comb, lt/hrpr" dataDxfId="151"/>
    <tableColumn id="10" xr3:uid="{BDA1F347-013C-4486-912A-2BBD402A54EE}" name="Factor Lubricantes, %" dataDxfId="150" dataCellStyle="Porcentaje"/>
    <tableColumn id="15" xr3:uid="{6662D755-2350-4C3F-9748-5155C7CD7584}" name="Factor de Reventa" dataDxfId="149" dataCellStyle="Porcentaje"/>
    <tableColumn id="14" xr3:uid="{28B9D372-5083-4FEF-8111-4FC0C1E2AC15}" name="Consumo Combustible, lt/hrpr" dataDxfId="148"/>
    <tableColumn id="11" xr3:uid="{317AD5BB-C700-4B9D-9E4F-72D731D8BC82}" name="Productividad, %" dataDxfId="147" dataCellStyle="Porcentaj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19CC36-AB99-4C13-98F6-78197E0B9BF3}" name="BD_Costos_MADEREO" displayName="BD_Costos_MADEREO" ref="S37:AD52" totalsRowShown="0" headerRowDxfId="146" tableBorderDxfId="145">
  <autoFilter ref="S37:AD52" xr:uid="{8D8D4092-A292-499F-B785-7EB99D10A2DF}"/>
  <tableColumns count="12">
    <tableColumn id="1" xr3:uid="{155C18E3-CD56-4425-802E-0D2BEBAC2BBE}" name="Máquina" dataDxfId="144"/>
    <tableColumn id="2" xr3:uid="{F62A0849-9288-424F-9AA5-4FC444585DC6}" name="Estadísticos" dataDxfId="143"/>
    <tableColumn id="3" xr3:uid="{28AE9FCC-6326-479C-AE2F-B7C153392241}" name="Potencia motor, hp" dataDxfId="142"/>
    <tableColumn id="4" xr3:uid="{20727746-F2AF-4598-BDC4-325FBBAD8F4A}" name="Inv. Inicial (II), $" dataDxfId="141"/>
    <tableColumn id="6" xr3:uid="{445680DC-59AF-455A-A8F4-41FAFDEDCB92}" name="Vida Útil, (años)" dataDxfId="140"/>
    <tableColumn id="7" xr3:uid="{5A31F87C-2E2C-4CAD-A2B4-E4BC39EB96A6}" name="Depreciación ($/año)" dataDxfId="139"/>
    <tableColumn id="8" xr3:uid="{ADF08B9E-4573-4FB8-A8E2-7F64D452CE5B}" name="Factor Mantención &amp; Reparación, %"/>
    <tableColumn id="9" xr3:uid="{99AAC9FD-02CA-433E-A406-C7F1452265F8}" name="Factor Cons comb, lt/hrpr" dataDxfId="138"/>
    <tableColumn id="10" xr3:uid="{E6CA6B63-66D8-44D9-9C6A-1A03AFA30AC9}" name="Factor Lubricantes, %" dataDxfId="137" dataCellStyle="Millares"/>
    <tableColumn id="15" xr3:uid="{B6F9749D-D233-41CA-B5A4-60DEEF25671B}" name="Factor de Reventa" dataDxfId="136" dataCellStyle="Millares"/>
    <tableColumn id="14" xr3:uid="{9155B4FA-BF66-423F-8DA9-49987B8D7D1E}" name="Consumo Combustible, lt/hrpr" dataDxfId="135" dataCellStyle="Millares"/>
    <tableColumn id="11" xr3:uid="{BE99A002-7409-4759-AF88-5F092651A54F}" name="Productividad, %" dataDxfId="134" dataCellStyle="Millares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67A17B-AF40-4903-B895-047963AC00FD}" name="BD_Costos" displayName="BD_Costos" ref="B19:Q175" totalsRowShown="0" headerRowDxfId="133" dataDxfId="132" tableBorderDxfId="131">
  <autoFilter ref="B19:Q175" xr:uid="{99634DDF-2C88-41F7-A8CD-B7892FF3E880}"/>
  <tableColumns count="16">
    <tableColumn id="1" xr3:uid="{273B724C-817D-402A-9F62-766659A7D6C6}" name="Apellido" dataDxfId="130"/>
    <tableColumn id="2" xr3:uid="{1503DB8C-6C0B-4109-B57D-C96C6BDAA08E}" name="Año" dataDxfId="129"/>
    <tableColumn id="5" xr3:uid="{75E6D701-0D42-498B-983F-B37589FB6C25}" name="Máquina" dataDxfId="128"/>
    <tableColumn id="3" xr3:uid="{4126412B-DC7A-4389-BC02-75E256A1BEA8}" name="Sistema" dataDxfId="127"/>
    <tableColumn id="4" xr3:uid="{094C7BFD-B2C7-4880-B399-86F9EB0829A4}" name="Subsistema" dataDxfId="126"/>
    <tableColumn id="8" xr3:uid="{9FA3F502-8357-4E5A-B44D-11C29CD0620A}" name="Potencia motor, hp" dataDxfId="125"/>
    <tableColumn id="9" xr3:uid="{C17D1A13-35BA-43D3-A622-2B2BA700AE89}" name="Inv. Inicial (II), $" dataDxfId="124"/>
    <tableColumn id="10" xr3:uid="{608688D3-CF9A-4429-AFEC-C4A72C448C46}" name="Valor Reventa (VR), $" dataDxfId="123"/>
    <tableColumn id="19" xr3:uid="{67C78AEC-9BE3-4FE6-825A-8875A4B41563}" name="Factor de Reventa, %" dataDxfId="122">
      <calculatedColumnFormula>BD_Costos[[#This Row],[Valor Reventa (VR), $]]/BD_Costos[[#This Row],[Inv. Inicial (II), $]]</calculatedColumnFormula>
    </tableColumn>
    <tableColumn id="11" xr3:uid="{25DCEBDD-CE75-47D2-A6AE-80A3FFF2565B}" name="Vida Útil, años" dataDxfId="121"/>
    <tableColumn id="12" xr3:uid="{147D5896-E206-4A46-AA22-08BE6E943A67}" name="Depreciación ($/año)" dataDxfId="120">
      <calculatedColumnFormula>(H20-I20)/K20</calculatedColumnFormula>
    </tableColumn>
    <tableColumn id="13" xr3:uid="{70D6CF78-922C-4550-ABE5-77E8AA0BDD27}" name="Mantención &amp; Reparación, %" dataDxfId="119"/>
    <tableColumn id="14" xr3:uid="{04785A22-3FC4-4753-8CE6-4812474C0E9B}" name="Factor Cons comb, lt/hrpr/hp" dataDxfId="118"/>
    <tableColumn id="16" xr3:uid="{DAB5F99D-5C90-4503-9B70-430B999F2EDD}" name="Productividad, %" dataDxfId="117"/>
    <tableColumn id="15" xr3:uid="{32B868C3-5034-4DE6-BDE5-9191D93B1586}" name="Factor Lubricantes, %" dataDxfId="116"/>
    <tableColumn id="18" xr3:uid="{E8DBFBB3-D3B5-4FC0-92F4-145630A9A147}" name="Cons comb, lt/hrpr" dataDxfId="11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A64D68-5AA5-4EAE-B6BE-602DF2A29C16}" name="BD_Costos_PROCESADO" displayName="BD_Costos_PROCESADO" ref="S59:AD68" totalsRowShown="0" headerRowDxfId="114" dataDxfId="113" tableBorderDxfId="112">
  <autoFilter ref="S59:AD68" xr:uid="{B4B85FEF-558D-4330-82F3-09C91AFC369F}"/>
  <tableColumns count="12">
    <tableColumn id="1" xr3:uid="{A7A59284-5FCD-4630-AD3E-773D35880D20}" name="Máquina" dataDxfId="111"/>
    <tableColumn id="2" xr3:uid="{B3596977-652F-4860-A39E-48F71BD41025}" name="Estadísticos" dataDxfId="110"/>
    <tableColumn id="3" xr3:uid="{8B279778-89FC-4A07-A593-DA2240EC06A3}" name="Potencia motor, hp" dataDxfId="109"/>
    <tableColumn id="4" xr3:uid="{1A3DA6F7-24DC-4721-AE29-BB582392BC66}" name="Inv. Inicial (II), $" dataDxfId="108"/>
    <tableColumn id="6" xr3:uid="{E1AFD467-4961-46FE-83FF-DDC94F5C856E}" name="Vida Útil, (años)" dataDxfId="107"/>
    <tableColumn id="7" xr3:uid="{96AAA032-16D9-4FCD-9665-B235781418C2}" name="Depreciación ($/año)" dataDxfId="106"/>
    <tableColumn id="8" xr3:uid="{B03D9AA6-20A3-43C8-BBC0-A465D083FC70}" name="Factor Mantención &amp; Reparación, %" dataDxfId="105"/>
    <tableColumn id="9" xr3:uid="{FFEA8EEB-D3BD-4B7E-A8A6-27DEDFA3E42F}" name="Factor Cons comb, lt/hrpr" dataDxfId="104"/>
    <tableColumn id="10" xr3:uid="{ED5CF73B-10AB-4AB2-ACF4-FDA878C6D63B}" name="Factor Lubricantes, %" dataDxfId="103"/>
    <tableColumn id="14" xr3:uid="{132AE891-C954-4996-9B8A-539DB4E8D369}" name="Factor de Reventa" dataDxfId="102"/>
    <tableColumn id="13" xr3:uid="{DE2E7B19-3B81-43DB-A223-5A7D49A757BF}" name="Consumo Combustible, lt/hrpr" dataDxfId="101"/>
    <tableColumn id="11" xr3:uid="{B861EF5E-AE5A-4ACA-BDD9-7099E0159564}" name="Productividad, %" dataDxfId="10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AE66D8-45FB-41E3-9F5D-A89AF893DE56}" name="BD_Costos_CARGUÍO" displayName="BD_Costos_CARGUÍO" ref="S74:AD80" totalsRowShown="0" headerRowDxfId="99" dataDxfId="97" headerRowBorderDxfId="98" tableBorderDxfId="96">
  <autoFilter ref="S74:AD80" xr:uid="{39AE66D8-45FB-41E3-9F5D-A89AF893DE56}"/>
  <tableColumns count="12">
    <tableColumn id="1" xr3:uid="{F38FC784-D74C-48FC-893E-0A26FF9CBB27}" name="Máquina" dataDxfId="95"/>
    <tableColumn id="2" xr3:uid="{3DE041F1-95E4-422D-8976-82E352635975}" name="Estadísticos" dataDxfId="94"/>
    <tableColumn id="3" xr3:uid="{A3C7811A-3430-4DF2-85EB-26ECD3D87AA2}" name="Potencia motor, hp" dataDxfId="93"/>
    <tableColumn id="4" xr3:uid="{205674EF-524E-477E-A0C3-BA8D1379B094}" name="Inv. Inicial (II), $" dataDxfId="92"/>
    <tableColumn id="6" xr3:uid="{907B1AEA-1142-470C-9B5B-63EECAA931A8}" name="Vida Útil, (años)" dataDxfId="91"/>
    <tableColumn id="7" xr3:uid="{D66EC9E4-9AB3-4121-8484-492A81B1F86D}" name="Depreciación ($/año)" dataDxfId="90"/>
    <tableColumn id="8" xr3:uid="{4F658648-50C9-47C5-A0CD-8E61C1BE451A}" name="Factor Mantención &amp; Reparación, %" dataDxfId="89"/>
    <tableColumn id="9" xr3:uid="{90C2A173-4ED8-4034-AD11-BCD3E67CFDE9}" name="Factor Cons comb, lt/hrpr" dataDxfId="88"/>
    <tableColumn id="10" xr3:uid="{5831B49B-AA87-4E14-A1E8-BC85971489CC}" name="Factor Lubricantes, %" dataDxfId="87"/>
    <tableColumn id="14" xr3:uid="{B9D8C7E9-A796-4C83-A959-14823BBC9A92}" name="Factor de Reventa" dataDxfId="86"/>
    <tableColumn id="13" xr3:uid="{02CA2B79-3E88-4AAC-A6C3-923F9B2EE6BB}" name="Consumo Combustible, lt/hrpr" dataDxfId="85"/>
    <tableColumn id="11" xr3:uid="{6D4E275C-BFBA-43D4-945A-2E894A5A4EC9}" name="Productividad, %" dataDxfId="8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A31EB26-69CB-4183-AFA0-581991892C02}" name="BD_Costos_TRANSPORTE" displayName="BD_Costos_TRANSPORTE" ref="S86:AD89" totalsRowShown="0" headerRowDxfId="83" dataDxfId="81" headerRowBorderDxfId="82" tableBorderDxfId="80">
  <autoFilter ref="S86:AD89" xr:uid="{DA31EB26-69CB-4183-AFA0-581991892C02}"/>
  <tableColumns count="12">
    <tableColumn id="1" xr3:uid="{FBBFC49C-7596-4127-88F7-48A863DC3BFF}" name="Máquina" dataDxfId="79"/>
    <tableColumn id="2" xr3:uid="{574886DE-13BE-4EC8-84C6-4ED95F03082A}" name="Estadísticos" dataDxfId="78"/>
    <tableColumn id="3" xr3:uid="{72B2F118-38BF-45C4-8F8A-EE2E2FDF3E10}" name="Potencia motor, hp" dataDxfId="77">
      <calculatedColumnFormula>AVERAGEIFS( BD_Costos[Potencia motor, hp],  BD_Costos[Máquina], BD_Costos_TRANSPORTE[[#This Row],[Máquina]])</calculatedColumnFormula>
    </tableColumn>
    <tableColumn id="4" xr3:uid="{C4761A79-B9EB-42B4-9A55-B82089DD4B6F}" name="Inv. Inicial (II), $" dataDxfId="76">
      <calculatedColumnFormula>AVERAGEIFS( BD_Costos[Inv. Inicial (II), $],  BD_Costos[Máquina], BD_Costos_TRANSPORTE[[#This Row],[Máquina]])</calculatedColumnFormula>
    </tableColumn>
    <tableColumn id="6" xr3:uid="{ABF122AD-C1AA-4B1C-9CB1-A7C05FAB1E2D}" name="Vida Útil, (años)" dataDxfId="75"/>
    <tableColumn id="7" xr3:uid="{0B7CB8F5-B8D3-421D-A5A9-44A49A94804A}" name="Depreciación ($/año)" dataDxfId="74"/>
    <tableColumn id="8" xr3:uid="{95B779CE-634F-478A-A990-E788F65CB30E}" name="Factor Mantención &amp; Reparación, %" dataDxfId="73"/>
    <tableColumn id="9" xr3:uid="{1B398327-3004-4898-BBD6-0A2C9B83D81C}" name="Factor Cons comb, lt/hrpr" dataDxfId="72"/>
    <tableColumn id="10" xr3:uid="{8BEF61D0-0EA5-457F-A63D-C36E06220DED}" name="Factor Lubricantes, %" dataDxfId="71"/>
    <tableColumn id="14" xr3:uid="{CE2BE9A8-63EC-44B8-AD82-AA4B65D3940F}" name="Factor de Reventa" dataDxfId="70"/>
    <tableColumn id="13" xr3:uid="{C95FB025-EE73-49F7-A394-3CDA395FAD05}" name="Consumo Combustible, lt/hrpr" dataDxfId="69"/>
    <tableColumn id="11" xr3:uid="{C97A2C48-CD9A-4162-968C-08EE26081321}" name="Productividad, %" dataDxfId="6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371F933-A932-46EC-B042-F09FE342A0D7}" name="m4_Costos_ConfSistema1_Tipo_y_Subsistema" displayName="m4_Costos_ConfSistema1_Tipo_y_Subsistema" ref="L20:Q26" totalsRowCount="1" headerRowDxfId="67" dataDxfId="65" headerRowBorderDxfId="66">
  <tableColumns count="6">
    <tableColumn id="1" xr3:uid="{FA66F252-9C22-438F-BAF3-A511D3674E01}" name="Subsistema" dataDxfId="64" totalsRowDxfId="63">
      <calculatedColumnFormula>B21</calculatedColumnFormula>
    </tableColumn>
    <tableColumn id="2" xr3:uid="{C3F12C14-2158-4996-BDCD-636B24E97436}" name="CF, $" totalsRowFunction="sum" dataDxfId="62" totalsRowDxfId="61"/>
    <tableColumn id="3" xr3:uid="{1993A007-8811-43BD-B5A1-8A9597DC9860}" name="CV, $" totalsRowFunction="sum" dataDxfId="60" totalsRowDxfId="59"/>
    <tableColumn id="4" xr3:uid="{67900F00-5368-4A32-AD44-F035F151C81A}" name="CMO, $" totalsRowFunction="sum" dataDxfId="58" totalsRowDxfId="57"/>
    <tableColumn id="5" xr3:uid="{DE8C89BA-699F-4B16-9B62-DFCEE97D9382}" name="CT, $/hrpl" totalsRowFunction="sum" dataDxfId="56" totalsRowDxfId="55">
      <calculatedColumnFormula>m4_Costos_ConfSistema1_Tipo_y_Subsistema[[#This Row],[CF, $]]+m4_Costos_ConfSistema1_Tipo_y_Subsistema[[#This Row],[CV, $]]+m4_Costos_ConfSistema1_Tipo_y_Subsistema[[#This Row],[CMO, $]]</calculatedColumnFormula>
    </tableColumn>
    <tableColumn id="6" xr3:uid="{810A9F6F-8A7B-47FC-9C5E-29BA07AE0AB7}" name="Costo Total, $/m3" totalsRowFunction="sum" dataDxfId="54" totalsRowDxfId="53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1853222-7EA3-4687-8111-ACB07082F07B}" name="m4_Configuración_del_Sistema" displayName="m4_Configuración_del_Sistema" ref="B20:J25" totalsRowShown="0" headerRowDxfId="52">
  <tableColumns count="9">
    <tableColumn id="1" xr3:uid="{E1EF660E-CBC4-489A-9563-FE59B173CE7E}" name="Subsistema" dataDxfId="51"/>
    <tableColumn id="2" xr3:uid="{2AD60855-0F11-4FC9-800F-6D539C5F3BAE}" name="Máquina" dataDxfId="50"/>
    <tableColumn id="3" xr3:uid="{E684B41F-8E90-40B3-96EA-9DC4A4918FF9}" name="Rxv, m3/hrpr" dataDxfId="49"/>
    <tableColumn id="4" xr3:uid="{D96445E9-3ABF-4F7B-B1A7-3C5740A4F0B6}" name="Productividad , %" dataDxfId="48"/>
    <tableColumn id="5" xr3:uid="{A8B6FA83-4A37-4122-9A92-B9E87B4469BB}" name="n operadores" dataDxfId="47"/>
    <tableColumn id="6" xr3:uid="{8B01B8CC-9672-4511-9955-C13CE2BA55AD}" name="n Máquinas" dataDxfId="46"/>
    <tableColumn id="7" xr3:uid="{C3859632-1542-4212-86EB-35D0FF7CCE80}" name="m3/hrpl [1 solo]" dataDxfId="45"/>
    <tableColumn id="8" xr3:uid="{2AA7FFF3-4BCB-40DE-A154-8D27D2047952}" name="m3/hrpl [todos]" dataDxfId="44">
      <calculatedColumnFormula>H21*G21</calculatedColumnFormula>
    </tableColumn>
    <tableColumn id="9" xr3:uid="{576A2A7E-62E5-4A14-A178-3F5CC3FD332F}" name="Utilización" dataDxfId="43" dataCellStyle="Porcentaje">
      <calculatedColumnFormula>$I$26/m4_Configuración_del_Sistema[[#This Row],[m3/hrpl '[todos']]]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28F088B-C40C-4689-9ADF-E50CDB8E20F9}" name="m4.Parámetros" displayName="m4.Parámetros" ref="C14:D15" totalsRowShown="0" headerRowDxfId="42" dataDxfId="41" tableBorderDxfId="40">
  <tableColumns count="2">
    <tableColumn id="1" xr3:uid="{FDE6E7A7-B4CA-4340-818A-6DA387B64895}" name="Costos Indirectos, $/hrpl" dataDxfId="39">
      <calculatedColumnFormula>'m1 Fac_oper'!$G$26</calculatedColumnFormula>
    </tableColumn>
    <tableColumn id="2" xr3:uid="{C4F3CBB8-2448-4055-BC15-56DADBDAB395}" name="Vol. Total cosecha, m3" dataDxfId="38">
      <calculatedColumnFormula>'m1 Descrip_rodal'!C26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1CDF7D0-429A-439C-A30C-EB3855986C97}" name="m4_Configuración_del_Sistema_2" displayName="m4_Configuración_del_Sistema_2" ref="B35:J40" totalsRowShown="0" headerRowDxfId="37" dataDxfId="36">
  <tableColumns count="9">
    <tableColumn id="1" xr3:uid="{79B0D393-02F1-4D8D-994C-CEB5EC921E00}" name="Subsistema" dataDxfId="35"/>
    <tableColumn id="2" xr3:uid="{785674D5-45B9-47EE-B3E0-9FCDDDEA81B6}" name="Máquina" dataDxfId="34"/>
    <tableColumn id="3" xr3:uid="{AA8273AB-7122-41B1-AE51-B00F9AF38E65}" name="Rxv, m3/hrpr" dataDxfId="33"/>
    <tableColumn id="4" xr3:uid="{74181824-64A7-465A-BC71-58F5FE3BB47F}" name="Productividad , %" dataDxfId="32"/>
    <tableColumn id="5" xr3:uid="{9CDE86D7-A230-4A88-AF0F-30A1FA29AC9D}" name="n operadores" dataDxfId="31"/>
    <tableColumn id="6" xr3:uid="{E419E572-E93E-4954-B41E-99286316ED4A}" name="n Máquinas" dataDxfId="30"/>
    <tableColumn id="7" xr3:uid="{0BFD958E-6B2C-4DFB-B7A0-88C29EF51751}" name="m3/hrpl [1 solo]" dataDxfId="29"/>
    <tableColumn id="8" xr3:uid="{CFCE0905-62ED-409F-9670-752CD50520D8}" name="m3/hrpl [todos]" dataDxfId="28">
      <calculatedColumnFormula>H36*G36</calculatedColumnFormula>
    </tableColumn>
    <tableColumn id="9" xr3:uid="{1AFDBD39-441B-4A6F-87D5-D3068991877B}" name="Utilización" dataDxfId="27">
      <calculatedColumnFormula>$I$41/m4_Configuración_del_Sistema_2[[#This Row],[m3/hrpl '[todos']]]</calculatedColumnFormula>
    </tableColumn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98F997C-AD9C-41E1-B680-A14F9308954A}" name="m4_Costos_ConfSistema2_Tipo_y_Subsistema" displayName="m4_Costos_ConfSistema2_Tipo_y_Subsistema" ref="L34:Q40" totalsRowCount="1" headerRowDxfId="26" dataDxfId="25">
  <tableColumns count="6">
    <tableColumn id="1" xr3:uid="{FC8F7343-28E9-4D8A-9024-2EE2134218FC}" name="Subsistema" totalsRowLabel="Total" dataDxfId="24" totalsRowDxfId="23"/>
    <tableColumn id="2" xr3:uid="{D69B215F-A871-4BEC-80D2-1B7231DE5F9B}" name="CF, $" totalsRowFunction="sum" dataDxfId="22" totalsRowDxfId="21"/>
    <tableColumn id="3" xr3:uid="{7F8AB836-ABC9-418E-A535-D9E827F5EE5D}" name="CV, $" totalsRowFunction="sum" dataDxfId="20" totalsRowDxfId="19"/>
    <tableColumn id="4" xr3:uid="{0E42AE9D-EAD0-447F-A09B-4EBC580BC374}" name="CMO, $" totalsRowFunction="sum" dataDxfId="18" totalsRowDxfId="17"/>
    <tableColumn id="5" xr3:uid="{A6E58B6F-8CC7-42FA-9194-0927C536088F}" name="CT, $/hrpl" totalsRowFunction="sum" dataDxfId="16" totalsRowDxfId="15">
      <calculatedColumnFormula>SUM(m4_Costos_ConfSistema2_Tipo_y_Subsistema[[#This Row],[CF, $]:[CMO, $]])</calculatedColumnFormula>
    </tableColumn>
    <tableColumn id="6" xr3:uid="{D7713066-06D8-40EB-8AA2-96571A1C6B8F}" name="Costo Total, $/m3" totalsRowFunction="sum" dataDxfId="14" totalsRowDxfId="13">
      <calculatedColumnFormula>P35/$I$41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2E5D876-C9B4-4C3D-B357-8F01D529D0FB}" name="Tabla40" displayName="Tabla40" ref="C18:I28" totalsRowShown="0" headerRowDxfId="12" dataDxfId="11" tableBorderDxfId="10">
  <autoFilter ref="C18:I28" xr:uid="{92E5D876-C9B4-4C3D-B357-8F01D529D0F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C681E3C-901C-4809-A3DE-B2EC142AE056}" name="Subsistema" dataDxfId="9"/>
    <tableColumn id="2" xr3:uid="{F9B37238-4A1F-459B-862D-31729B96EED9}" name="CFSS ($/hrpl)" dataDxfId="8"/>
    <tableColumn id="3" xr3:uid="{D885A9EC-2A81-4315-A8A3-A09C4E2849D0}" name="CVSS ($/hrpl)" dataDxfId="7"/>
    <tableColumn id="4" xr3:uid="{5F2EEAC6-AC26-4200-8B02-E0C079C8A862}" name="CMOSS ($/hrpl)" dataDxfId="6"/>
    <tableColumn id="5" xr3:uid="{1688B710-9D23-4548-A810-D27A7E4B5881}" name="CTSS ($/hrpl)" dataDxfId="5"/>
    <tableColumn id="6" xr3:uid="{467618D4-B2F6-42DC-97C9-6DFC693BF196}" name="CT ($/m3)" dataDxfId="4"/>
    <tableColumn id="7" xr3:uid="{2FCB3695-6C15-4984-8691-5B4F3886C905}" name="Escenario" dataDxfId="3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4AF2878-2BA5-4A6B-8A96-4238F855BF79}" name="BD_Costos_REFERENCIAS" displayName="BD_Costos_REFERENCIAS" ref="B13:E65" totalsRowShown="0" headerRowDxfId="2" headerRowBorderDxfId="1" tableBorderDxfId="0">
  <autoFilter ref="B13:E65" xr:uid="{54AF2878-2BA5-4A6B-8A96-4238F855BF79}"/>
  <tableColumns count="4">
    <tableColumn id="2" xr3:uid="{C5C1428F-4818-403F-91F9-F02C751DB11C}" name="Origen"/>
    <tableColumn id="3" xr3:uid="{76893D54-C745-4A4C-9C6B-310CE484217E}" name="Autor/Responsable"/>
    <tableColumn id="4" xr3:uid="{624D38E5-7598-45AA-857C-EB33038E67B2}" name="Año"/>
    <tableColumn id="5" xr3:uid="{C007A708-A631-453E-9BAC-938EC9039D07}" name="Título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microsoft.com/office/2007/relationships/slicer" Target="../slicers/slicer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4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omments" Target="../comments2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4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Relationship Id="rId9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7" Type="http://schemas.openxmlformats.org/officeDocument/2006/relationships/table" Target="../tables/table3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05D4-D3BB-4D77-BCF9-21E26F65647F}">
  <sheetPr codeName="Hoja6"/>
  <dimension ref="A15:AW296"/>
  <sheetViews>
    <sheetView showGridLines="0" showRowColHeaders="0" zoomScale="60" zoomScaleNormal="60" workbookViewId="0"/>
  </sheetViews>
  <sheetFormatPr baseColWidth="10" defaultColWidth="0" defaultRowHeight="14.4" x14ac:dyDescent="0.3"/>
  <cols>
    <col min="1" max="1" width="24.88671875" style="48" customWidth="1"/>
    <col min="2" max="2" width="17.88671875" style="48" bestFit="1" customWidth="1"/>
    <col min="3" max="3" width="20.88671875" style="48" bestFit="1" customWidth="1"/>
    <col min="4" max="4" width="22.44140625" style="48" customWidth="1"/>
    <col min="5" max="6" width="21.5546875" style="48" bestFit="1" customWidth="1"/>
    <col min="7" max="7" width="12.44140625" style="48" bestFit="1" customWidth="1"/>
    <col min="8" max="8" width="22.5546875" style="48" bestFit="1" customWidth="1"/>
    <col min="9" max="9" width="18.88671875" style="48" bestFit="1" customWidth="1"/>
    <col min="10" max="10" width="13.44140625" style="48" bestFit="1" customWidth="1"/>
    <col min="11" max="11" width="11.88671875" style="48" bestFit="1" customWidth="1"/>
    <col min="12" max="12" width="14.44140625" style="48" bestFit="1" customWidth="1"/>
    <col min="13" max="13" width="15.44140625" style="48" bestFit="1" customWidth="1"/>
    <col min="14" max="14" width="12.6640625" style="48" customWidth="1"/>
    <col min="15" max="15" width="131.88671875" style="48" bestFit="1" customWidth="1"/>
    <col min="16" max="16" width="35.88671875" style="48" customWidth="1"/>
    <col min="17" max="17" width="131.88671875" style="48" hidden="1" customWidth="1"/>
    <col min="18" max="18" width="16.109375" style="48" hidden="1" customWidth="1"/>
    <col min="19" max="19" width="142.5546875" style="48" hidden="1" customWidth="1"/>
    <col min="20" max="20" width="32.109375" style="48" hidden="1" customWidth="1"/>
    <col min="21" max="21" width="140.88671875" style="48" hidden="1" customWidth="1"/>
    <col min="22" max="22" width="188.109375" style="48" hidden="1" customWidth="1"/>
    <col min="23" max="49" width="0" style="48" hidden="1" customWidth="1"/>
    <col min="50" max="16384" width="11.44140625" style="48" hidden="1"/>
  </cols>
  <sheetData>
    <row r="15" spans="1:38" s="66" customFormat="1" x14ac:dyDescent="0.3"/>
    <row r="16" spans="1:38" customFormat="1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25"/>
    </row>
    <row r="17" spans="1:34" customFormat="1" ht="16.2" x14ac:dyDescent="0.3">
      <c r="A17" s="48"/>
      <c r="B17" s="574" t="s">
        <v>3</v>
      </c>
      <c r="C17" s="574" t="s">
        <v>32</v>
      </c>
      <c r="D17" s="574" t="s">
        <v>4</v>
      </c>
      <c r="E17" s="574" t="s">
        <v>44</v>
      </c>
      <c r="F17" s="574" t="s">
        <v>7</v>
      </c>
      <c r="G17" s="574" t="s">
        <v>6</v>
      </c>
      <c r="H17" s="574" t="s">
        <v>113</v>
      </c>
      <c r="I17" s="574" t="s">
        <v>10</v>
      </c>
      <c r="J17" s="574" t="s">
        <v>5</v>
      </c>
      <c r="K17" s="574" t="s">
        <v>71</v>
      </c>
      <c r="L17" s="574" t="s">
        <v>112</v>
      </c>
      <c r="M17" s="574" t="s">
        <v>72</v>
      </c>
      <c r="N17" s="574" t="s">
        <v>142</v>
      </c>
      <c r="O17" s="574" t="s">
        <v>29</v>
      </c>
      <c r="P17" s="48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25"/>
    </row>
    <row r="18" spans="1:34" customFormat="1" x14ac:dyDescent="0.3">
      <c r="A18" s="48"/>
      <c r="B18" s="27" t="s">
        <v>38</v>
      </c>
      <c r="C18" s="27" t="s">
        <v>73</v>
      </c>
      <c r="D18" s="27" t="s">
        <v>36</v>
      </c>
      <c r="E18" s="27" t="s">
        <v>114</v>
      </c>
      <c r="F18" s="27"/>
      <c r="G18" s="27"/>
      <c r="H18" s="27"/>
      <c r="I18" s="27"/>
      <c r="J18" s="27"/>
      <c r="K18" s="27"/>
      <c r="L18" s="27"/>
      <c r="M18" s="27"/>
      <c r="N18" s="27"/>
      <c r="O18" s="27" t="s">
        <v>115</v>
      </c>
      <c r="P18" s="48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25"/>
    </row>
    <row r="19" spans="1:34" customFormat="1" x14ac:dyDescent="0.3">
      <c r="A19" s="48"/>
      <c r="B19" s="27" t="s">
        <v>38</v>
      </c>
      <c r="C19" s="27" t="s">
        <v>73</v>
      </c>
      <c r="D19" s="27" t="s">
        <v>36</v>
      </c>
      <c r="E19" s="27" t="s">
        <v>114</v>
      </c>
      <c r="F19" s="27"/>
      <c r="G19" s="27"/>
      <c r="H19" s="27"/>
      <c r="I19" s="27"/>
      <c r="J19" s="27"/>
      <c r="K19" s="27"/>
      <c r="L19" s="27"/>
      <c r="M19" s="27"/>
      <c r="N19" s="27"/>
      <c r="O19" s="27" t="s">
        <v>115</v>
      </c>
      <c r="P19" s="48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25"/>
    </row>
    <row r="20" spans="1:34" customFormat="1" x14ac:dyDescent="0.3">
      <c r="A20" s="48"/>
      <c r="B20" s="27" t="s">
        <v>1</v>
      </c>
      <c r="C20" s="27" t="s">
        <v>59</v>
      </c>
      <c r="D20" s="27" t="s">
        <v>20</v>
      </c>
      <c r="E20" s="27" t="s">
        <v>54</v>
      </c>
      <c r="F20" s="27" t="s">
        <v>9</v>
      </c>
      <c r="G20" s="27" t="s">
        <v>14</v>
      </c>
      <c r="H20" s="27" t="s">
        <v>23</v>
      </c>
      <c r="I20" s="27">
        <v>30</v>
      </c>
      <c r="J20" s="27">
        <v>204</v>
      </c>
      <c r="K20" s="27">
        <v>56.3</v>
      </c>
      <c r="L20" s="27">
        <v>6</v>
      </c>
      <c r="M20" s="27"/>
      <c r="N20" s="27">
        <v>2.58</v>
      </c>
      <c r="O20" s="27" t="s">
        <v>118</v>
      </c>
      <c r="P20" s="48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25"/>
    </row>
    <row r="21" spans="1:34" customFormat="1" x14ac:dyDescent="0.3">
      <c r="A21" s="48"/>
      <c r="B21" s="27" t="s">
        <v>1</v>
      </c>
      <c r="C21" s="27" t="s">
        <v>21</v>
      </c>
      <c r="D21" s="27" t="s">
        <v>20</v>
      </c>
      <c r="E21" s="27" t="s">
        <v>48</v>
      </c>
      <c r="F21" s="27" t="s">
        <v>9</v>
      </c>
      <c r="G21" s="27" t="s">
        <v>14</v>
      </c>
      <c r="H21" s="27" t="s">
        <v>23</v>
      </c>
      <c r="I21" s="27">
        <v>32</v>
      </c>
      <c r="J21" s="27">
        <v>286</v>
      </c>
      <c r="K21" s="27">
        <v>35.299999999999997</v>
      </c>
      <c r="L21" s="27">
        <v>33</v>
      </c>
      <c r="M21" s="27">
        <v>25</v>
      </c>
      <c r="N21" s="27"/>
      <c r="O21" s="28" t="s">
        <v>30</v>
      </c>
      <c r="P21" s="48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48"/>
      <c r="AE21" s="48"/>
      <c r="AF21" s="48"/>
      <c r="AG21" s="48"/>
    </row>
    <row r="22" spans="1:34" customFormat="1" x14ac:dyDescent="0.3">
      <c r="A22" s="48"/>
      <c r="B22" s="27" t="s">
        <v>1</v>
      </c>
      <c r="C22" s="27" t="s">
        <v>18</v>
      </c>
      <c r="D22" s="27" t="s">
        <v>19</v>
      </c>
      <c r="E22" s="27" t="s">
        <v>48</v>
      </c>
      <c r="F22" s="27" t="s">
        <v>12</v>
      </c>
      <c r="G22" s="27" t="s">
        <v>12</v>
      </c>
      <c r="H22" s="27" t="s">
        <v>12</v>
      </c>
      <c r="I22" s="27" t="s">
        <v>12</v>
      </c>
      <c r="J22" s="27" t="s">
        <v>12</v>
      </c>
      <c r="K22" s="27"/>
      <c r="L22" s="27"/>
      <c r="M22" s="27"/>
      <c r="N22" s="27"/>
      <c r="O22" s="27" t="s">
        <v>106</v>
      </c>
      <c r="P22" s="48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48"/>
      <c r="AE22" s="48"/>
      <c r="AF22" s="48"/>
      <c r="AG22" s="48"/>
    </row>
    <row r="23" spans="1:34" customFormat="1" x14ac:dyDescent="0.3">
      <c r="A23" s="48"/>
      <c r="B23" s="27" t="s">
        <v>1</v>
      </c>
      <c r="C23" s="27" t="s">
        <v>49</v>
      </c>
      <c r="D23" s="27" t="s">
        <v>19</v>
      </c>
      <c r="E23" s="27" t="s">
        <v>48</v>
      </c>
      <c r="F23" s="27" t="s">
        <v>330</v>
      </c>
      <c r="G23" s="27" t="s">
        <v>146</v>
      </c>
      <c r="H23" s="27" t="s">
        <v>51</v>
      </c>
      <c r="I23" s="27" t="s">
        <v>12</v>
      </c>
      <c r="J23" s="27" t="s">
        <v>12</v>
      </c>
      <c r="K23" s="27" t="s">
        <v>12</v>
      </c>
      <c r="L23" s="27" t="s">
        <v>12</v>
      </c>
      <c r="M23" s="27" t="s">
        <v>12</v>
      </c>
      <c r="N23" s="27" t="s">
        <v>12</v>
      </c>
      <c r="O23" s="27" t="s">
        <v>52</v>
      </c>
      <c r="P23" s="48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48"/>
      <c r="AE23" s="48"/>
      <c r="AF23" s="48"/>
      <c r="AG23" s="48"/>
    </row>
    <row r="24" spans="1:34" customFormat="1" x14ac:dyDescent="0.3">
      <c r="A24" s="48"/>
      <c r="B24" s="27" t="s">
        <v>1</v>
      </c>
      <c r="C24" s="27" t="s">
        <v>116</v>
      </c>
      <c r="D24" s="27" t="s">
        <v>19</v>
      </c>
      <c r="E24" s="27" t="s">
        <v>54</v>
      </c>
      <c r="F24" s="27" t="s">
        <v>55</v>
      </c>
      <c r="G24" s="27" t="s">
        <v>12</v>
      </c>
      <c r="H24" s="27" t="s">
        <v>23</v>
      </c>
      <c r="I24" s="27"/>
      <c r="J24" s="27"/>
      <c r="K24" s="27"/>
      <c r="L24" s="27">
        <v>35</v>
      </c>
      <c r="M24" s="27"/>
      <c r="N24" s="27"/>
      <c r="O24" s="27" t="s">
        <v>35</v>
      </c>
      <c r="P24" s="48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48"/>
      <c r="AE24" s="48"/>
      <c r="AF24" s="48"/>
      <c r="AG24" s="48"/>
    </row>
    <row r="25" spans="1:34" customFormat="1" x14ac:dyDescent="0.3">
      <c r="A25" s="48"/>
      <c r="B25" s="27" t="s">
        <v>1</v>
      </c>
      <c r="C25" s="27" t="s">
        <v>18</v>
      </c>
      <c r="D25" s="27" t="s">
        <v>25</v>
      </c>
      <c r="E25" s="27" t="s">
        <v>48</v>
      </c>
      <c r="F25" s="27" t="s">
        <v>12</v>
      </c>
      <c r="G25" s="27" t="s">
        <v>12</v>
      </c>
      <c r="H25" s="27" t="s">
        <v>12</v>
      </c>
      <c r="I25" s="27" t="s">
        <v>12</v>
      </c>
      <c r="J25" s="27" t="s">
        <v>12</v>
      </c>
      <c r="K25" s="27"/>
      <c r="L25" s="27"/>
      <c r="M25" s="27"/>
      <c r="N25" s="27"/>
      <c r="O25" s="27" t="s">
        <v>106</v>
      </c>
      <c r="P25" s="48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48"/>
      <c r="AD25" s="48"/>
      <c r="AE25" s="48"/>
      <c r="AF25" s="48"/>
      <c r="AG25" s="48"/>
    </row>
    <row r="26" spans="1:34" customFormat="1" x14ac:dyDescent="0.3">
      <c r="A26" s="48"/>
      <c r="B26" s="27" t="s">
        <v>1</v>
      </c>
      <c r="C26" s="27" t="s">
        <v>17</v>
      </c>
      <c r="D26" s="27" t="s">
        <v>25</v>
      </c>
      <c r="E26" s="27" t="s">
        <v>48</v>
      </c>
      <c r="F26" s="27" t="s">
        <v>330</v>
      </c>
      <c r="G26" s="27" t="s">
        <v>148</v>
      </c>
      <c r="H26" s="27" t="s">
        <v>149</v>
      </c>
      <c r="I26" s="27">
        <v>102</v>
      </c>
      <c r="J26" s="27"/>
      <c r="K26" s="27">
        <v>35</v>
      </c>
      <c r="L26" s="27"/>
      <c r="M26" s="27">
        <v>26</v>
      </c>
      <c r="N26" s="27"/>
      <c r="O26" s="27" t="s">
        <v>88</v>
      </c>
      <c r="P26" s="48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48"/>
      <c r="AD26" s="48"/>
      <c r="AE26" s="48"/>
      <c r="AF26" s="48"/>
      <c r="AG26" s="48"/>
    </row>
    <row r="27" spans="1:34" customFormat="1" x14ac:dyDescent="0.3">
      <c r="A27" s="48"/>
      <c r="B27" s="27" t="s">
        <v>1</v>
      </c>
      <c r="C27" s="27" t="s">
        <v>49</v>
      </c>
      <c r="D27" s="27" t="s">
        <v>25</v>
      </c>
      <c r="E27" s="27" t="s">
        <v>53</v>
      </c>
      <c r="F27" s="27" t="s">
        <v>55</v>
      </c>
      <c r="G27" s="27" t="s">
        <v>50</v>
      </c>
      <c r="H27" s="27" t="s">
        <v>51</v>
      </c>
      <c r="I27" s="27"/>
      <c r="J27" s="27"/>
      <c r="K27" s="27"/>
      <c r="L27" s="27"/>
      <c r="M27" s="27"/>
      <c r="N27" s="27"/>
      <c r="O27" s="27" t="s">
        <v>52</v>
      </c>
      <c r="P27" s="48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48"/>
      <c r="AD27" s="48"/>
      <c r="AE27" s="48"/>
      <c r="AF27" s="48"/>
      <c r="AG27" s="48"/>
    </row>
    <row r="28" spans="1:34" customFormat="1" x14ac:dyDescent="0.3">
      <c r="A28" s="48"/>
      <c r="B28" s="27" t="s">
        <v>16</v>
      </c>
      <c r="C28" s="27" t="s">
        <v>43</v>
      </c>
      <c r="D28" s="27" t="s">
        <v>8</v>
      </c>
      <c r="E28" s="27" t="s">
        <v>53</v>
      </c>
      <c r="F28" s="27" t="s">
        <v>9</v>
      </c>
      <c r="G28" s="27" t="s">
        <v>14</v>
      </c>
      <c r="H28" s="27" t="s">
        <v>23</v>
      </c>
      <c r="I28" s="27">
        <v>18</v>
      </c>
      <c r="J28" s="27">
        <v>960</v>
      </c>
      <c r="K28" s="27">
        <v>25</v>
      </c>
      <c r="L28" s="27"/>
      <c r="M28" s="27"/>
      <c r="N28" s="27">
        <v>0.5</v>
      </c>
      <c r="O28" s="27" t="s">
        <v>154</v>
      </c>
      <c r="P28" s="48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48"/>
      <c r="AD28" s="48"/>
      <c r="AE28" s="48"/>
      <c r="AF28" s="48"/>
      <c r="AG28" s="48"/>
    </row>
    <row r="29" spans="1:34" customFormat="1" x14ac:dyDescent="0.3">
      <c r="A29" s="48"/>
      <c r="B29" s="27" t="s">
        <v>16</v>
      </c>
      <c r="C29" s="27" t="s">
        <v>22</v>
      </c>
      <c r="D29" s="27" t="s">
        <v>8</v>
      </c>
      <c r="E29" s="27" t="s">
        <v>54</v>
      </c>
      <c r="F29" s="27" t="s">
        <v>9</v>
      </c>
      <c r="G29" s="27" t="s">
        <v>14</v>
      </c>
      <c r="H29" s="27" t="s">
        <v>23</v>
      </c>
      <c r="I29" s="27">
        <v>27</v>
      </c>
      <c r="J29" s="27">
        <v>430</v>
      </c>
      <c r="K29" s="27">
        <v>49</v>
      </c>
      <c r="L29" s="27"/>
      <c r="M29" s="27">
        <v>37</v>
      </c>
      <c r="N29" s="27">
        <v>1.63</v>
      </c>
      <c r="O29" s="27" t="s">
        <v>151</v>
      </c>
      <c r="P29" s="48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48"/>
      <c r="AD29" s="48"/>
      <c r="AE29" s="48"/>
      <c r="AF29" s="48"/>
      <c r="AG29" s="48"/>
    </row>
    <row r="30" spans="1:34" customFormat="1" x14ac:dyDescent="0.3">
      <c r="A30" s="48"/>
      <c r="B30" s="27" t="s">
        <v>16</v>
      </c>
      <c r="C30" s="27" t="s">
        <v>59</v>
      </c>
      <c r="D30" s="27" t="s">
        <v>8</v>
      </c>
      <c r="E30" s="27" t="s">
        <v>54</v>
      </c>
      <c r="F30" s="27" t="s">
        <v>9</v>
      </c>
      <c r="G30" s="27" t="s">
        <v>14</v>
      </c>
      <c r="H30" s="27" t="s">
        <v>23</v>
      </c>
      <c r="I30" s="27">
        <v>30</v>
      </c>
      <c r="J30" s="27">
        <v>204</v>
      </c>
      <c r="K30" s="27">
        <v>56.3</v>
      </c>
      <c r="L30" s="27">
        <v>6</v>
      </c>
      <c r="M30" s="27"/>
      <c r="N30" s="27">
        <v>2.58</v>
      </c>
      <c r="O30" s="27" t="s">
        <v>118</v>
      </c>
      <c r="P30" s="48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48"/>
      <c r="AD30" s="48"/>
      <c r="AE30" s="48"/>
      <c r="AF30" s="48"/>
      <c r="AG30" s="48"/>
    </row>
    <row r="31" spans="1:34" customFormat="1" x14ac:dyDescent="0.3">
      <c r="A31" s="48"/>
      <c r="B31" s="27" t="s">
        <v>16</v>
      </c>
      <c r="C31" s="27" t="s">
        <v>28</v>
      </c>
      <c r="D31" s="27" t="s">
        <v>11</v>
      </c>
      <c r="E31" s="27" t="s">
        <v>48</v>
      </c>
      <c r="F31" s="27" t="s">
        <v>55</v>
      </c>
      <c r="G31" s="27" t="s">
        <v>12</v>
      </c>
      <c r="H31" s="27" t="s">
        <v>26</v>
      </c>
      <c r="I31" s="27"/>
      <c r="J31" s="27"/>
      <c r="K31" s="27"/>
      <c r="L31" s="27">
        <v>25</v>
      </c>
      <c r="M31" s="27"/>
      <c r="N31" s="27">
        <v>0.77</v>
      </c>
      <c r="O31" s="27" t="s">
        <v>33</v>
      </c>
      <c r="P31" s="48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48"/>
      <c r="AG31" s="48"/>
    </row>
    <row r="32" spans="1:34" customFormat="1" x14ac:dyDescent="0.3">
      <c r="A32" s="48"/>
      <c r="B32" s="27" t="s">
        <v>39</v>
      </c>
      <c r="C32" s="27" t="s">
        <v>59</v>
      </c>
      <c r="D32" s="27" t="s">
        <v>40</v>
      </c>
      <c r="E32" s="27" t="s">
        <v>54</v>
      </c>
      <c r="F32" s="27" t="s">
        <v>55</v>
      </c>
      <c r="G32" s="27" t="s">
        <v>329</v>
      </c>
      <c r="H32" s="27" t="s">
        <v>23</v>
      </c>
      <c r="I32" s="27"/>
      <c r="J32" s="27"/>
      <c r="K32" s="27"/>
      <c r="L32" s="27">
        <v>35</v>
      </c>
      <c r="M32" s="27"/>
      <c r="N32" s="27"/>
      <c r="O32" s="27" t="s">
        <v>35</v>
      </c>
      <c r="P32" s="48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48"/>
      <c r="AG32" s="48"/>
    </row>
    <row r="33" spans="1:38" customFormat="1" x14ac:dyDescent="0.3">
      <c r="A33" s="48"/>
      <c r="B33" s="27" t="s">
        <v>0</v>
      </c>
      <c r="C33" s="27" t="s">
        <v>59</v>
      </c>
      <c r="D33" s="27" t="s">
        <v>37</v>
      </c>
      <c r="E33" s="27" t="s">
        <v>48</v>
      </c>
      <c r="F33" s="27" t="s">
        <v>9</v>
      </c>
      <c r="G33" s="27" t="s">
        <v>14</v>
      </c>
      <c r="H33" s="27" t="s">
        <v>23</v>
      </c>
      <c r="I33" s="27">
        <v>30</v>
      </c>
      <c r="J33" s="27">
        <v>204</v>
      </c>
      <c r="K33" s="27">
        <v>56.3</v>
      </c>
      <c r="L33" s="27">
        <v>6</v>
      </c>
      <c r="M33" s="27"/>
      <c r="N33" s="27">
        <v>2.58</v>
      </c>
      <c r="O33" s="27" t="s">
        <v>118</v>
      </c>
      <c r="P33" s="48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48"/>
      <c r="AG33" s="48"/>
    </row>
    <row r="34" spans="1:38" customFormat="1" x14ac:dyDescent="0.3">
      <c r="A34" s="48"/>
      <c r="B34" s="27" t="s">
        <v>0</v>
      </c>
      <c r="C34" s="27" t="s">
        <v>56</v>
      </c>
      <c r="D34" s="27" t="s">
        <v>37</v>
      </c>
      <c r="E34" s="27" t="s">
        <v>53</v>
      </c>
      <c r="F34" s="27" t="s">
        <v>12</v>
      </c>
      <c r="G34" s="27" t="s">
        <v>12</v>
      </c>
      <c r="H34" s="27" t="s">
        <v>23</v>
      </c>
      <c r="I34" s="27">
        <v>40</v>
      </c>
      <c r="J34" s="27"/>
      <c r="K34" s="27">
        <v>30</v>
      </c>
      <c r="L34" s="27">
        <v>25</v>
      </c>
      <c r="M34" s="27"/>
      <c r="N34" s="27"/>
      <c r="O34" s="27" t="s">
        <v>121</v>
      </c>
      <c r="P34" s="48"/>
      <c r="Q34" s="48"/>
      <c r="R34" s="48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</row>
    <row r="35" spans="1:38" customFormat="1" x14ac:dyDescent="0.3">
      <c r="A35" s="48"/>
      <c r="B35" s="27" t="s">
        <v>152</v>
      </c>
      <c r="C35" s="27" t="s">
        <v>63</v>
      </c>
      <c r="D35" s="27" t="s">
        <v>8</v>
      </c>
      <c r="E35" s="27" t="s">
        <v>54</v>
      </c>
      <c r="F35" s="27" t="s">
        <v>9</v>
      </c>
      <c r="G35" s="27" t="s">
        <v>406</v>
      </c>
      <c r="H35" s="27" t="s">
        <v>23</v>
      </c>
      <c r="I35" s="27">
        <v>7</v>
      </c>
      <c r="J35" s="27">
        <v>1210</v>
      </c>
      <c r="K35" s="27">
        <v>14.3</v>
      </c>
      <c r="L35" s="27" t="s">
        <v>13</v>
      </c>
      <c r="M35" s="27">
        <v>14</v>
      </c>
      <c r="N35" s="27">
        <v>0.09</v>
      </c>
      <c r="O35" s="27" t="s">
        <v>122</v>
      </c>
      <c r="P35" s="48"/>
      <c r="Q35" s="48"/>
      <c r="R35" s="48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25"/>
    </row>
    <row r="36" spans="1:38" customFormat="1" x14ac:dyDescent="0.3">
      <c r="A36" s="48"/>
      <c r="B36" s="27" t="s">
        <v>152</v>
      </c>
      <c r="C36" s="27" t="s">
        <v>49</v>
      </c>
      <c r="D36" s="27" t="s">
        <v>8</v>
      </c>
      <c r="E36" s="27" t="s">
        <v>54</v>
      </c>
      <c r="F36" s="27" t="s">
        <v>55</v>
      </c>
      <c r="G36" s="27" t="s">
        <v>146</v>
      </c>
      <c r="H36" s="27" t="s">
        <v>51</v>
      </c>
      <c r="I36" s="27">
        <v>40</v>
      </c>
      <c r="J36" s="27">
        <v>986</v>
      </c>
      <c r="K36" s="27">
        <v>9.1999999999999993</v>
      </c>
      <c r="L36" s="27"/>
      <c r="M36" s="27">
        <v>16.399999999999999</v>
      </c>
      <c r="N36" s="27">
        <v>0.06</v>
      </c>
      <c r="O36" s="27" t="s">
        <v>52</v>
      </c>
      <c r="P36" s="48"/>
      <c r="Q36" s="48"/>
      <c r="R36" s="48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25"/>
    </row>
    <row r="37" spans="1:38" customFormat="1" x14ac:dyDescent="0.3">
      <c r="A37" s="48"/>
      <c r="B37" s="27" t="s">
        <v>152</v>
      </c>
      <c r="C37" s="27" t="s">
        <v>126</v>
      </c>
      <c r="D37" s="27" t="s">
        <v>8</v>
      </c>
      <c r="E37" s="27" t="s">
        <v>54</v>
      </c>
      <c r="F37" s="27" t="s">
        <v>9</v>
      </c>
      <c r="G37" s="27" t="s">
        <v>127</v>
      </c>
      <c r="H37" s="27" t="s">
        <v>23</v>
      </c>
      <c r="I37" s="27">
        <v>10</v>
      </c>
      <c r="J37" s="27">
        <v>1500</v>
      </c>
      <c r="K37" s="27">
        <v>16.5</v>
      </c>
      <c r="L37" s="27">
        <v>15</v>
      </c>
      <c r="M37" s="149">
        <f>AVERAGE(16.3,19.88,20.03,25.4,17.4,18.5)</f>
        <v>19.584999999999997</v>
      </c>
      <c r="N37" s="27">
        <v>0.23</v>
      </c>
      <c r="O37" s="151" t="s">
        <v>128</v>
      </c>
      <c r="P37" s="48"/>
      <c r="Q37" s="48"/>
      <c r="R37" s="48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25"/>
    </row>
    <row r="38" spans="1:38" customFormat="1" x14ac:dyDescent="0.3">
      <c r="A38" s="48"/>
      <c r="B38" s="27" t="s">
        <v>0</v>
      </c>
      <c r="C38" s="27" t="s">
        <v>2</v>
      </c>
      <c r="D38" s="27" t="s">
        <v>11</v>
      </c>
      <c r="E38" s="27" t="s">
        <v>48</v>
      </c>
      <c r="F38" s="27" t="s">
        <v>12</v>
      </c>
      <c r="G38" s="27" t="s">
        <v>12</v>
      </c>
      <c r="H38" s="27" t="s">
        <v>24</v>
      </c>
      <c r="I38" s="27" t="s">
        <v>12</v>
      </c>
      <c r="J38" s="27" t="s">
        <v>12</v>
      </c>
      <c r="K38" s="27" t="s">
        <v>12</v>
      </c>
      <c r="L38" s="27" t="s">
        <v>13</v>
      </c>
      <c r="M38" s="27"/>
      <c r="N38" s="27"/>
      <c r="O38" s="27" t="s">
        <v>34</v>
      </c>
      <c r="P38" s="48"/>
      <c r="Q38" s="48"/>
      <c r="R38" s="48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8" customFormat="1" x14ac:dyDescent="0.3">
      <c r="A39" s="48"/>
      <c r="B39" s="27" t="s">
        <v>0</v>
      </c>
      <c r="C39" s="27" t="s">
        <v>28</v>
      </c>
      <c r="D39" s="27" t="s">
        <v>11</v>
      </c>
      <c r="E39" s="27" t="s">
        <v>48</v>
      </c>
      <c r="F39" s="27" t="s">
        <v>27</v>
      </c>
      <c r="G39" s="27" t="s">
        <v>12</v>
      </c>
      <c r="H39" s="27" t="s">
        <v>26</v>
      </c>
      <c r="I39" s="27"/>
      <c r="J39" s="27"/>
      <c r="K39" s="27"/>
      <c r="L39" s="27">
        <v>25</v>
      </c>
      <c r="M39" s="27"/>
      <c r="N39" s="27">
        <v>0.77</v>
      </c>
      <c r="O39" s="26" t="s">
        <v>33</v>
      </c>
      <c r="P39" s="48"/>
      <c r="Q39" s="48"/>
      <c r="R39" s="48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8" x14ac:dyDescent="0.3">
      <c r="B40" s="27" t="s">
        <v>38</v>
      </c>
      <c r="C40" s="27" t="s">
        <v>157</v>
      </c>
      <c r="D40" s="27" t="s">
        <v>36</v>
      </c>
      <c r="E40" s="27" t="s">
        <v>114</v>
      </c>
      <c r="F40" s="27"/>
      <c r="G40" s="27"/>
      <c r="H40" s="27"/>
      <c r="I40" s="27"/>
      <c r="J40" s="27">
        <v>413</v>
      </c>
      <c r="K40" s="27">
        <v>4</v>
      </c>
      <c r="L40" s="27">
        <v>31</v>
      </c>
      <c r="M40" s="27">
        <v>22</v>
      </c>
      <c r="N40" s="27">
        <v>0.68</v>
      </c>
      <c r="O40" s="27" t="s">
        <v>158</v>
      </c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</row>
    <row r="41" spans="1:38" x14ac:dyDescent="0.3"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</row>
    <row r="42" spans="1:38" x14ac:dyDescent="0.3"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</row>
    <row r="43" spans="1:38" x14ac:dyDescent="0.3"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</row>
    <row r="44" spans="1:38" x14ac:dyDescent="0.3"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</row>
    <row r="45" spans="1:38" x14ac:dyDescent="0.3"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</row>
    <row r="46" spans="1:38" x14ac:dyDescent="0.3"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</row>
    <row r="47" spans="1:38" x14ac:dyDescent="0.3"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</row>
    <row r="48" spans="1:38" x14ac:dyDescent="0.3">
      <c r="O48" s="77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</row>
    <row r="49" spans="2:45" x14ac:dyDescent="0.3">
      <c r="M49" s="54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</row>
    <row r="50" spans="2:45" x14ac:dyDescent="0.3">
      <c r="M50" s="54"/>
      <c r="V50" s="2"/>
      <c r="W50" s="2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</row>
    <row r="51" spans="2:45" x14ac:dyDescent="0.3">
      <c r="M51" s="54"/>
      <c r="V51" s="65"/>
      <c r="W51" s="65"/>
      <c r="X51" s="65"/>
      <c r="Y51" s="65"/>
      <c r="Z51" s="65"/>
      <c r="AA51" s="65"/>
      <c r="AB51" s="65"/>
      <c r="AC51" s="65"/>
      <c r="AD51" s="64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</row>
    <row r="52" spans="2:45" x14ac:dyDescent="0.3">
      <c r="V52" s="65"/>
      <c r="W52" s="65"/>
      <c r="X52" s="65"/>
      <c r="Y52" s="65"/>
      <c r="Z52" s="65"/>
      <c r="AA52" s="65"/>
      <c r="AB52" s="65"/>
      <c r="AC52" s="65"/>
      <c r="AD52" s="64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</row>
    <row r="53" spans="2:45" x14ac:dyDescent="0.3">
      <c r="V53" s="65"/>
      <c r="W53" s="65"/>
      <c r="X53" s="65"/>
      <c r="Y53" s="65"/>
      <c r="Z53" s="65"/>
      <c r="AA53" s="65"/>
      <c r="AB53" s="65"/>
      <c r="AC53" s="65"/>
      <c r="AD53" s="64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</row>
    <row r="54" spans="2:45" x14ac:dyDescent="0.3">
      <c r="V54" s="65"/>
      <c r="W54" s="65"/>
      <c r="X54" s="65"/>
      <c r="Y54" s="65"/>
      <c r="Z54" s="65"/>
      <c r="AA54" s="65"/>
      <c r="AB54" s="65"/>
      <c r="AC54" s="65"/>
      <c r="AD54" s="64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</row>
    <row r="55" spans="2:45" x14ac:dyDescent="0.3">
      <c r="V55" s="65"/>
      <c r="W55" s="65"/>
      <c r="X55" s="65"/>
      <c r="Y55" s="65"/>
      <c r="Z55" s="65"/>
      <c r="AA55" s="65"/>
      <c r="AB55" s="64"/>
      <c r="AC55" s="64"/>
      <c r="AD55" s="64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</row>
    <row r="56" spans="2:45" x14ac:dyDescent="0.3">
      <c r="V56" s="65"/>
      <c r="W56" s="65"/>
      <c r="X56" s="65"/>
      <c r="Y56" s="65"/>
      <c r="Z56" s="65"/>
      <c r="AA56" s="65"/>
      <c r="AB56" s="64"/>
      <c r="AC56" s="64"/>
      <c r="AD56" s="64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</row>
    <row r="57" spans="2:45" x14ac:dyDescent="0.3">
      <c r="V57" s="65"/>
      <c r="W57" s="65"/>
      <c r="X57" s="65"/>
      <c r="Y57" s="65"/>
      <c r="Z57" s="65"/>
      <c r="AA57" s="65"/>
      <c r="AB57" s="64"/>
      <c r="AC57" s="64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</row>
    <row r="58" spans="2:45" x14ac:dyDescent="0.3">
      <c r="V58" s="65"/>
      <c r="W58" s="65"/>
      <c r="X58" s="65"/>
      <c r="Y58" s="65"/>
      <c r="Z58" s="65"/>
      <c r="AA58" s="65"/>
      <c r="AB58" s="69"/>
      <c r="AC58" s="69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</row>
    <row r="59" spans="2:45" x14ac:dyDescent="0.3">
      <c r="X59" s="65"/>
      <c r="Y59" s="65"/>
      <c r="Z59" s="65"/>
      <c r="AA59" s="65"/>
      <c r="AB59" s="64"/>
      <c r="AC59" s="64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</row>
    <row r="60" spans="2:45" x14ac:dyDescent="0.3">
      <c r="V60" s="65"/>
      <c r="W60" s="65"/>
      <c r="X60" s="65"/>
      <c r="Y60" s="65"/>
      <c r="Z60" s="2"/>
      <c r="AA60" s="70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</row>
    <row r="61" spans="2:45" x14ac:dyDescent="0.3">
      <c r="V61" s="64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</row>
    <row r="62" spans="2:45" x14ac:dyDescent="0.3">
      <c r="B62" s="74"/>
      <c r="C62" s="74"/>
      <c r="D62" s="74"/>
      <c r="V62" s="64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</row>
    <row r="63" spans="2:45" s="74" customFormat="1" x14ac:dyDescent="0.3">
      <c r="E63" s="48"/>
      <c r="P63" s="48"/>
      <c r="V63" s="2"/>
      <c r="W63" s="2"/>
    </row>
    <row r="64" spans="2:45" s="74" customFormat="1" x14ac:dyDescent="0.3">
      <c r="E64" s="48"/>
      <c r="V64" s="2"/>
      <c r="W64" s="2"/>
      <c r="X64" s="2"/>
    </row>
    <row r="65" spans="2:25" s="74" customFormat="1" x14ac:dyDescent="0.3">
      <c r="V65" s="2"/>
      <c r="W65" s="2"/>
      <c r="X65" s="2"/>
    </row>
    <row r="66" spans="2:25" s="74" customFormat="1" x14ac:dyDescent="0.3">
      <c r="V66" s="2"/>
      <c r="W66" s="2"/>
      <c r="X66" s="2"/>
    </row>
    <row r="67" spans="2:25" s="74" customFormat="1" x14ac:dyDescent="0.3"/>
    <row r="68" spans="2:25" s="74" customFormat="1" x14ac:dyDescent="0.3"/>
    <row r="69" spans="2:25" s="74" customFormat="1" x14ac:dyDescent="0.3"/>
    <row r="70" spans="2:25" s="74" customFormat="1" x14ac:dyDescent="0.3"/>
    <row r="71" spans="2:25" s="74" customFormat="1" x14ac:dyDescent="0.3"/>
    <row r="72" spans="2:25" s="74" customFormat="1" x14ac:dyDescent="0.3"/>
    <row r="73" spans="2:25" s="74" customFormat="1" x14ac:dyDescent="0.3"/>
    <row r="74" spans="2:25" s="74" customFormat="1" x14ac:dyDescent="0.3"/>
    <row r="75" spans="2:25" s="74" customFormat="1" x14ac:dyDescent="0.3"/>
    <row r="76" spans="2:25" s="74" customFormat="1" x14ac:dyDescent="0.3"/>
    <row r="77" spans="2:25" s="74" customFormat="1" x14ac:dyDescent="0.3">
      <c r="B77" s="48"/>
      <c r="C77" s="48"/>
      <c r="D77" s="48"/>
      <c r="E77" s="48"/>
      <c r="F77" s="48"/>
      <c r="G77" s="48"/>
      <c r="H77" s="48"/>
      <c r="I77" s="48"/>
      <c r="J77" s="48"/>
    </row>
    <row r="78" spans="2:25" x14ac:dyDescent="0.3">
      <c r="P78" s="74"/>
      <c r="V78" s="65"/>
      <c r="W78" s="65"/>
      <c r="X78" s="65"/>
      <c r="Y78" s="65"/>
    </row>
    <row r="79" spans="2:25" x14ac:dyDescent="0.3">
      <c r="V79" s="65"/>
      <c r="W79" s="65"/>
      <c r="X79" s="65"/>
      <c r="Y79" s="65"/>
    </row>
    <row r="80" spans="2:25" ht="16.5" customHeight="1" x14ac:dyDescent="0.3">
      <c r="V80" s="65"/>
      <c r="W80" s="65"/>
      <c r="X80" s="65"/>
      <c r="Y80" s="65"/>
    </row>
    <row r="81" spans="1:36" ht="16.5" customHeight="1" x14ac:dyDescent="0.3">
      <c r="A81" s="49"/>
      <c r="V81" s="65"/>
      <c r="W81" s="65"/>
      <c r="X81" s="65"/>
      <c r="Y81" s="65"/>
    </row>
    <row r="82" spans="1:36" ht="16.5" customHeight="1" x14ac:dyDescent="0.3">
      <c r="A82" s="49"/>
      <c r="V82" s="64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</row>
    <row r="83" spans="1:36" x14ac:dyDescent="0.3">
      <c r="A83" s="49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</row>
    <row r="84" spans="1:36" x14ac:dyDescent="0.3">
      <c r="A84" s="49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</row>
    <row r="85" spans="1:36" x14ac:dyDescent="0.3">
      <c r="A85" s="49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</row>
    <row r="86" spans="1:36" x14ac:dyDescent="0.3"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</row>
    <row r="87" spans="1:36" x14ac:dyDescent="0.3">
      <c r="H87" s="72"/>
      <c r="I87" s="72"/>
      <c r="J87" s="72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</row>
    <row r="88" spans="1:36" x14ac:dyDescent="0.3">
      <c r="H88" s="49"/>
      <c r="I88" s="49"/>
      <c r="J88" s="49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</row>
    <row r="89" spans="1:36" x14ac:dyDescent="0.3">
      <c r="H89" s="49"/>
      <c r="I89" s="49"/>
      <c r="J89" s="49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</row>
    <row r="90" spans="1:36" x14ac:dyDescent="0.3">
      <c r="H90" s="49"/>
      <c r="I90" s="49"/>
      <c r="J90" s="49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</row>
    <row r="91" spans="1:36" x14ac:dyDescent="0.3">
      <c r="H91" s="49"/>
      <c r="I91" s="49"/>
      <c r="J91" s="49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</row>
    <row r="92" spans="1:36" x14ac:dyDescent="0.3">
      <c r="H92" s="49"/>
      <c r="I92" s="49"/>
      <c r="J92" s="49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</row>
    <row r="93" spans="1:36" x14ac:dyDescent="0.3">
      <c r="H93" s="49"/>
      <c r="I93" s="49"/>
      <c r="J93" s="49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</row>
    <row r="94" spans="1:36" x14ac:dyDescent="0.3">
      <c r="H94" s="49"/>
      <c r="I94" s="49"/>
      <c r="J94" s="49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</row>
    <row r="95" spans="1:36" x14ac:dyDescent="0.3">
      <c r="H95" s="2"/>
      <c r="I95" s="2"/>
      <c r="J95" s="2"/>
      <c r="M95" s="56"/>
      <c r="N95" s="63"/>
      <c r="O95" s="73"/>
      <c r="Q95" s="104"/>
      <c r="R95" s="63"/>
      <c r="S95" s="55"/>
      <c r="T95" s="64"/>
      <c r="U95" s="70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</row>
    <row r="96" spans="1:36" x14ac:dyDescent="0.3">
      <c r="H96" s="2"/>
      <c r="I96" s="2"/>
      <c r="J96" s="2"/>
      <c r="M96" s="56"/>
      <c r="N96" s="63"/>
      <c r="O96" s="73"/>
      <c r="P96" s="55"/>
      <c r="Q96" s="104"/>
      <c r="R96" s="63"/>
      <c r="S96" s="55"/>
      <c r="T96" s="64"/>
      <c r="U96" s="70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</row>
    <row r="97" spans="8:35" x14ac:dyDescent="0.3">
      <c r="H97" s="2"/>
      <c r="I97" s="2"/>
      <c r="J97" s="2"/>
      <c r="M97" s="56"/>
      <c r="N97" s="63"/>
      <c r="O97" s="73"/>
      <c r="P97" s="55"/>
      <c r="Q97" s="104"/>
      <c r="R97" s="63"/>
      <c r="S97" s="55"/>
      <c r="T97" s="64"/>
      <c r="U97" s="70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</row>
    <row r="98" spans="8:35" x14ac:dyDescent="0.3">
      <c r="H98" s="2"/>
      <c r="I98" s="2"/>
      <c r="J98" s="2"/>
      <c r="M98" s="56"/>
      <c r="N98" s="63"/>
      <c r="O98" s="73"/>
      <c r="P98" s="55"/>
      <c r="Q98" s="104"/>
      <c r="R98" s="63"/>
      <c r="S98" s="55"/>
      <c r="T98" s="64"/>
      <c r="U98" s="70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</row>
    <row r="99" spans="8:35" x14ac:dyDescent="0.3">
      <c r="H99" s="2"/>
      <c r="I99" s="2"/>
      <c r="J99" s="2"/>
      <c r="O99" s="65"/>
      <c r="P99" s="55"/>
      <c r="Q99" s="64"/>
      <c r="R99" s="65"/>
      <c r="S99" s="64"/>
      <c r="T99" s="64"/>
      <c r="U99" s="64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</row>
    <row r="100" spans="8:35" x14ac:dyDescent="0.3">
      <c r="H100" s="2"/>
      <c r="I100" s="2"/>
      <c r="J100" s="2"/>
      <c r="M100" s="65"/>
      <c r="N100" s="65"/>
      <c r="O100" s="65"/>
      <c r="P100" s="65"/>
      <c r="Q100" s="65"/>
      <c r="R100" s="65"/>
      <c r="S100" s="69"/>
      <c r="T100" s="69"/>
      <c r="U100" s="64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</row>
    <row r="101" spans="8:35" x14ac:dyDescent="0.3">
      <c r="H101" s="2"/>
      <c r="I101" s="2"/>
      <c r="J101" s="2"/>
      <c r="M101" s="65"/>
      <c r="N101" s="65"/>
      <c r="O101" s="65"/>
      <c r="P101" s="65"/>
      <c r="Q101" s="65"/>
      <c r="R101" s="65"/>
      <c r="S101" s="64"/>
      <c r="T101" s="64"/>
      <c r="U101" s="64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</row>
    <row r="102" spans="8:35" x14ac:dyDescent="0.3">
      <c r="H102" s="2"/>
      <c r="I102" s="2"/>
      <c r="J102" s="2"/>
      <c r="M102" s="65"/>
      <c r="N102" s="65"/>
      <c r="O102" s="65"/>
      <c r="P102" s="68"/>
      <c r="Q102" s="65"/>
      <c r="R102" s="2"/>
      <c r="S102" s="2"/>
      <c r="T102" s="70"/>
      <c r="U102" s="64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</row>
    <row r="103" spans="8:35" x14ac:dyDescent="0.3">
      <c r="H103" s="49"/>
      <c r="I103" s="49"/>
      <c r="J103" s="49"/>
      <c r="M103" s="65"/>
      <c r="N103" s="65"/>
      <c r="O103" s="65"/>
      <c r="P103" s="65"/>
      <c r="Q103" s="65"/>
      <c r="R103" s="64"/>
      <c r="S103" s="64"/>
      <c r="T103" s="64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</row>
    <row r="104" spans="8:35" x14ac:dyDescent="0.3">
      <c r="H104" s="49"/>
      <c r="I104" s="49"/>
      <c r="J104" s="49"/>
      <c r="N104" s="65"/>
      <c r="O104" s="65"/>
      <c r="P104" s="65"/>
      <c r="Q104" s="65"/>
      <c r="R104" s="65"/>
      <c r="S104" s="69"/>
      <c r="T104" s="69"/>
      <c r="U104" s="64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</row>
    <row r="105" spans="8:35" x14ac:dyDescent="0.3">
      <c r="H105" s="49"/>
      <c r="I105" s="49"/>
      <c r="J105" s="49"/>
      <c r="P105" s="65"/>
      <c r="Q105" s="65"/>
      <c r="R105" s="65"/>
      <c r="S105" s="65"/>
      <c r="T105" s="65"/>
      <c r="U105" s="69"/>
      <c r="V105" s="69"/>
      <c r="W105" s="64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</row>
    <row r="106" spans="8:35" x14ac:dyDescent="0.3">
      <c r="H106" s="49"/>
      <c r="I106" s="49"/>
      <c r="J106" s="49"/>
      <c r="O106" s="65"/>
      <c r="P106" s="65"/>
      <c r="Q106" s="65"/>
      <c r="R106" s="65"/>
      <c r="S106" s="65"/>
      <c r="T106" s="69"/>
      <c r="U106" s="69"/>
      <c r="V106" s="64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</row>
    <row r="107" spans="8:35" x14ac:dyDescent="0.3">
      <c r="H107" s="49"/>
      <c r="I107" s="49"/>
      <c r="J107" s="49"/>
      <c r="M107" s="65"/>
      <c r="N107" s="65"/>
      <c r="O107" s="65"/>
      <c r="P107" s="65"/>
      <c r="Q107" s="65"/>
      <c r="R107" s="69"/>
      <c r="S107" s="69"/>
      <c r="T107" s="64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</row>
    <row r="108" spans="8:35" x14ac:dyDescent="0.3">
      <c r="H108" s="49"/>
      <c r="I108" s="49"/>
      <c r="J108" s="49"/>
      <c r="M108" s="65"/>
      <c r="N108" s="65"/>
      <c r="O108" s="65"/>
      <c r="P108" s="65"/>
      <c r="Q108" s="65"/>
      <c r="R108" s="69"/>
      <c r="S108" s="69"/>
      <c r="T108" s="64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</row>
    <row r="109" spans="8:35" x14ac:dyDescent="0.3">
      <c r="H109" s="49"/>
      <c r="I109" s="49"/>
      <c r="J109" s="49"/>
      <c r="M109" s="65"/>
      <c r="N109" s="65"/>
      <c r="O109" s="65"/>
      <c r="P109" s="65"/>
      <c r="Q109" s="65"/>
      <c r="R109" s="69"/>
      <c r="S109" s="69"/>
      <c r="T109" s="64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</row>
    <row r="110" spans="8:35" x14ac:dyDescent="0.3">
      <c r="H110" s="49"/>
      <c r="I110" s="49"/>
      <c r="J110" s="49"/>
      <c r="M110" s="65"/>
      <c r="N110" s="65"/>
      <c r="O110" s="65"/>
      <c r="P110" s="65"/>
      <c r="Q110" s="65"/>
      <c r="R110" s="69"/>
      <c r="S110" s="69"/>
      <c r="T110" s="64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</row>
    <row r="111" spans="8:35" x14ac:dyDescent="0.3">
      <c r="M111" s="65"/>
      <c r="N111" s="65"/>
      <c r="O111" s="65"/>
      <c r="P111" s="65"/>
      <c r="Q111" s="65"/>
      <c r="R111" s="69"/>
      <c r="S111" s="69"/>
      <c r="T111" s="64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</row>
    <row r="112" spans="8:35" x14ac:dyDescent="0.3">
      <c r="M112" s="65"/>
      <c r="N112" s="65"/>
      <c r="O112" s="65"/>
      <c r="P112" s="65"/>
      <c r="Q112" s="65"/>
      <c r="R112" s="69"/>
      <c r="S112" s="69"/>
      <c r="T112" s="64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</row>
    <row r="113" spans="13:34" x14ac:dyDescent="0.3">
      <c r="M113" s="65"/>
      <c r="O113" s="65"/>
      <c r="P113" s="65"/>
      <c r="Q113" s="65"/>
      <c r="R113" s="69"/>
      <c r="S113" s="69"/>
      <c r="T113" s="64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</row>
    <row r="114" spans="13:34" x14ac:dyDescent="0.3">
      <c r="M114" s="65"/>
      <c r="O114" s="65"/>
      <c r="P114" s="65"/>
      <c r="Q114" s="65"/>
      <c r="R114" s="69"/>
      <c r="S114" s="69"/>
      <c r="T114" s="64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</row>
    <row r="115" spans="13:34" x14ac:dyDescent="0.3">
      <c r="M115" s="65"/>
      <c r="P115" s="65"/>
      <c r="Q115" s="65"/>
      <c r="R115" s="69"/>
      <c r="S115" s="69"/>
      <c r="T115" s="64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</row>
    <row r="116" spans="13:34" x14ac:dyDescent="0.3">
      <c r="M116" s="65"/>
      <c r="P116" s="65"/>
      <c r="Q116" s="65"/>
      <c r="R116" s="69"/>
      <c r="S116" s="69"/>
      <c r="T116" s="64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</row>
    <row r="117" spans="13:34" x14ac:dyDescent="0.3">
      <c r="M117" s="65"/>
      <c r="P117" s="65"/>
      <c r="Q117" s="65"/>
      <c r="R117" s="69"/>
      <c r="S117" s="69"/>
      <c r="T117" s="64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</row>
    <row r="118" spans="13:34" x14ac:dyDescent="0.3">
      <c r="M118" s="65"/>
      <c r="P118" s="65"/>
      <c r="Q118" s="65"/>
      <c r="R118" s="69"/>
      <c r="S118" s="69"/>
      <c r="T118" s="64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</row>
    <row r="119" spans="13:34" x14ac:dyDescent="0.3">
      <c r="M119" s="65"/>
      <c r="P119" s="65"/>
      <c r="Q119" s="65"/>
      <c r="R119" s="69"/>
      <c r="S119" s="69"/>
      <c r="T119" s="64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</row>
    <row r="120" spans="13:34" x14ac:dyDescent="0.3">
      <c r="M120" s="65"/>
      <c r="N120" s="65"/>
      <c r="O120" s="65"/>
      <c r="P120" s="65"/>
      <c r="Q120" s="65"/>
      <c r="R120" s="69"/>
      <c r="S120" s="69"/>
      <c r="T120" s="64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</row>
    <row r="121" spans="13:34" x14ac:dyDescent="0.3">
      <c r="M121" s="65"/>
      <c r="N121" s="65"/>
      <c r="O121" s="65"/>
      <c r="P121" s="65"/>
      <c r="Q121" s="65"/>
      <c r="R121" s="69"/>
      <c r="S121" s="69"/>
      <c r="T121" s="64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</row>
    <row r="122" spans="13:34" x14ac:dyDescent="0.3">
      <c r="M122" s="65"/>
      <c r="N122" s="65"/>
      <c r="O122" s="65"/>
      <c r="P122" s="65"/>
      <c r="Q122" s="65"/>
      <c r="R122" s="69"/>
      <c r="S122" s="69"/>
      <c r="T122" s="64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</row>
    <row r="123" spans="13:34" x14ac:dyDescent="0.3">
      <c r="M123" s="65"/>
      <c r="N123" s="65"/>
      <c r="P123" s="65"/>
      <c r="Q123" s="65"/>
      <c r="R123" s="69"/>
      <c r="S123" s="69"/>
      <c r="T123" s="64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</row>
    <row r="124" spans="13:34" x14ac:dyDescent="0.3">
      <c r="M124" s="65"/>
      <c r="N124" s="65"/>
      <c r="Q124" s="65"/>
      <c r="R124" s="69"/>
      <c r="S124" s="69"/>
      <c r="T124" s="64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</row>
    <row r="125" spans="13:34" x14ac:dyDescent="0.3">
      <c r="M125" s="65"/>
      <c r="N125" s="65"/>
      <c r="Q125" s="65"/>
      <c r="R125" s="69"/>
      <c r="S125" s="69"/>
      <c r="T125" s="64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</row>
    <row r="126" spans="13:34" x14ac:dyDescent="0.3">
      <c r="M126" s="65"/>
      <c r="N126" s="65"/>
      <c r="Q126" s="65"/>
      <c r="R126" s="69"/>
      <c r="S126" s="69"/>
      <c r="T126" s="64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</row>
    <row r="127" spans="13:34" x14ac:dyDescent="0.3">
      <c r="Q127" s="65"/>
      <c r="R127" s="65"/>
      <c r="S127" s="64"/>
      <c r="T127" s="64"/>
      <c r="U127" s="64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</row>
    <row r="128" spans="13:34" x14ac:dyDescent="0.3">
      <c r="Q128" s="65"/>
      <c r="R128" s="65"/>
      <c r="S128" s="2"/>
      <c r="T128" s="75"/>
      <c r="U128" s="64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</row>
    <row r="129" spans="13:38" x14ac:dyDescent="0.3">
      <c r="Q129" s="65"/>
      <c r="R129" s="65"/>
      <c r="S129" s="65"/>
      <c r="T129" s="49"/>
      <c r="U129" s="64"/>
      <c r="V129" s="64"/>
      <c r="W129" s="64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</row>
    <row r="130" spans="13:38" x14ac:dyDescent="0.3">
      <c r="Q130" s="65"/>
      <c r="R130" s="65"/>
      <c r="S130" s="65"/>
      <c r="T130" s="65"/>
      <c r="U130" s="69"/>
      <c r="V130" s="69"/>
      <c r="W130" s="64"/>
      <c r="X130" s="64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</row>
    <row r="131" spans="13:38" x14ac:dyDescent="0.3">
      <c r="O131" s="65"/>
      <c r="Q131" s="65"/>
      <c r="R131" s="65"/>
      <c r="S131" s="65"/>
      <c r="T131" s="65"/>
      <c r="U131" s="49"/>
      <c r="V131" s="64"/>
      <c r="W131" s="64"/>
      <c r="X131" s="64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</row>
    <row r="132" spans="13:38" x14ac:dyDescent="0.3">
      <c r="O132" s="65"/>
      <c r="P132" s="65"/>
      <c r="Q132" s="65"/>
      <c r="R132" s="65"/>
      <c r="S132" s="65"/>
      <c r="T132" s="65"/>
      <c r="U132" s="2"/>
      <c r="V132" s="70"/>
      <c r="W132" s="64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</row>
    <row r="133" spans="13:38" x14ac:dyDescent="0.3">
      <c r="O133" s="65"/>
      <c r="P133" s="65"/>
      <c r="Q133" s="65"/>
      <c r="R133" s="65"/>
      <c r="S133" s="65"/>
      <c r="T133" s="65"/>
      <c r="U133" s="64"/>
      <c r="V133" s="64"/>
      <c r="W133" s="64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</row>
    <row r="134" spans="13:38" x14ac:dyDescent="0.3">
      <c r="O134" s="65"/>
      <c r="P134" s="65"/>
      <c r="Q134" s="65"/>
      <c r="R134" s="65"/>
      <c r="S134" s="65"/>
      <c r="T134" s="65"/>
      <c r="U134" s="64"/>
      <c r="V134" s="64"/>
      <c r="W134" s="64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</row>
    <row r="135" spans="13:38" x14ac:dyDescent="0.3">
      <c r="N135" s="65"/>
      <c r="O135" s="65"/>
      <c r="P135" s="65"/>
      <c r="Q135" s="65"/>
      <c r="R135" s="65"/>
      <c r="S135" s="65"/>
      <c r="T135" s="65"/>
      <c r="U135" s="65"/>
      <c r="V135" s="64"/>
      <c r="W135" s="64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</row>
    <row r="136" spans="13:38" x14ac:dyDescent="0.3">
      <c r="M136" s="65"/>
      <c r="N136" s="65"/>
      <c r="O136" s="65"/>
      <c r="P136" s="65"/>
      <c r="Q136" s="65"/>
      <c r="R136" s="65"/>
      <c r="S136" s="65"/>
      <c r="T136" s="65"/>
      <c r="U136" s="65"/>
      <c r="V136" s="64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</row>
    <row r="137" spans="13:38" x14ac:dyDescent="0.3"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</row>
    <row r="138" spans="13:38" x14ac:dyDescent="0.3"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</row>
    <row r="139" spans="13:38" x14ac:dyDescent="0.3">
      <c r="M139" s="83"/>
      <c r="N139" s="83"/>
      <c r="O139" s="83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</row>
    <row r="140" spans="13:38" x14ac:dyDescent="0.3">
      <c r="M140" s="83"/>
      <c r="N140" s="83"/>
      <c r="O140" s="83"/>
      <c r="P140" s="83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</row>
    <row r="141" spans="13:38" x14ac:dyDescent="0.3">
      <c r="M141" s="83"/>
      <c r="N141" s="83"/>
      <c r="O141" s="83"/>
      <c r="P141" s="83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</row>
    <row r="142" spans="13:38" x14ac:dyDescent="0.3">
      <c r="M142" s="83"/>
      <c r="N142" s="83"/>
      <c r="O142" s="83"/>
      <c r="P142" s="83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</row>
    <row r="143" spans="13:38" x14ac:dyDescent="0.3">
      <c r="M143" s="83"/>
      <c r="N143" s="83"/>
      <c r="O143" s="83"/>
      <c r="P143" s="83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</row>
    <row r="144" spans="13:38" x14ac:dyDescent="0.3">
      <c r="M144" s="83"/>
      <c r="N144" s="83"/>
      <c r="O144" s="83"/>
      <c r="P144" s="83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</row>
    <row r="145" spans="2:37" x14ac:dyDescent="0.3">
      <c r="M145" s="83"/>
      <c r="N145" s="83"/>
      <c r="O145" s="83"/>
      <c r="P145" s="83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</row>
    <row r="146" spans="2:37" x14ac:dyDescent="0.3">
      <c r="K146" s="83"/>
      <c r="L146" s="83"/>
      <c r="M146" s="83"/>
      <c r="N146" s="83"/>
      <c r="O146" s="83"/>
      <c r="P146" s="83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</row>
    <row r="147" spans="2:37" x14ac:dyDescent="0.3">
      <c r="K147" s="83"/>
      <c r="L147" s="83"/>
      <c r="M147" s="83"/>
      <c r="N147" s="83"/>
      <c r="O147" s="83"/>
      <c r="P147" s="83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</row>
    <row r="148" spans="2:37" x14ac:dyDescent="0.3">
      <c r="B148" s="83"/>
      <c r="C148" s="74"/>
      <c r="D148" s="74"/>
      <c r="E148" s="74"/>
      <c r="F148" s="35"/>
      <c r="G148" s="35"/>
      <c r="H148" s="71"/>
      <c r="I148" s="65"/>
      <c r="J148" s="65"/>
      <c r="K148" s="65"/>
      <c r="M148" s="83"/>
      <c r="N148" s="83"/>
      <c r="O148" s="83"/>
      <c r="P148" s="83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</row>
    <row r="149" spans="2:37" x14ac:dyDescent="0.3">
      <c r="C149" s="3"/>
      <c r="D149" s="73"/>
      <c r="E149" s="56"/>
      <c r="F149" s="83"/>
      <c r="G149" s="56"/>
      <c r="H149" s="56"/>
      <c r="I149" s="55"/>
      <c r="J149" s="73"/>
      <c r="K149" s="73"/>
      <c r="M149" s="83"/>
      <c r="N149" s="83"/>
      <c r="O149" s="83"/>
      <c r="P149" s="83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</row>
    <row r="150" spans="2:37" x14ac:dyDescent="0.3">
      <c r="C150" s="3"/>
      <c r="D150" s="83"/>
      <c r="E150" s="84"/>
      <c r="F150" s="84"/>
      <c r="G150" s="84"/>
      <c r="H150" s="84"/>
      <c r="I150" s="84"/>
      <c r="J150" s="84"/>
      <c r="K150" s="84"/>
      <c r="M150" s="83"/>
      <c r="N150" s="83"/>
      <c r="O150" s="83"/>
      <c r="P150" s="83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</row>
    <row r="151" spans="2:37" x14ac:dyDescent="0.3">
      <c r="D151" s="83"/>
      <c r="E151" s="83"/>
      <c r="F151" s="83"/>
      <c r="G151" s="83"/>
      <c r="H151" s="83"/>
      <c r="I151" s="83"/>
      <c r="J151" s="83"/>
      <c r="K151" s="83"/>
      <c r="M151" s="65"/>
      <c r="N151" s="65"/>
      <c r="O151" s="65"/>
      <c r="P151" s="83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</row>
    <row r="152" spans="2:37" x14ac:dyDescent="0.3">
      <c r="P152" s="65"/>
      <c r="AJ152" s="65"/>
      <c r="AK152" s="65"/>
    </row>
    <row r="153" spans="2:37" x14ac:dyDescent="0.3">
      <c r="AJ153" s="65"/>
      <c r="AK153" s="65"/>
    </row>
    <row r="154" spans="2:37" x14ac:dyDescent="0.3">
      <c r="AJ154" s="65"/>
      <c r="AK154" s="65"/>
    </row>
    <row r="155" spans="2:37" x14ac:dyDescent="0.3">
      <c r="AJ155" s="65"/>
      <c r="AK155" s="65"/>
    </row>
    <row r="156" spans="2:37" x14ac:dyDescent="0.3">
      <c r="AJ156" s="65"/>
      <c r="AK156" s="65"/>
    </row>
    <row r="157" spans="2:37" x14ac:dyDescent="0.3">
      <c r="AJ157" s="65"/>
      <c r="AK157" s="65"/>
    </row>
    <row r="158" spans="2:37" x14ac:dyDescent="0.3">
      <c r="AJ158" s="65"/>
      <c r="AK158" s="65"/>
    </row>
    <row r="159" spans="2:37" x14ac:dyDescent="0.3">
      <c r="AJ159" s="65"/>
      <c r="AK159" s="65"/>
    </row>
    <row r="160" spans="2:37" x14ac:dyDescent="0.3">
      <c r="AJ160" s="65"/>
      <c r="AK160" s="65"/>
    </row>
    <row r="161" spans="36:37" x14ac:dyDescent="0.3">
      <c r="AJ161" s="65"/>
      <c r="AK161" s="65"/>
    </row>
    <row r="162" spans="36:37" x14ac:dyDescent="0.3">
      <c r="AJ162" s="65"/>
      <c r="AK162" s="65"/>
    </row>
    <row r="163" spans="36:37" x14ac:dyDescent="0.3">
      <c r="AJ163" s="65"/>
      <c r="AK163" s="65"/>
    </row>
    <row r="164" spans="36:37" x14ac:dyDescent="0.3">
      <c r="AJ164" s="65"/>
      <c r="AK164" s="65"/>
    </row>
    <row r="165" spans="36:37" x14ac:dyDescent="0.3">
      <c r="AJ165" s="65"/>
      <c r="AK165" s="65"/>
    </row>
    <row r="166" spans="36:37" x14ac:dyDescent="0.3">
      <c r="AJ166" s="65"/>
      <c r="AK166" s="65"/>
    </row>
    <row r="167" spans="36:37" x14ac:dyDescent="0.3">
      <c r="AJ167" s="65"/>
      <c r="AK167" s="65"/>
    </row>
    <row r="168" spans="36:37" x14ac:dyDescent="0.3">
      <c r="AJ168" s="65"/>
      <c r="AK168" s="65"/>
    </row>
    <row r="169" spans="36:37" x14ac:dyDescent="0.3">
      <c r="AJ169" s="65"/>
      <c r="AK169" s="65"/>
    </row>
    <row r="170" spans="36:37" x14ac:dyDescent="0.3">
      <c r="AJ170" s="65"/>
      <c r="AK170" s="65"/>
    </row>
    <row r="171" spans="36:37" x14ac:dyDescent="0.3">
      <c r="AJ171" s="65"/>
      <c r="AK171" s="65"/>
    </row>
    <row r="172" spans="36:37" x14ac:dyDescent="0.3">
      <c r="AJ172" s="65"/>
      <c r="AK172" s="65"/>
    </row>
    <row r="173" spans="36:37" x14ac:dyDescent="0.3">
      <c r="AJ173" s="65"/>
      <c r="AK173" s="65"/>
    </row>
    <row r="186" spans="36:36" x14ac:dyDescent="0.3">
      <c r="AJ186" s="65"/>
    </row>
    <row r="187" spans="36:36" x14ac:dyDescent="0.3">
      <c r="AJ187" s="65"/>
    </row>
    <row r="188" spans="36:36" x14ac:dyDescent="0.3">
      <c r="AJ188" s="65"/>
    </row>
    <row r="189" spans="36:36" x14ac:dyDescent="0.3">
      <c r="AJ189" s="65"/>
    </row>
    <row r="218" spans="10:35" x14ac:dyDescent="0.3">
      <c r="J218" s="2"/>
      <c r="K218" s="2"/>
      <c r="L218" s="4"/>
      <c r="N218" s="65"/>
      <c r="O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</row>
    <row r="219" spans="10:35" x14ac:dyDescent="0.3">
      <c r="J219" s="2"/>
      <c r="K219" s="2"/>
      <c r="L219" s="4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</row>
    <row r="220" spans="10:35" x14ac:dyDescent="0.3">
      <c r="J220" s="2"/>
      <c r="K220" s="2"/>
      <c r="L220" s="4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</row>
    <row r="221" spans="10:35" x14ac:dyDescent="0.3">
      <c r="J221" s="2"/>
      <c r="K221" s="2"/>
      <c r="L221" s="4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</row>
    <row r="222" spans="10:35" x14ac:dyDescent="0.3">
      <c r="J222" s="2"/>
      <c r="K222" s="2"/>
      <c r="L222" s="4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</row>
    <row r="223" spans="10:35" x14ac:dyDescent="0.3">
      <c r="J223" s="2"/>
      <c r="K223" s="2"/>
      <c r="L223" s="4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</row>
    <row r="224" spans="10:35" x14ac:dyDescent="0.3"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</row>
    <row r="225" spans="10:35" x14ac:dyDescent="0.3"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</row>
    <row r="226" spans="10:35" x14ac:dyDescent="0.3"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</row>
    <row r="227" spans="10:35" x14ac:dyDescent="0.3">
      <c r="K227" s="2"/>
      <c r="L227" s="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</row>
    <row r="228" spans="10:35" x14ac:dyDescent="0.3">
      <c r="J228" s="2"/>
      <c r="K228" s="2"/>
      <c r="L228" s="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</row>
    <row r="229" spans="10:35" x14ac:dyDescent="0.3">
      <c r="J229" s="2"/>
      <c r="K229" s="2"/>
      <c r="L229" s="4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</row>
    <row r="230" spans="10:35" x14ac:dyDescent="0.3">
      <c r="J230" s="65"/>
      <c r="K230" s="65"/>
      <c r="L230" s="78"/>
      <c r="N230" s="74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</row>
    <row r="231" spans="10:35" x14ac:dyDescent="0.3">
      <c r="J231" s="74"/>
      <c r="K231" s="2"/>
      <c r="L231" s="4"/>
      <c r="N231" s="74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</row>
    <row r="232" spans="10:35" x14ac:dyDescent="0.3"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</row>
    <row r="233" spans="10:35" x14ac:dyDescent="0.3">
      <c r="L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</row>
    <row r="234" spans="10:35" x14ac:dyDescent="0.3"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</row>
    <row r="235" spans="10:35" x14ac:dyDescent="0.3"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</row>
    <row r="236" spans="10:35" x14ac:dyDescent="0.3"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</row>
    <row r="237" spans="10:35" x14ac:dyDescent="0.3"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</row>
    <row r="238" spans="10:35" x14ac:dyDescent="0.3"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</row>
    <row r="239" spans="10:35" x14ac:dyDescent="0.3"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</row>
    <row r="240" spans="10:35" x14ac:dyDescent="0.3"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</row>
    <row r="241" spans="4:35" x14ac:dyDescent="0.3"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</row>
    <row r="242" spans="4:35" x14ac:dyDescent="0.3"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</row>
    <row r="243" spans="4:35" x14ac:dyDescent="0.3"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</row>
    <row r="244" spans="4:35" x14ac:dyDescent="0.3"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</row>
    <row r="245" spans="4:35" x14ac:dyDescent="0.3"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</row>
    <row r="246" spans="4:35" x14ac:dyDescent="0.3">
      <c r="H246" s="74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</row>
    <row r="247" spans="4:35" x14ac:dyDescent="0.3"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</row>
    <row r="248" spans="4:35" x14ac:dyDescent="0.3"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</row>
    <row r="249" spans="4:35" x14ac:dyDescent="0.3"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</row>
    <row r="250" spans="4:35" x14ac:dyDescent="0.3"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</row>
    <row r="251" spans="4:35" x14ac:dyDescent="0.3"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</row>
    <row r="252" spans="4:35" x14ac:dyDescent="0.3"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</row>
    <row r="253" spans="4:35" x14ac:dyDescent="0.3"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</row>
    <row r="254" spans="4:35" x14ac:dyDescent="0.3">
      <c r="D254" s="49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</row>
    <row r="255" spans="4:35" x14ac:dyDescent="0.3"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</row>
    <row r="256" spans="4:35" x14ac:dyDescent="0.3"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</row>
    <row r="257" spans="8:35" x14ac:dyDescent="0.3"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</row>
    <row r="258" spans="8:35" x14ac:dyDescent="0.3"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</row>
    <row r="259" spans="8:35" x14ac:dyDescent="0.3"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</row>
    <row r="260" spans="8:35" x14ac:dyDescent="0.3"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</row>
    <row r="261" spans="8:35" x14ac:dyDescent="0.3"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</row>
    <row r="262" spans="8:35" x14ac:dyDescent="0.3"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</row>
    <row r="263" spans="8:35" x14ac:dyDescent="0.3"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</row>
    <row r="264" spans="8:35" x14ac:dyDescent="0.3"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</row>
    <row r="265" spans="8:35" x14ac:dyDescent="0.3"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</row>
    <row r="266" spans="8:35" x14ac:dyDescent="0.3"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</row>
    <row r="267" spans="8:35" x14ac:dyDescent="0.3"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</row>
    <row r="268" spans="8:35" x14ac:dyDescent="0.3"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</row>
    <row r="269" spans="8:35" x14ac:dyDescent="0.3"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</row>
    <row r="270" spans="8:35" x14ac:dyDescent="0.3"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</row>
    <row r="271" spans="8:35" x14ac:dyDescent="0.3"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</row>
    <row r="272" spans="8:35" x14ac:dyDescent="0.3"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</row>
    <row r="273" spans="7:35" x14ac:dyDescent="0.3"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</row>
    <row r="274" spans="7:35" x14ac:dyDescent="0.3"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</row>
    <row r="275" spans="7:35" x14ac:dyDescent="0.3"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</row>
    <row r="276" spans="7:35" x14ac:dyDescent="0.3"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</row>
    <row r="277" spans="7:35" x14ac:dyDescent="0.3"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</row>
    <row r="278" spans="7:35" x14ac:dyDescent="0.3"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</row>
    <row r="279" spans="7:35" x14ac:dyDescent="0.3">
      <c r="H279" s="65"/>
      <c r="I279" s="65"/>
      <c r="J279" s="65"/>
      <c r="K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</row>
    <row r="280" spans="7:35" x14ac:dyDescent="0.3">
      <c r="H280" s="65"/>
      <c r="I280" s="65"/>
      <c r="J280" s="65"/>
      <c r="K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</row>
    <row r="281" spans="7:35" x14ac:dyDescent="0.3">
      <c r="G281" s="74"/>
      <c r="H281" s="65"/>
      <c r="I281" s="65"/>
      <c r="J281" s="65"/>
      <c r="K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</row>
    <row r="282" spans="7:35" x14ac:dyDescent="0.3">
      <c r="G282" s="74"/>
      <c r="H282" s="65"/>
      <c r="I282" s="65"/>
      <c r="J282" s="65"/>
      <c r="K282" s="65"/>
      <c r="M282" s="65"/>
      <c r="N282" s="65"/>
      <c r="O282" s="65"/>
      <c r="P282" s="65"/>
      <c r="Q282" s="65"/>
      <c r="R282" s="65"/>
      <c r="S282" s="65"/>
      <c r="T282" s="65"/>
      <c r="U282" s="65"/>
    </row>
    <row r="283" spans="7:35" x14ac:dyDescent="0.3">
      <c r="G283" s="74"/>
      <c r="H283" s="65"/>
      <c r="I283" s="65"/>
      <c r="J283" s="65"/>
      <c r="K283" s="65"/>
      <c r="P283" s="65"/>
    </row>
    <row r="284" spans="7:35" x14ac:dyDescent="0.3">
      <c r="G284" s="74"/>
    </row>
    <row r="285" spans="7:35" x14ac:dyDescent="0.3">
      <c r="G285" s="74"/>
    </row>
    <row r="286" spans="7:35" x14ac:dyDescent="0.3">
      <c r="G286" s="74"/>
    </row>
    <row r="287" spans="7:35" x14ac:dyDescent="0.3">
      <c r="G287" s="74"/>
    </row>
    <row r="288" spans="7:35" x14ac:dyDescent="0.3">
      <c r="G288" s="74"/>
    </row>
    <row r="289" spans="2:7" x14ac:dyDescent="0.3">
      <c r="G289" s="74"/>
    </row>
    <row r="290" spans="2:7" x14ac:dyDescent="0.3">
      <c r="G290" s="74"/>
    </row>
    <row r="291" spans="2:7" x14ac:dyDescent="0.3">
      <c r="G291" s="74"/>
    </row>
    <row r="292" spans="2:7" x14ac:dyDescent="0.3">
      <c r="G292" s="74"/>
    </row>
    <row r="293" spans="2:7" x14ac:dyDescent="0.3">
      <c r="G293" s="74"/>
    </row>
    <row r="294" spans="2:7" x14ac:dyDescent="0.3">
      <c r="B294" s="65"/>
      <c r="C294" s="74"/>
      <c r="D294" s="74"/>
      <c r="E294" s="74"/>
      <c r="F294" s="74"/>
      <c r="G294" s="74"/>
    </row>
    <row r="295" spans="2:7" x14ac:dyDescent="0.3">
      <c r="B295" s="65"/>
      <c r="C295" s="65"/>
      <c r="D295" s="65"/>
      <c r="E295" s="65"/>
      <c r="F295" s="65"/>
      <c r="G295" s="65"/>
    </row>
    <row r="296" spans="2:7" x14ac:dyDescent="0.3">
      <c r="B296" s="65"/>
      <c r="C296" s="65"/>
      <c r="D296" s="65"/>
      <c r="E296" s="65"/>
      <c r="F296" s="65"/>
      <c r="G296" s="65"/>
    </row>
  </sheetData>
  <phoneticPr fontId="6" type="noConversion"/>
  <conditionalFormatting sqref="E36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{15BC8B75-EA6F-4D7F-924B-C86F83050EE1}</x14:id>
        </ext>
      </extLst>
    </cfRule>
  </conditionalFormatting>
  <conditionalFormatting sqref="C39:N40 C18:O38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{CB18055B-2C7A-41B5-A441-6580F6C93284}</x14:id>
        </ext>
      </extLst>
    </cfRule>
  </conditionalFormatting>
  <conditionalFormatting sqref="J95:J98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{A4374D1B-EF9B-4BE3-AEE1-4BA6F64F602B}</x14:id>
        </ext>
      </extLst>
    </cfRule>
  </conditionalFormatting>
  <dataValidations count="3">
    <dataValidation type="list" allowBlank="1" showInputMessage="1" showErrorMessage="1" sqref="D18" xr:uid="{21F1B6E4-8F6F-4238-AFD7-E7427DBAF637}">
      <formula1>"Camión,Motosierra, Fellerbuncher, Harvester, Skidder Cable, Skidder Garra, Forwarder, Torre de Madereo, Cargador"</formula1>
    </dataValidation>
    <dataValidation type="list" allowBlank="1" showInputMessage="1" showErrorMessage="1" sqref="D19:D38" xr:uid="{8BEE907A-3C1E-4BAF-A024-4E356C53FB92}">
      <formula1>"Camión,Motosierra, Fellerbuncher, Harvester, Skidder Cable, Skidder Garra, Forwarder, Torre de Madereo,Stroke-Delimber, Cargador"</formula1>
    </dataValidation>
    <dataValidation type="list" allowBlank="1" showInputMessage="1" showErrorMessage="1" sqref="E18:E40" xr:uid="{48DC39A2-6EBB-41D9-9969-28BABBA9E080}">
      <formula1>"Troza Corta,Troza Larga,Árbol Completo,Sin Especificar"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BC8B75-EA6F-4D7F-924B-C86F83050E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CB18055B-2C7A-41B5-A441-6580F6C932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C39:N40 C18:O38</xm:sqref>
        </x14:conditionalFormatting>
        <x14:conditionalFormatting xmlns:xm="http://schemas.microsoft.com/office/excel/2006/main">
          <x14:cfRule type="dataBar" id="{A4374D1B-EF9B-4BE3-AEE1-4BA6F64F60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J95:J98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85E1-A696-4E64-BCD0-11E150D19F36}">
  <sheetPr codeName="Hoja19"/>
  <dimension ref="A1:V56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21.88671875" style="48" customWidth="1"/>
    <col min="3" max="3" width="20.88671875" style="48" bestFit="1" customWidth="1"/>
    <col min="4" max="4" width="20.44140625" style="48" bestFit="1" customWidth="1"/>
    <col min="5" max="5" width="15.88671875" style="48" bestFit="1" customWidth="1"/>
    <col min="6" max="6" width="14.109375" style="48" bestFit="1" customWidth="1"/>
    <col min="7" max="7" width="13.88671875" style="48" bestFit="1" customWidth="1"/>
    <col min="8" max="8" width="19.88671875" style="48" bestFit="1" customWidth="1"/>
    <col min="9" max="9" width="19.109375" style="48" bestFit="1" customWidth="1"/>
    <col min="10" max="10" width="20.44140625" style="48" bestFit="1" customWidth="1"/>
    <col min="11" max="11" width="21.44140625" style="48" bestFit="1" customWidth="1"/>
    <col min="12" max="12" width="22.109375" style="48" bestFit="1" customWidth="1"/>
    <col min="13" max="13" width="21.109375" style="48" bestFit="1" customWidth="1"/>
    <col min="14" max="14" width="19.109375" style="48" hidden="1"/>
    <col min="15" max="15" width="19.5546875" style="48" hidden="1"/>
    <col min="16" max="16" width="20.88671875" style="48" hidden="1"/>
    <col min="17" max="17" width="13.109375" style="48" hidden="1"/>
    <col min="18" max="18" width="9.5546875" style="48" hidden="1"/>
    <col min="19" max="19" width="9.44140625" style="48" hidden="1"/>
    <col min="20" max="20" width="7.88671875" style="48" hidden="1"/>
    <col min="21" max="21" width="7.5546875" style="48" hidden="1"/>
    <col min="22" max="22" width="12.88671875" style="48" hidden="1"/>
    <col min="23" max="16383" width="11.44140625" style="48" hidden="1"/>
    <col min="16384" max="16384" width="11.44140625" style="48" hidden="1" customWidth="1"/>
  </cols>
  <sheetData>
    <row r="1" spans="2:22" x14ac:dyDescent="0.3"/>
    <row r="2" spans="2:22" x14ac:dyDescent="0.3"/>
    <row r="3" spans="2:22" ht="15" thickBot="1" x14ac:dyDescent="0.35">
      <c r="P3" s="176"/>
      <c r="Q3" s="176"/>
      <c r="R3" s="176"/>
      <c r="S3" s="176"/>
      <c r="T3" s="176"/>
      <c r="U3" s="176"/>
      <c r="V3" s="176"/>
    </row>
    <row r="4" spans="2:22" x14ac:dyDescent="0.3">
      <c r="P4" s="49"/>
      <c r="Q4" s="49"/>
      <c r="R4" s="49"/>
      <c r="S4" s="49"/>
      <c r="T4" s="49"/>
      <c r="U4" s="49"/>
      <c r="V4" s="49"/>
    </row>
    <row r="5" spans="2:22" x14ac:dyDescent="0.3">
      <c r="P5" s="175"/>
      <c r="Q5" s="49"/>
      <c r="R5" s="49"/>
      <c r="S5" s="49"/>
      <c r="T5" s="49"/>
      <c r="U5" s="49"/>
      <c r="V5" s="49"/>
    </row>
    <row r="6" spans="2:22" x14ac:dyDescent="0.3">
      <c r="P6" s="49"/>
      <c r="Q6" s="49"/>
      <c r="R6" s="49"/>
      <c r="S6" s="49"/>
      <c r="T6" s="49"/>
      <c r="U6" s="49"/>
      <c r="V6" s="49"/>
    </row>
    <row r="7" spans="2:22" x14ac:dyDescent="0.3">
      <c r="P7" s="49"/>
      <c r="Q7" s="49"/>
      <c r="R7" s="49"/>
      <c r="S7" s="49"/>
      <c r="T7" s="49"/>
      <c r="U7" s="49"/>
      <c r="V7" s="49"/>
    </row>
    <row r="8" spans="2:22" x14ac:dyDescent="0.3">
      <c r="P8" s="49"/>
      <c r="Q8" s="49"/>
      <c r="R8" s="49"/>
      <c r="S8" s="49"/>
      <c r="T8" s="49"/>
      <c r="U8" s="49"/>
      <c r="V8" s="49"/>
    </row>
    <row r="9" spans="2:22" x14ac:dyDescent="0.3">
      <c r="P9" s="49"/>
      <c r="Q9" s="49"/>
      <c r="R9" s="49"/>
      <c r="S9" s="49"/>
      <c r="T9" s="49"/>
      <c r="U9" s="49"/>
      <c r="V9" s="49"/>
    </row>
    <row r="10" spans="2:22" x14ac:dyDescent="0.3">
      <c r="P10" s="49"/>
      <c r="Q10" s="49"/>
      <c r="R10" s="49"/>
      <c r="S10" s="49"/>
      <c r="T10" s="49"/>
      <c r="U10" s="49"/>
      <c r="V10" s="49"/>
    </row>
    <row r="11" spans="2:22" x14ac:dyDescent="0.3"/>
    <row r="12" spans="2:22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2" x14ac:dyDescent="0.3">
      <c r="B13" s="113"/>
      <c r="C13" s="113"/>
      <c r="D13" s="113"/>
      <c r="E13" s="113"/>
      <c r="F13" s="113"/>
      <c r="G13" s="160"/>
      <c r="H13" s="113"/>
      <c r="I13" s="113"/>
      <c r="J13" s="4"/>
      <c r="K13" s="4"/>
      <c r="L13" s="113"/>
      <c r="M13" s="113"/>
      <c r="N13" s="113"/>
      <c r="O13" s="113"/>
      <c r="P13" s="113"/>
      <c r="Q13" s="113"/>
    </row>
    <row r="14" spans="2:22" x14ac:dyDescent="0.3">
      <c r="B14" s="2"/>
      <c r="C14" s="35"/>
      <c r="D14" s="33"/>
      <c r="E14" s="68"/>
      <c r="F14" s="68"/>
      <c r="G14" s="68"/>
      <c r="H14" s="68"/>
      <c r="I14" s="68"/>
      <c r="J14" s="68"/>
      <c r="K14" s="68"/>
      <c r="L14" s="68"/>
      <c r="M14" s="68"/>
      <c r="N14" s="125"/>
      <c r="O14" s="68"/>
      <c r="P14" s="68"/>
      <c r="Q14" s="68"/>
    </row>
    <row r="15" spans="2:22" x14ac:dyDescent="0.3">
      <c r="B15" s="2"/>
      <c r="C15" s="35"/>
      <c r="D15" s="33"/>
      <c r="E15" s="68"/>
      <c r="F15" s="68"/>
      <c r="G15" s="68"/>
      <c r="H15" s="68"/>
      <c r="I15" s="68"/>
      <c r="J15" s="68"/>
      <c r="K15" s="68"/>
      <c r="L15" s="68"/>
      <c r="M15" s="68"/>
      <c r="N15" s="125"/>
      <c r="O15" s="68"/>
      <c r="P15" s="68"/>
      <c r="Q15" s="68"/>
    </row>
    <row r="16" spans="2:22" x14ac:dyDescent="0.3">
      <c r="B16" s="2"/>
      <c r="C16" s="35"/>
      <c r="D16" s="33"/>
      <c r="E16" s="68"/>
      <c r="F16" s="68"/>
      <c r="G16" s="68"/>
      <c r="H16" s="68"/>
      <c r="I16" s="68"/>
      <c r="J16" s="68"/>
      <c r="K16" s="68"/>
      <c r="Q16" s="68"/>
    </row>
    <row r="17" spans="2:21" x14ac:dyDescent="0.3">
      <c r="Q17" s="68"/>
    </row>
    <row r="18" spans="2:21" ht="16.8" thickBot="1" x14ac:dyDescent="0.35">
      <c r="C18" s="86" t="s">
        <v>137</v>
      </c>
      <c r="D18" s="86" t="s">
        <v>141</v>
      </c>
      <c r="E18" s="86" t="s">
        <v>138</v>
      </c>
      <c r="F18" s="86" t="s">
        <v>139</v>
      </c>
      <c r="G18" s="86" t="s">
        <v>140</v>
      </c>
      <c r="I18" s="29" t="s">
        <v>8</v>
      </c>
      <c r="J18" s="29" t="s">
        <v>37</v>
      </c>
      <c r="K18" s="29" t="s">
        <v>11</v>
      </c>
      <c r="N18" s="125"/>
      <c r="O18" s="68"/>
      <c r="P18" s="68"/>
      <c r="Q18" s="68"/>
    </row>
    <row r="19" spans="2:21" x14ac:dyDescent="0.3">
      <c r="C19" s="56">
        <f>'m1 Descrip_rodal'!C24</f>
        <v>35</v>
      </c>
      <c r="D19" s="56">
        <f>'m1 Descrip_rodal'!C22</f>
        <v>5.0315460542662764</v>
      </c>
      <c r="E19" s="63">
        <f>'m1 Descrip_rodal'!C20</f>
        <v>426.44299999999998</v>
      </c>
      <c r="F19" s="63">
        <f>'m1 Descrip_rodal'!C23</f>
        <v>1.08</v>
      </c>
      <c r="G19" s="87">
        <f>'m1 Descrip_rodal'!C19</f>
        <v>395</v>
      </c>
      <c r="I19" s="571">
        <v>6</v>
      </c>
      <c r="J19" s="571">
        <v>3</v>
      </c>
      <c r="K19" s="571">
        <v>8</v>
      </c>
      <c r="M19" s="68"/>
      <c r="N19" s="68"/>
      <c r="O19" s="68"/>
    </row>
    <row r="20" spans="2:21" x14ac:dyDescent="0.3">
      <c r="M20" s="68"/>
      <c r="N20" s="68"/>
      <c r="O20" s="68"/>
    </row>
    <row r="21" spans="2:21" x14ac:dyDescent="0.3">
      <c r="M21" s="68"/>
      <c r="N21" s="68"/>
      <c r="O21" s="68"/>
    </row>
    <row r="22" spans="2:21" x14ac:dyDescent="0.3">
      <c r="M22" s="68"/>
      <c r="N22" s="68"/>
      <c r="O22" s="68"/>
    </row>
    <row r="23" spans="2:21" x14ac:dyDescent="0.3">
      <c r="M23" s="65"/>
      <c r="N23" s="65"/>
      <c r="O23" s="65"/>
      <c r="P23" s="65"/>
      <c r="R23" s="65"/>
      <c r="S23" s="65"/>
    </row>
    <row r="24" spans="2:21" x14ac:dyDescent="0.3">
      <c r="L24" s="2"/>
      <c r="M24" s="2"/>
      <c r="N24" s="74"/>
      <c r="O24" s="74"/>
      <c r="P24" s="74"/>
      <c r="R24" s="65"/>
      <c r="S24" s="65"/>
    </row>
    <row r="25" spans="2:21" x14ac:dyDescent="0.3">
      <c r="L25" s="74"/>
      <c r="M25" s="74"/>
      <c r="N25" s="35"/>
      <c r="O25" s="35"/>
      <c r="P25" s="35"/>
      <c r="Q25" s="65"/>
      <c r="R25" s="64"/>
      <c r="S25" s="64"/>
    </row>
    <row r="26" spans="2:21" x14ac:dyDescent="0.3">
      <c r="B26" s="2" t="s">
        <v>65</v>
      </c>
      <c r="C26" s="2" t="s">
        <v>4</v>
      </c>
      <c r="D26" s="2" t="s">
        <v>80</v>
      </c>
      <c r="E26" s="2" t="s">
        <v>100</v>
      </c>
      <c r="F26" s="2" t="s">
        <v>47</v>
      </c>
      <c r="G26" s="2" t="s">
        <v>60</v>
      </c>
      <c r="H26" s="2" t="s">
        <v>82</v>
      </c>
      <c r="I26" s="2" t="s">
        <v>81</v>
      </c>
      <c r="J26" s="2" t="s">
        <v>83</v>
      </c>
      <c r="K26" s="2" t="s">
        <v>322</v>
      </c>
      <c r="N26" s="35"/>
      <c r="O26" s="35"/>
      <c r="P26" s="35"/>
      <c r="Q26" s="35"/>
      <c r="R26" s="74"/>
      <c r="S26" s="2"/>
    </row>
    <row r="27" spans="2:21" x14ac:dyDescent="0.3">
      <c r="B27" s="35" t="s">
        <v>56</v>
      </c>
      <c r="C27" s="35" t="s">
        <v>37</v>
      </c>
      <c r="D27" s="2" t="s">
        <v>62</v>
      </c>
      <c r="E27" s="2" t="s">
        <v>62</v>
      </c>
      <c r="F27" s="2" t="s">
        <v>62</v>
      </c>
      <c r="G27" s="2" t="s">
        <v>61</v>
      </c>
      <c r="H27" s="2" t="s">
        <v>62</v>
      </c>
      <c r="I27" s="56">
        <f>(0.903*m2.Volteo_parámetros[m1_D.m, cm]+8.41)/3600*m2.Volteo_parámetros[m1_N, árb/ha]</f>
        <v>4.3905347222222222</v>
      </c>
      <c r="J27" s="56">
        <f>m2.Volteo_parámetros[m1.V, m3/ha]/m2.Volteo_funciones[[#This Row],[Rxt, hrpr/ha]]</f>
        <v>97.127804921255787</v>
      </c>
      <c r="K27" s="55">
        <v>1</v>
      </c>
      <c r="Q27" s="35"/>
      <c r="R27" s="35"/>
      <c r="S27" s="74"/>
      <c r="T27" s="74"/>
      <c r="U27" s="74"/>
    </row>
    <row r="28" spans="2:21" x14ac:dyDescent="0.3">
      <c r="B28" s="35" t="s">
        <v>59</v>
      </c>
      <c r="C28" s="35" t="s">
        <v>37</v>
      </c>
      <c r="D28" s="2" t="s">
        <v>61</v>
      </c>
      <c r="E28" s="2" t="s">
        <v>62</v>
      </c>
      <c r="F28" s="2" t="s">
        <v>62</v>
      </c>
      <c r="G28" s="2" t="s">
        <v>61</v>
      </c>
      <c r="H28" s="2" t="s">
        <v>62</v>
      </c>
      <c r="I28" s="63">
        <f>m2.Volteo_parámetros[m1.V, m3/ha]/m2.Volteo_funciones[[#This Row],[Rxv, m3/hrpr]]</f>
        <v>6.437987976576129</v>
      </c>
      <c r="J28" s="63">
        <f>-367.905+122.11*LN(m2.Volteo_parámetros[m1_D.m, cm])</f>
        <v>66.238551788472307</v>
      </c>
      <c r="K28" s="55">
        <v>2</v>
      </c>
      <c r="T28" s="74"/>
      <c r="U28" s="74"/>
    </row>
    <row r="29" spans="2:21" x14ac:dyDescent="0.3">
      <c r="B29" s="35" t="s">
        <v>364</v>
      </c>
      <c r="C29" s="35" t="s">
        <v>37</v>
      </c>
      <c r="D29" s="2" t="s">
        <v>62</v>
      </c>
      <c r="E29" s="2" t="s">
        <v>62</v>
      </c>
      <c r="F29" s="2" t="s">
        <v>62</v>
      </c>
      <c r="G29" s="2" t="s">
        <v>61</v>
      </c>
      <c r="H29" s="2" t="s">
        <v>62</v>
      </c>
      <c r="I29" s="63">
        <f>m2.Volteo_parámetros[m1.V, m3/ha]/m2.Volteo_funciones[[#This Row],[Rxv, m3/hrpr]]</f>
        <v>6.5606615384615381</v>
      </c>
      <c r="J29" s="63">
        <v>65</v>
      </c>
      <c r="K29" s="55">
        <v>3</v>
      </c>
      <c r="T29" s="64"/>
      <c r="U29" s="74"/>
    </row>
    <row r="30" spans="2:21" x14ac:dyDescent="0.3">
      <c r="B30" s="35" t="s">
        <v>49</v>
      </c>
      <c r="C30" s="35" t="s">
        <v>8</v>
      </c>
      <c r="D30" s="2" t="s">
        <v>61</v>
      </c>
      <c r="E30" s="2" t="s">
        <v>61</v>
      </c>
      <c r="F30" s="2" t="s">
        <v>61</v>
      </c>
      <c r="G30" s="2" t="s">
        <v>61</v>
      </c>
      <c r="H30" s="2" t="s">
        <v>62</v>
      </c>
      <c r="I30" s="63">
        <f t="array" ref="I30">m2.Volteo_parámetros[m1.V, m3/ha]/m2.Volteo_funciones[[#This Row],[Rxv, m3/hrpr]]</f>
        <v>8.9220941323507468</v>
      </c>
      <c r="J30" s="63">
        <f>Ft3ToM3(
-77.97
+130.46*CmToPulg(m2.Volteo_parámetros[m1_D.m, cm])
-1054.36/CmToPulg(m2.Volteo_parámetros[m1_D.m, cm])
-0.33*(CmToPulg(m2.Volteo_parámetros[m1_D.m, cm])^2)
-0.65*MToFt(m2.Volteo_parámetros[m1_DeA, m])
+1949.74/MToFt(m2.Volteo_parámetros[m1_DeA, m]))</f>
        <v>47.796290161718233</v>
      </c>
      <c r="K30" s="55">
        <v>4</v>
      </c>
      <c r="R30" s="65"/>
      <c r="T30" s="64"/>
      <c r="U30" s="74"/>
    </row>
    <row r="31" spans="2:21" x14ac:dyDescent="0.3">
      <c r="B31" s="35" t="s">
        <v>63</v>
      </c>
      <c r="C31" s="35" t="s">
        <v>8</v>
      </c>
      <c r="D31" s="2" t="s">
        <v>61</v>
      </c>
      <c r="E31" s="2" t="s">
        <v>61</v>
      </c>
      <c r="F31" s="2" t="s">
        <v>61</v>
      </c>
      <c r="G31" s="2" t="s">
        <v>61</v>
      </c>
      <c r="H31" s="2" t="s">
        <v>61</v>
      </c>
      <c r="I31" s="63">
        <f>(6.09+1.189*MToFt(m2.Volteo_parámetros[m1_DeA, m])
+10.4 +0.511*CmToPulg( m2.Volteo_parámetros[m1_D.m, cm])
+15.75+(0.33+(0.515*1))*CmToPulg( m2.Volteo_parámetros[m1_D.m, cm])
+9.24)
*0.01/60*m2.Volteo_parámetros[m1_N, árb/ha]</f>
        <v>5.2530188745271937</v>
      </c>
      <c r="J31" s="63">
        <f>m2.Volteo_parámetros[m1.V, m3/ha]/m2.Volteo_funciones[[#This Row],[Rxt, hrpr/ha]]</f>
        <v>81.180557349202871</v>
      </c>
      <c r="K31" s="55">
        <v>5</v>
      </c>
      <c r="R31" s="65"/>
      <c r="U31" s="74"/>
    </row>
    <row r="32" spans="2:21" x14ac:dyDescent="0.3">
      <c r="B32" s="35" t="s">
        <v>129</v>
      </c>
      <c r="C32" s="35" t="s">
        <v>8</v>
      </c>
      <c r="D32" s="2" t="s">
        <v>61</v>
      </c>
      <c r="E32" s="2" t="s">
        <v>61</v>
      </c>
      <c r="F32" s="2" t="s">
        <v>61</v>
      </c>
      <c r="G32" s="2" t="s">
        <v>61</v>
      </c>
      <c r="H32" s="2" t="s">
        <v>61</v>
      </c>
      <c r="I32" s="63">
        <f>m2.Volteo_parámetros[m1.V, m3/ha]/m2.Volteo_funciones[[#This Row],[Rxv, m3/hrpr]]</f>
        <v>5.8066003386660423</v>
      </c>
      <c r="J32" s="63">
        <f>4.536+63.801*m2.Volteo_parámetros[m1_V.m, m3]</f>
        <v>73.441080000000014</v>
      </c>
      <c r="K32" s="55">
        <v>6</v>
      </c>
      <c r="U32" s="74"/>
    </row>
    <row r="33" spans="2:22" x14ac:dyDescent="0.3">
      <c r="B33" s="35" t="s">
        <v>2</v>
      </c>
      <c r="C33" s="35" t="s">
        <v>11</v>
      </c>
      <c r="D33" s="2" t="s">
        <v>61</v>
      </c>
      <c r="E33" s="2" t="s">
        <v>61</v>
      </c>
      <c r="F33" s="2" t="s">
        <v>62</v>
      </c>
      <c r="G33" s="2" t="s">
        <v>62</v>
      </c>
      <c r="H33" s="2" t="s">
        <v>62</v>
      </c>
      <c r="I33" s="63">
        <f>((0.047*(CmToPulg(m2.Volteo_parámetros[m1_D.m, cm])^0.937))
+0.08*((CmToPulg(m2.Volteo_parámetros[m1_D.m, cm]))^0.2)
+0.079*(CmToPulg(m2.Volteo_parámetros[m1_D.m, cm])^0.591)
+0.006*(CmToPulg(m2.Volteo_parámetros[m1_D.m, cm])^2.129))
/60
*m2.Volteo_parámetros[m1_N, árb/ha]</f>
        <v>17.475504654400353</v>
      </c>
      <c r="J33" s="63">
        <f>m2.Volteo_parámetros[m1.V, m3/ha]/m2.Volteo_funciones[[#This Row],[Rxt, hrpr/ha]]</f>
        <v>24.402328197865298</v>
      </c>
      <c r="K33" s="55">
        <v>8</v>
      </c>
      <c r="U33" s="74"/>
    </row>
    <row r="34" spans="2:22" x14ac:dyDescent="0.3">
      <c r="B34" s="35" t="s">
        <v>28</v>
      </c>
      <c r="C34" s="35" t="s">
        <v>11</v>
      </c>
      <c r="D34" s="2" t="s">
        <v>61</v>
      </c>
      <c r="E34" s="2" t="s">
        <v>61</v>
      </c>
      <c r="F34" s="2" t="s">
        <v>62</v>
      </c>
      <c r="G34" s="2" t="s">
        <v>62</v>
      </c>
      <c r="H34" s="2" t="s">
        <v>62</v>
      </c>
      <c r="I34" s="63">
        <f>((-2.4295+
0.4222*(CmToPulg(m2.Volteo_parámetros[m1_D.m, cm])))+
0.0002*((MToFt(m2.Volteo_parámetros[m1_DeA, m]))^2))
*m2.Volteo_parámetros[m1_N, árb/ha]/60</f>
        <v>22.664555895121051</v>
      </c>
      <c r="J34" s="63">
        <f>m2.Volteo_parámetros[m1.V, m3/ha]/m2.Volteo_funciones[[#This Row],[Rxt, hrpr/ha]]</f>
        <v>18.815413898835732</v>
      </c>
      <c r="K34" s="55">
        <v>9</v>
      </c>
      <c r="U34" s="74"/>
    </row>
    <row r="35" spans="2:22" x14ac:dyDescent="0.3">
      <c r="L35" s="65"/>
      <c r="M35" s="65"/>
      <c r="N35" s="2"/>
      <c r="O35" s="74"/>
      <c r="P35" s="74"/>
      <c r="Q35" s="74"/>
      <c r="R35" s="74"/>
      <c r="S35" s="74"/>
      <c r="T35" s="74"/>
      <c r="U35" s="74"/>
    </row>
    <row r="36" spans="2:22" x14ac:dyDescent="0.3">
      <c r="B36" s="65"/>
      <c r="C36" s="74"/>
      <c r="D36" s="74"/>
      <c r="E36" s="74"/>
      <c r="F36" s="74"/>
      <c r="G36" s="74"/>
      <c r="H36" s="74"/>
      <c r="I36" s="74"/>
      <c r="J36" s="74"/>
      <c r="K36" s="74"/>
      <c r="L36" s="65"/>
      <c r="N36" s="74"/>
      <c r="O36" s="74"/>
      <c r="P36" s="74"/>
      <c r="Q36" s="74"/>
      <c r="R36" s="74"/>
      <c r="S36" s="74"/>
      <c r="T36" s="74"/>
      <c r="U36" s="74"/>
    </row>
    <row r="37" spans="2:22" x14ac:dyDescent="0.3">
      <c r="B37" s="74"/>
      <c r="C37" s="74"/>
      <c r="D37" s="35"/>
      <c r="F37" s="35"/>
      <c r="G37" s="2"/>
      <c r="H37" s="2"/>
      <c r="I37" s="2"/>
      <c r="J37" s="2"/>
      <c r="K37" s="2"/>
      <c r="N37" s="74"/>
      <c r="O37" s="74"/>
      <c r="P37" s="74"/>
      <c r="Q37" s="74"/>
      <c r="R37" s="74"/>
      <c r="S37" s="74"/>
      <c r="T37" s="74"/>
      <c r="U37" s="74"/>
    </row>
    <row r="38" spans="2:22" x14ac:dyDescent="0.3">
      <c r="H38" s="2"/>
      <c r="I38" s="2"/>
      <c r="J38" s="2"/>
      <c r="K38" s="2"/>
      <c r="N38" s="65"/>
      <c r="O38" s="65"/>
      <c r="P38" s="65"/>
      <c r="Q38" s="74"/>
      <c r="R38" s="74"/>
      <c r="S38" s="74"/>
      <c r="T38" s="74"/>
    </row>
    <row r="39" spans="2:22" x14ac:dyDescent="0.3">
      <c r="Q39" s="65"/>
      <c r="R39" s="65"/>
      <c r="S39" s="74"/>
      <c r="T39" s="74"/>
      <c r="U39" s="74"/>
    </row>
    <row r="40" spans="2:22" x14ac:dyDescent="0.3">
      <c r="M40" s="65"/>
      <c r="S40" s="65"/>
      <c r="T40" s="65"/>
      <c r="U40" s="65"/>
    </row>
    <row r="41" spans="2:22" x14ac:dyDescent="0.3">
      <c r="F41" s="3"/>
      <c r="G41" s="147"/>
      <c r="S41" s="65"/>
      <c r="T41" s="65"/>
      <c r="U41" s="65"/>
    </row>
    <row r="42" spans="2:22" x14ac:dyDescent="0.3">
      <c r="R42" s="65"/>
      <c r="S42" s="65"/>
      <c r="T42" s="65"/>
      <c r="U42" s="65"/>
      <c r="V42" s="65"/>
    </row>
    <row r="43" spans="2:22" x14ac:dyDescent="0.3">
      <c r="M43" s="56"/>
      <c r="O43" s="2"/>
      <c r="P43" s="2"/>
      <c r="Q43" s="2"/>
      <c r="R43" s="65"/>
      <c r="S43" s="65"/>
      <c r="T43" s="65"/>
      <c r="U43" s="65"/>
      <c r="V43" s="65"/>
    </row>
    <row r="44" spans="2:22" x14ac:dyDescent="0.3">
      <c r="B44" s="107"/>
      <c r="M44" s="56"/>
      <c r="N44" s="65"/>
      <c r="O44" s="65"/>
      <c r="P44" s="65"/>
      <c r="Q44" s="65"/>
      <c r="R44" s="65"/>
      <c r="S44" s="65"/>
      <c r="T44" s="64"/>
      <c r="U44" s="64"/>
    </row>
    <row r="45" spans="2:22" x14ac:dyDescent="0.3">
      <c r="M45" s="56"/>
      <c r="N45" s="63"/>
      <c r="O45" s="73"/>
      <c r="P45" s="55"/>
      <c r="Q45" s="104"/>
      <c r="R45" s="63"/>
      <c r="S45" s="55"/>
      <c r="T45" s="64"/>
      <c r="U45" s="70"/>
    </row>
    <row r="46" spans="2:22" x14ac:dyDescent="0.3">
      <c r="B46" s="2"/>
      <c r="L46" s="72"/>
      <c r="M46" s="72"/>
      <c r="N46" s="72"/>
      <c r="O46" s="72"/>
      <c r="P46" s="72"/>
      <c r="Q46" s="72"/>
      <c r="R46" s="72"/>
      <c r="S46" s="55"/>
      <c r="T46" s="64"/>
      <c r="U46" s="70"/>
    </row>
    <row r="47" spans="2:22" x14ac:dyDescent="0.3">
      <c r="L47" s="49"/>
      <c r="M47" s="49"/>
      <c r="N47" s="49"/>
      <c r="O47" s="49"/>
      <c r="P47" s="49"/>
      <c r="Q47" s="49"/>
      <c r="R47" s="49"/>
      <c r="S47" s="55"/>
      <c r="T47" s="64"/>
      <c r="U47" s="70"/>
    </row>
    <row r="48" spans="2:22" x14ac:dyDescent="0.3">
      <c r="B48" s="49"/>
      <c r="L48" s="175"/>
      <c r="M48" s="49"/>
      <c r="N48" s="49"/>
      <c r="O48" s="49"/>
      <c r="P48" s="49"/>
      <c r="Q48" s="49"/>
      <c r="R48" s="49"/>
      <c r="S48" s="55"/>
      <c r="T48" s="64"/>
      <c r="U48" s="70"/>
    </row>
    <row r="49" spans="2:21" x14ac:dyDescent="0.3">
      <c r="B49" s="49"/>
      <c r="L49" s="49"/>
      <c r="M49" s="49"/>
      <c r="N49" s="49"/>
      <c r="O49" s="49"/>
      <c r="P49" s="49"/>
      <c r="Q49" s="49"/>
      <c r="R49" s="49"/>
      <c r="S49" s="55"/>
      <c r="T49" s="64"/>
      <c r="U49" s="70"/>
    </row>
    <row r="50" spans="2:21" x14ac:dyDescent="0.3">
      <c r="B50" s="49"/>
      <c r="L50" s="49"/>
      <c r="M50" s="49"/>
      <c r="N50" s="49"/>
      <c r="O50" s="49"/>
      <c r="P50" s="49"/>
      <c r="Q50" s="49"/>
      <c r="R50" s="49"/>
      <c r="S50" s="55"/>
      <c r="T50" s="64"/>
      <c r="U50" s="70"/>
    </row>
    <row r="51" spans="2:21" hidden="1" x14ac:dyDescent="0.3">
      <c r="B51" s="49"/>
      <c r="H51"/>
      <c r="L51" s="49"/>
      <c r="M51" s="49"/>
      <c r="N51" s="49"/>
      <c r="O51" s="49"/>
      <c r="P51" s="49"/>
      <c r="Q51" s="49"/>
      <c r="R51" s="49"/>
      <c r="S51" s="55"/>
      <c r="T51" s="64"/>
      <c r="U51" s="70"/>
    </row>
    <row r="52" spans="2:21" hidden="1" x14ac:dyDescent="0.3">
      <c r="B52" s="49"/>
      <c r="L52" s="49"/>
      <c r="M52" s="49"/>
      <c r="N52" s="49"/>
      <c r="O52" s="49"/>
      <c r="P52" s="49"/>
      <c r="Q52" s="49"/>
      <c r="R52" s="49"/>
      <c r="S52" s="55"/>
      <c r="T52" s="64"/>
      <c r="U52" s="70"/>
    </row>
    <row r="53" spans="2:21" hidden="1" x14ac:dyDescent="0.3">
      <c r="B53" s="49"/>
      <c r="L53" s="49"/>
      <c r="M53" s="49"/>
      <c r="N53" s="49"/>
      <c r="O53" s="49"/>
      <c r="P53" s="49"/>
      <c r="Q53" s="49"/>
      <c r="R53" s="49"/>
      <c r="S53" s="55"/>
      <c r="T53" s="64"/>
      <c r="U53" s="70"/>
    </row>
    <row r="54" spans="2:21" hidden="1" x14ac:dyDescent="0.3">
      <c r="B54" s="49"/>
      <c r="M54" s="56"/>
      <c r="N54" s="63"/>
      <c r="O54" s="73"/>
      <c r="P54" s="55"/>
      <c r="Q54" s="104"/>
      <c r="R54" s="63"/>
      <c r="S54" s="55"/>
      <c r="T54" s="64"/>
      <c r="U54" s="70"/>
    </row>
    <row r="55" spans="2:21" hidden="1" x14ac:dyDescent="0.3">
      <c r="N55" s="63"/>
      <c r="O55" s="73"/>
      <c r="P55" s="55"/>
      <c r="Q55" s="104"/>
      <c r="R55" s="63"/>
      <c r="S55" s="55"/>
      <c r="T55" s="64"/>
      <c r="U55" s="70"/>
    </row>
    <row r="56" spans="2:21" hidden="1" x14ac:dyDescent="0.3">
      <c r="N56" s="63"/>
      <c r="O56" s="73"/>
      <c r="P56" s="55"/>
      <c r="Q56" s="104"/>
      <c r="R56" s="63"/>
      <c r="S56" s="55"/>
      <c r="T56" s="64"/>
      <c r="U56" s="70"/>
    </row>
  </sheetData>
  <sheetProtection sheet="1" objects="1" scenarios="1"/>
  <conditionalFormatting sqref="I28:I30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{A988001F-AB6C-4FC8-A501-F388C25FFD8D}</x14:id>
        </ext>
      </extLst>
    </cfRule>
  </conditionalFormatting>
  <conditionalFormatting sqref="J28:J30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{CE68BA77-C3E8-4FA6-AD7E-FCC4723DFFF8}</x14:id>
        </ext>
      </extLst>
    </cfRule>
  </conditionalFormatting>
  <conditionalFormatting sqref="I27:I34">
    <cfRule type="dataBar" priority="5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{09302A1E-3311-4812-9BD4-6AE2F2456795}</x14:id>
        </ext>
      </extLst>
    </cfRule>
    <cfRule type="dataBar" priority="6">
      <dataBar>
        <cfvo type="min"/>
        <cfvo type="max"/>
        <color rgb="FFCCFFFF"/>
      </dataBar>
      <extLst>
        <ext xmlns:x14="http://schemas.microsoft.com/office/spreadsheetml/2009/9/main" uri="{B025F937-C7B1-47D3-B67F-A62EFF666E3E}">
          <x14:id>{1BE83153-BA12-46E5-BED0-4BE9C0D85532}</x14:id>
        </ext>
      </extLst>
    </cfRule>
    <cfRule type="dataBar" priority="7">
      <dataBar>
        <cfvo type="min"/>
        <cfvo type="max"/>
        <color rgb="FFFFFFCC"/>
      </dataBar>
      <extLst>
        <ext xmlns:x14="http://schemas.microsoft.com/office/spreadsheetml/2009/9/main" uri="{B025F937-C7B1-47D3-B67F-A62EFF666E3E}">
          <x14:id>{5CB7ED25-3B76-4B08-825C-38D79B41133A}</x14:id>
        </ext>
      </extLst>
    </cfRule>
  </conditionalFormatting>
  <conditionalFormatting sqref="J27:J34">
    <cfRule type="dataBar" priority="4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{4F701912-833A-4318-A09B-A60411BD871E}</x14:id>
        </ext>
      </extLst>
    </cfRule>
  </conditionalFormatting>
  <conditionalFormatting sqref="I27:I34">
    <cfRule type="dataBar" priority="139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{E4294F71-39D8-45BB-8938-9A056412454A}</x14:id>
        </ext>
      </extLst>
    </cfRule>
    <cfRule type="dataBar" priority="14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{369D1446-9496-4728-86D5-3AD6B05B2033}</x14:id>
        </ext>
      </extLst>
    </cfRule>
    <cfRule type="dataBar" priority="14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{C7C96A63-3CC0-448F-BB29-BC8AC36AF272}</x14:id>
        </ext>
      </extLst>
    </cfRule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{B7405536-1257-416B-8F4C-DCF72230EB58}</x14:id>
        </ext>
      </extLst>
    </cfRule>
  </conditionalFormatting>
  <conditionalFormatting sqref="J27:J34">
    <cfRule type="dataBar" priority="143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{25E3B508-2AE6-47A3-BD33-761049C391DE}</x14:id>
        </ext>
      </extLst>
    </cfRule>
    <cfRule type="dataBar" priority="14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{F86D9BB4-DBE1-4956-B4C0-BF967D6529E0}</x14:id>
        </ext>
      </extLst>
    </cfRule>
    <cfRule type="dataBar" priority="14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{E22229FE-C41D-49D8-8F16-C4F18DB098DB}</x14:id>
        </ext>
      </extLst>
    </cfRule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{09886528-C81B-4457-BCC0-9D8C0FC0DB20}</x14:id>
        </ext>
      </extLst>
    </cfRule>
  </conditionalFormatting>
  <conditionalFormatting sqref="I26:J34">
    <cfRule type="dataBar" priority="1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{F394019F-FFD7-46B2-A44E-E078F6CE6074}</x14:id>
        </ext>
      </extLst>
    </cfRule>
  </conditionalFormatting>
  <dataValidations count="3">
    <dataValidation type="list" allowBlank="1" showInputMessage="1" showErrorMessage="1" sqref="I19:J19 K19" xr:uid="{B6FDD116-2B6E-40B6-8585-32B6463DE199}">
      <formula1>"0,1,2,3,4,5,6,7,8,9,10,11,12,13,14"</formula1>
    </dataValidation>
    <dataValidation type="list" showInputMessage="1" showErrorMessage="1" sqref="C27:C34" xr:uid="{48D4D128-ADDC-4D1D-A13D-8F1C7E25F4E6}">
      <formula1>"Motosierra,Fellerbuncher,Harvester"</formula1>
    </dataValidation>
    <dataValidation type="list" showInputMessage="1" showErrorMessage="1" sqref="D27:H34" xr:uid="{05335616-5A33-4D69-8A9B-5C46075B8D69}">
      <formula1>"Si,No"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88001F-AB6C-4FC8-A501-F388C25FF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I28:I30</xm:sqref>
        </x14:conditionalFormatting>
        <x14:conditionalFormatting xmlns:xm="http://schemas.microsoft.com/office/excel/2006/main">
          <x14:cfRule type="dataBar" id="{CE68BA77-C3E8-4FA6-AD7E-FCC4723DFF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J28:J30</xm:sqref>
        </x14:conditionalFormatting>
        <x14:conditionalFormatting xmlns:xm="http://schemas.microsoft.com/office/excel/2006/main">
          <x14:cfRule type="dataBar" id="{09302A1E-3311-4812-9BD4-6AE2F24567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E83153-BA12-46E5-BED0-4BE9C0D855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CB7ED25-3B76-4B08-825C-38D79B4113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I27:I34</xm:sqref>
        </x14:conditionalFormatting>
        <x14:conditionalFormatting xmlns:xm="http://schemas.microsoft.com/office/excel/2006/main">
          <x14:cfRule type="dataBar" id="{4F701912-833A-4318-A09B-A60411BD87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E4294F71-39D8-45BB-8938-9A05641245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69D1446-9496-4728-86D5-3AD6B05B20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96A63-3CC0-448F-BB29-BC8AC36AF2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7405536-1257-416B-8F4C-DCF72230E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I27:I34</xm:sqref>
        </x14:conditionalFormatting>
        <x14:conditionalFormatting xmlns:xm="http://schemas.microsoft.com/office/excel/2006/main">
          <x14:cfRule type="dataBar" id="{25E3B508-2AE6-47A3-BD33-761049C391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86D9BB4-DBE1-4956-B4C0-BF967D6529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2229FE-C41D-49D8-8F16-C4F18DB098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886528-C81B-4457-BCC0-9D8C0FC0DB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F394019F-FFD7-46B2-A44E-E078F6CE60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I26:J34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480E-1933-44C8-A8EA-0D24B4CD3EA8}">
  <sheetPr codeName="Hoja20"/>
  <dimension ref="A1:N55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21.44140625" style="48" bestFit="1" customWidth="1"/>
    <col min="3" max="3" width="17.88671875" style="48" bestFit="1" customWidth="1"/>
    <col min="4" max="4" width="23.44140625" style="48" customWidth="1"/>
    <col min="5" max="5" width="28.109375" style="48" bestFit="1" customWidth="1"/>
    <col min="6" max="6" width="22" style="48" bestFit="1" customWidth="1"/>
    <col min="7" max="7" width="13.88671875" style="48" bestFit="1" customWidth="1"/>
    <col min="8" max="8" width="21.44140625" style="48" bestFit="1" customWidth="1"/>
    <col min="9" max="9" width="21.88671875" style="48" bestFit="1" customWidth="1"/>
    <col min="10" max="10" width="17.88671875" style="48" bestFit="1" customWidth="1"/>
    <col min="11" max="11" width="14.88671875" style="48" bestFit="1" customWidth="1"/>
    <col min="12" max="12" width="18.5546875" style="48" bestFit="1" customWidth="1"/>
    <col min="13" max="14" width="11.44140625" style="48" customWidth="1"/>
    <col min="15" max="16384" width="11.44140625" style="48" hidden="1"/>
  </cols>
  <sheetData>
    <row r="1" spans="2:12" x14ac:dyDescent="0.3"/>
    <row r="2" spans="2:12" x14ac:dyDescent="0.3"/>
    <row r="3" spans="2:12" x14ac:dyDescent="0.3"/>
    <row r="4" spans="2:12" x14ac:dyDescent="0.3"/>
    <row r="5" spans="2:12" x14ac:dyDescent="0.3"/>
    <row r="6" spans="2:12" x14ac:dyDescent="0.3"/>
    <row r="7" spans="2:12" x14ac:dyDescent="0.3"/>
    <row r="8" spans="2:12" x14ac:dyDescent="0.3"/>
    <row r="9" spans="2:12" x14ac:dyDescent="0.3">
      <c r="B9" s="49"/>
    </row>
    <row r="10" spans="2:12" x14ac:dyDescent="0.3">
      <c r="B10" s="49"/>
    </row>
    <row r="11" spans="2:12" x14ac:dyDescent="0.3">
      <c r="J11" s="67"/>
      <c r="L11" s="67"/>
    </row>
    <row r="12" spans="2:12" x14ac:dyDescent="0.3">
      <c r="J12" s="67"/>
      <c r="K12" s="67"/>
    </row>
    <row r="13" spans="2:12" x14ac:dyDescent="0.3">
      <c r="C13" s="73"/>
      <c r="E13" s="49"/>
      <c r="I13" s="103"/>
    </row>
    <row r="14" spans="2:12" x14ac:dyDescent="0.3">
      <c r="C14" s="49"/>
    </row>
    <row r="15" spans="2:12" x14ac:dyDescent="0.3">
      <c r="C15" s="49"/>
      <c r="E15" s="67"/>
      <c r="F15" s="67"/>
    </row>
    <row r="16" spans="2:12" ht="16.2" x14ac:dyDescent="0.3">
      <c r="B16" s="80" t="s">
        <v>84</v>
      </c>
      <c r="C16" s="80" t="s">
        <v>119</v>
      </c>
      <c r="D16" s="80" t="s">
        <v>156</v>
      </c>
      <c r="E16" s="82" t="s">
        <v>89</v>
      </c>
      <c r="F16" s="82" t="s">
        <v>90</v>
      </c>
      <c r="G16" s="82" t="s">
        <v>91</v>
      </c>
      <c r="H16" s="89" t="s">
        <v>68</v>
      </c>
      <c r="I16" s="89" t="s">
        <v>77</v>
      </c>
      <c r="J16" s="82" t="s">
        <v>69</v>
      </c>
      <c r="K16" s="82" t="s">
        <v>144</v>
      </c>
    </row>
    <row r="17" spans="2:11" x14ac:dyDescent="0.3">
      <c r="B17" s="55">
        <f>'m1 Descrip_rodal'!G20</f>
        <v>100</v>
      </c>
      <c r="C17" s="55">
        <f>'m1 Descrip_rodal'!C24</f>
        <v>35</v>
      </c>
      <c r="D17" s="55">
        <f>IF(CmToPulg(m2.Madereo_parámetros[[#This Row],[D.m]])&lt;=8,4,
IF(CmToPulg(m2.Madereo_parámetros[[#This Row],[D.m]])&lt;=16,2,1))</f>
        <v>2</v>
      </c>
      <c r="E17" s="72">
        <v>5</v>
      </c>
      <c r="F17" s="165">
        <v>3</v>
      </c>
      <c r="G17" s="165">
        <v>18</v>
      </c>
      <c r="H17" s="63">
        <f t="array" ref="H17">m2.Volteo_parámetros[m1.V, m3/ha]</f>
        <v>426.44299999999998</v>
      </c>
      <c r="I17" s="63">
        <f>'m1 Descrip_rodal'!C27</f>
        <v>1.0745</v>
      </c>
      <c r="J17" s="165">
        <v>180</v>
      </c>
      <c r="K17" s="55">
        <f>'m1 Descrip_rodal'!G19</f>
        <v>20</v>
      </c>
    </row>
    <row r="18" spans="2:11" x14ac:dyDescent="0.3">
      <c r="F18" s="67"/>
    </row>
    <row r="19" spans="2:11" x14ac:dyDescent="0.3">
      <c r="F19" s="67"/>
    </row>
    <row r="20" spans="2:11" x14ac:dyDescent="0.3">
      <c r="F20" s="67"/>
    </row>
    <row r="21" spans="2:11" x14ac:dyDescent="0.3"/>
    <row r="22" spans="2:11" x14ac:dyDescent="0.3">
      <c r="B22" s="112"/>
      <c r="C22" s="3"/>
      <c r="D22" s="113"/>
      <c r="E22" s="112"/>
      <c r="F22" s="112"/>
      <c r="G22" s="112"/>
      <c r="H22" s="112"/>
      <c r="I22" s="112" t="s">
        <v>150</v>
      </c>
      <c r="J22" s="3"/>
      <c r="K22" s="112"/>
    </row>
    <row r="23" spans="2:11" x14ac:dyDescent="0.3">
      <c r="B23" s="2"/>
      <c r="C23" s="2"/>
      <c r="D23" s="2"/>
      <c r="E23" s="125"/>
      <c r="F23" s="35"/>
      <c r="G23" s="35"/>
      <c r="H23" s="35"/>
      <c r="I23" s="2"/>
      <c r="J23" s="35"/>
      <c r="K23" s="33"/>
    </row>
    <row r="24" spans="2:11" ht="15" thickBot="1" x14ac:dyDescent="0.35">
      <c r="B24" s="2"/>
      <c r="C24" s="2"/>
      <c r="D24" s="2"/>
      <c r="E24" s="125"/>
      <c r="F24" s="35"/>
      <c r="G24" s="35"/>
      <c r="H24" s="241" t="s">
        <v>25</v>
      </c>
      <c r="I24" s="241" t="s">
        <v>19</v>
      </c>
      <c r="J24" s="241" t="s">
        <v>20</v>
      </c>
      <c r="K24" s="291" t="s">
        <v>250</v>
      </c>
    </row>
    <row r="25" spans="2:11" x14ac:dyDescent="0.3">
      <c r="B25" s="88" t="s">
        <v>65</v>
      </c>
      <c r="C25" s="88" t="s">
        <v>4</v>
      </c>
      <c r="D25" s="88" t="s">
        <v>81</v>
      </c>
      <c r="E25" s="88" t="s">
        <v>83</v>
      </c>
      <c r="F25" s="88" t="s">
        <v>326</v>
      </c>
      <c r="G25" s="35"/>
      <c r="H25" s="571">
        <v>3</v>
      </c>
      <c r="I25" s="571">
        <v>5</v>
      </c>
      <c r="J25" s="571">
        <v>6</v>
      </c>
      <c r="K25" s="573">
        <v>8</v>
      </c>
    </row>
    <row r="26" spans="2:11" x14ac:dyDescent="0.3">
      <c r="B26" s="48" t="s">
        <v>17</v>
      </c>
      <c r="C26" s="48" t="s">
        <v>25</v>
      </c>
      <c r="D26" s="63">
        <f>((1.23
-6.63*0
-1.39*1
+2.6*m2.Madereo_parámetros[Pcs Skidder, n]
+0.03*m2.Madereo_parámetros[DMM, m])/60)*(m2.Madereo_parámetros[V, m3/ha]/m2.Madereo_parámetros[VCSG, m3])</f>
        <v>19.047787333333329</v>
      </c>
      <c r="E26" s="63">
        <f>m2.Madereo_parámetros[V, m3/ha]/m2.Madereo_funciones[[#This Row],[Rxt, hrpr/ha]]</f>
        <v>22.388059701492541</v>
      </c>
      <c r="F26" s="87">
        <v>1</v>
      </c>
      <c r="G26" s="35"/>
      <c r="H26" s="35"/>
    </row>
    <row r="27" spans="2:11" x14ac:dyDescent="0.3">
      <c r="B27" s="48" t="s">
        <v>66</v>
      </c>
      <c r="C27" s="48" t="s">
        <v>25</v>
      </c>
      <c r="D27" s="63">
        <f>(1.418*((MToFt( m2.Madereo_parámetros[DMM, m] )*0.01)^(0.574)
*3.28084)*m2.Madereo_parámetros[Pcs Skidder, n]^(0.1)
*1^(-0.113))</f>
        <v>9.8614255667590456</v>
      </c>
      <c r="E27" s="63">
        <f>m2.Madereo_parámetros[V, m3/ha]/m2.Madereo_funciones[[#This Row],[Rxt, hrpr/ha]]</f>
        <v>43.243544973604699</v>
      </c>
      <c r="F27" s="87">
        <v>4</v>
      </c>
      <c r="G27" s="35"/>
      <c r="H27" s="35"/>
    </row>
    <row r="28" spans="2:11" x14ac:dyDescent="0.3">
      <c r="B28" s="48" t="s">
        <v>336</v>
      </c>
      <c r="C28" s="48" t="s">
        <v>25</v>
      </c>
      <c r="D28" s="63">
        <f>m2.Madereo_parámetros[V, m3/ha]/m2.Madereo_funciones[[#This Row],[Rxv, m3/hrpr]]</f>
        <v>10.661075</v>
      </c>
      <c r="E28" s="63">
        <v>40</v>
      </c>
      <c r="F28" s="87">
        <v>3</v>
      </c>
      <c r="G28" s="35"/>
      <c r="H28" s="35"/>
    </row>
    <row r="29" spans="2:11" x14ac:dyDescent="0.3">
      <c r="B29" s="48" t="s">
        <v>66</v>
      </c>
      <c r="C29" s="48" t="s">
        <v>19</v>
      </c>
      <c r="D29" s="63">
        <f>(88.626*((MToFt(m2.Madereo_parámetros[DMM, m]/100)^(0.453))
*m2.Madereo_parámetros[Pcs Skidder, n]^(0.295)
*m2.Madereo_parámetros[Motor, hp]^(-0.75))
/60)
*m2.Madereo_parámetros[V, m3/ha]/m2.Madereo_parámetros[VCSC, m3]</f>
        <v>5.3875533259042632</v>
      </c>
      <c r="E29" s="63">
        <f>m2.Madereo_parámetros[V, m3/ha]/m2.Madereo_funciones[[#This Row],[Rxt, hrpr/ha]]</f>
        <v>79.153369665890878</v>
      </c>
      <c r="F29" s="87">
        <v>5</v>
      </c>
      <c r="G29" s="35"/>
      <c r="H29" s="35"/>
      <c r="I29" s="103"/>
      <c r="J29" s="35"/>
      <c r="K29" s="33"/>
    </row>
    <row r="30" spans="2:11" x14ac:dyDescent="0.3">
      <c r="B30" s="48" t="s">
        <v>21</v>
      </c>
      <c r="C30" s="48" t="s">
        <v>20</v>
      </c>
      <c r="D30" s="63">
        <f>m2.Madereo_parámetros[V, m3/ha]/m2.Madereo_parámetros[VCF, m3]
*((13.62+0.0275*m2.Madereo_parámetros[DMM, m])/60)</f>
        <v>6.463770287037037</v>
      </c>
      <c r="E30" s="63">
        <f>44.4-
0.0614*m2.Madereo_parámetros[DMM, m]
+1.42*m2.Madereo_parámetros[VCF, m3]</f>
        <v>63.819999999999993</v>
      </c>
      <c r="F30" s="87">
        <v>6</v>
      </c>
      <c r="G30" s="35"/>
      <c r="H30" s="35"/>
      <c r="I30" s="2"/>
      <c r="J30" s="35"/>
      <c r="K30" s="33"/>
    </row>
    <row r="31" spans="2:11" x14ac:dyDescent="0.3">
      <c r="B31" s="48" t="s">
        <v>59</v>
      </c>
      <c r="C31" s="48" t="s">
        <v>20</v>
      </c>
      <c r="D31" s="63">
        <f>m2.Madereo_parámetros[V, m3/ha]/m2.Madereo_funciones[[#This Row],[Rxv, m3/hrpr]]</f>
        <v>4.0065839782691688</v>
      </c>
      <c r="E31" s="63">
        <f>130.496
-0.027*m2.Madereo_parámetros[DMM, m]
-1.419*m2.Madereo_parámetros[Pendiente. %]
+97.69*LN(m2.Madereo_parámetros[VTr.m, m3])</f>
        <v>106.43555765034081</v>
      </c>
      <c r="F31" s="87">
        <v>7</v>
      </c>
      <c r="G31" s="35"/>
      <c r="H31" s="35"/>
      <c r="I31" s="2"/>
      <c r="J31" s="35"/>
      <c r="K31" s="33"/>
    </row>
    <row r="32" spans="2:11" x14ac:dyDescent="0.3">
      <c r="B32" s="2" t="s">
        <v>332</v>
      </c>
      <c r="C32" s="2" t="s">
        <v>250</v>
      </c>
      <c r="D32" s="55">
        <v>0</v>
      </c>
      <c r="E32" s="63">
        <v>0</v>
      </c>
      <c r="F32" s="87">
        <v>8</v>
      </c>
      <c r="G32" s="35"/>
      <c r="H32" s="35"/>
      <c r="I32" s="2"/>
      <c r="J32" s="35"/>
      <c r="K32" s="33"/>
    </row>
    <row r="33" spans="2:12" x14ac:dyDescent="0.3">
      <c r="B33" s="2"/>
      <c r="C33" s="2"/>
      <c r="D33" s="2"/>
      <c r="E33" s="125"/>
      <c r="F33" s="35"/>
      <c r="G33" s="64"/>
      <c r="H33" s="64"/>
      <c r="I33" s="64"/>
      <c r="J33" s="64"/>
      <c r="K33" s="64"/>
      <c r="L33" s="65"/>
    </row>
    <row r="34" spans="2:12" x14ac:dyDescent="0.3">
      <c r="B34" s="55"/>
      <c r="C34" s="55"/>
      <c r="D34" s="64"/>
      <c r="E34" s="64"/>
      <c r="F34" s="64"/>
      <c r="G34" s="107"/>
    </row>
    <row r="35" spans="2:12" x14ac:dyDescent="0.3"/>
    <row r="36" spans="2:12" x14ac:dyDescent="0.3"/>
    <row r="37" spans="2:12" x14ac:dyDescent="0.3"/>
    <row r="38" spans="2:12" x14ac:dyDescent="0.3"/>
    <row r="39" spans="2:12" x14ac:dyDescent="0.3"/>
    <row r="40" spans="2:12" x14ac:dyDescent="0.3"/>
    <row r="41" spans="2:12" x14ac:dyDescent="0.3"/>
    <row r="42" spans="2:12" x14ac:dyDescent="0.3"/>
    <row r="43" spans="2:12" x14ac:dyDescent="0.3"/>
    <row r="44" spans="2:12" x14ac:dyDescent="0.3"/>
    <row r="45" spans="2:12" x14ac:dyDescent="0.3"/>
    <row r="46" spans="2:12" x14ac:dyDescent="0.3">
      <c r="K46" s="83"/>
      <c r="L46" s="83"/>
    </row>
    <row r="47" spans="2:12" x14ac:dyDescent="0.3">
      <c r="K47" s="83"/>
      <c r="L47" s="83"/>
    </row>
    <row r="48" spans="2:12" x14ac:dyDescent="0.3"/>
    <row r="49" spans="11:12" x14ac:dyDescent="0.3"/>
    <row r="51" spans="11:12" hidden="1" x14ac:dyDescent="0.3">
      <c r="K51" s="83"/>
      <c r="L51" s="83"/>
    </row>
    <row r="52" spans="11:12" hidden="1" x14ac:dyDescent="0.3">
      <c r="K52" s="83"/>
      <c r="L52" s="83"/>
    </row>
    <row r="53" spans="11:12" hidden="1" x14ac:dyDescent="0.3">
      <c r="K53" s="83"/>
      <c r="L53" s="83"/>
    </row>
    <row r="54" spans="11:12" hidden="1" x14ac:dyDescent="0.3">
      <c r="K54" s="83"/>
      <c r="L54" s="83"/>
    </row>
    <row r="55" spans="11:12" hidden="1" x14ac:dyDescent="0.3">
      <c r="K55" s="83"/>
      <c r="L55" s="83"/>
    </row>
  </sheetData>
  <sheetProtection sheet="1" objects="1" scenarios="1"/>
  <dataValidations count="3">
    <dataValidation type="whole" operator="greaterThan" showInputMessage="1" showErrorMessage="1" sqref="H25" xr:uid="{47C9DCAF-EF56-4246-94E7-085788973913}">
      <formula1>0</formula1>
    </dataValidation>
    <dataValidation type="list" showInputMessage="1" showErrorMessage="1" sqref="I25:J25" xr:uid="{2CD25A3C-3510-4990-BC14-E0E59240B10E}">
      <formula1>$F$143:$F$149</formula1>
    </dataValidation>
    <dataValidation type="list" allowBlank="1" showInputMessage="1" showErrorMessage="1" sqref="C26:C32" xr:uid="{B6F6C511-EAF0-4AEF-A603-42A8328192B2}">
      <formula1>"Skidder Garra,Skidder Cable,Forwarder, Tractor"</formula1>
    </dataValidation>
  </dataValidations>
  <pageMargins left="0.7" right="0.7" top="0.75" bottom="0.75" header="0.3" footer="0.3"/>
  <drawing r:id="rId1"/>
  <legacy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4EF94-8A9E-4E71-9A03-F9ABF9A10204}">
  <sheetPr codeName="Hoja17"/>
  <dimension ref="A1:AN65"/>
  <sheetViews>
    <sheetView showGridLines="0" showRowColHeaders="0" zoomScale="60" zoomScaleNormal="60" workbookViewId="0">
      <selection activeCell="L31" sqref="L31"/>
    </sheetView>
  </sheetViews>
  <sheetFormatPr baseColWidth="10" defaultColWidth="0" defaultRowHeight="14.4" zeroHeight="1" x14ac:dyDescent="0.3"/>
  <cols>
    <col min="1" max="1" width="24.88671875" style="48" customWidth="1"/>
    <col min="2" max="2" width="20.88671875" style="48" bestFit="1" customWidth="1"/>
    <col min="3" max="3" width="15.5546875" style="48" bestFit="1" customWidth="1"/>
    <col min="4" max="5" width="15.88671875" style="48" bestFit="1" customWidth="1"/>
    <col min="6" max="6" width="21.109375" style="48" bestFit="1" customWidth="1"/>
    <col min="7" max="7" width="20.5546875" style="48" bestFit="1" customWidth="1"/>
    <col min="8" max="8" width="14.44140625" style="48" bestFit="1" customWidth="1"/>
    <col min="9" max="9" width="15.109375" style="48" bestFit="1" customWidth="1"/>
    <col min="10" max="10" width="18.5546875" style="48" bestFit="1" customWidth="1"/>
    <col min="11" max="11" width="19.44140625" style="48" bestFit="1" customWidth="1"/>
    <col min="12" max="12" width="15.5546875" style="48" bestFit="1" customWidth="1"/>
    <col min="13" max="13" width="14.44140625" style="48" bestFit="1" customWidth="1"/>
    <col min="14" max="14" width="12.44140625" style="48" bestFit="1" customWidth="1"/>
    <col min="15" max="15" width="14.5546875" style="48" hidden="1" customWidth="1"/>
    <col min="16" max="17" width="11.44140625" style="48" hidden="1" customWidth="1"/>
    <col min="18" max="18" width="16.88671875" style="48" hidden="1" customWidth="1"/>
    <col min="19" max="40" width="0" style="48" hidden="1" customWidth="1"/>
    <col min="41" max="16384" width="11.44140625" style="48" hidden="1"/>
  </cols>
  <sheetData>
    <row r="1" spans="2:38" x14ac:dyDescent="0.3"/>
    <row r="2" spans="2:38" x14ac:dyDescent="0.3"/>
    <row r="3" spans="2:38" x14ac:dyDescent="0.3"/>
    <row r="4" spans="2:38" x14ac:dyDescent="0.3"/>
    <row r="5" spans="2:38" x14ac:dyDescent="0.3"/>
    <row r="6" spans="2:38" x14ac:dyDescent="0.3"/>
    <row r="7" spans="2:38" x14ac:dyDescent="0.3"/>
    <row r="8" spans="2:38" x14ac:dyDescent="0.3"/>
    <row r="9" spans="2:38" x14ac:dyDescent="0.3"/>
    <row r="10" spans="2:38" x14ac:dyDescent="0.3"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</row>
    <row r="11" spans="2:38" x14ac:dyDescent="0.3"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</row>
    <row r="12" spans="2:38" x14ac:dyDescent="0.3"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</row>
    <row r="13" spans="2:38" x14ac:dyDescent="0.3">
      <c r="B13" s="113"/>
      <c r="C13" s="113"/>
      <c r="D13" s="113"/>
      <c r="E13" s="113"/>
      <c r="F13" s="113"/>
      <c r="G13" s="112"/>
      <c r="H13" s="113"/>
      <c r="I13" s="113"/>
      <c r="J13" s="112"/>
      <c r="K13" s="112"/>
      <c r="L13" s="112"/>
      <c r="M13" s="112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</row>
    <row r="14" spans="2:38" x14ac:dyDescent="0.3">
      <c r="B14" s="2"/>
      <c r="C14" s="35"/>
      <c r="D14" s="35"/>
      <c r="E14" s="33"/>
      <c r="F14" s="35"/>
      <c r="G14" s="35"/>
      <c r="H14" s="76"/>
      <c r="I14" s="76"/>
      <c r="J14" s="76"/>
      <c r="K14" s="76"/>
      <c r="L14" s="35"/>
      <c r="M14" s="3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</row>
    <row r="15" spans="2:38" x14ac:dyDescent="0.3"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</row>
    <row r="16" spans="2:38" x14ac:dyDescent="0.3"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</row>
    <row r="17" spans="2:40" x14ac:dyDescent="0.3"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</row>
    <row r="18" spans="2:40" ht="16.8" thickBot="1" x14ac:dyDescent="0.35">
      <c r="B18" s="85" t="s">
        <v>117</v>
      </c>
      <c r="C18" s="85" t="s">
        <v>64</v>
      </c>
      <c r="D18" s="85" t="s">
        <v>71</v>
      </c>
      <c r="E18" s="85" t="s">
        <v>143</v>
      </c>
      <c r="F18" s="85" t="s">
        <v>145</v>
      </c>
      <c r="H18" s="284" t="s">
        <v>11</v>
      </c>
      <c r="I18" s="284" t="s">
        <v>186</v>
      </c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</row>
    <row r="19" spans="2:40" x14ac:dyDescent="0.3">
      <c r="B19" s="49">
        <v>5.2</v>
      </c>
      <c r="C19" s="87">
        <f>'m1 Descrip_rodal'!C19</f>
        <v>395</v>
      </c>
      <c r="D19" s="87">
        <f>'m1 Descrip_rodal'!C24</f>
        <v>35</v>
      </c>
      <c r="E19" s="56">
        <f>'m1 Descrip_rodal'!C23</f>
        <v>1.08</v>
      </c>
      <c r="F19" s="55">
        <f>'m1 Descrip_rodal'!C20</f>
        <v>426.44299999999998</v>
      </c>
      <c r="H19" s="571">
        <v>3</v>
      </c>
      <c r="I19" s="572">
        <v>5</v>
      </c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</row>
    <row r="20" spans="2:40" x14ac:dyDescent="0.3"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</row>
    <row r="21" spans="2:40" x14ac:dyDescent="0.3"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</row>
    <row r="22" spans="2:40" x14ac:dyDescent="0.3">
      <c r="N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</row>
    <row r="23" spans="2:40" x14ac:dyDescent="0.3">
      <c r="M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</row>
    <row r="24" spans="2:40" x14ac:dyDescent="0.3"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</row>
    <row r="25" spans="2:40" x14ac:dyDescent="0.3"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</row>
    <row r="26" spans="2:40" x14ac:dyDescent="0.3"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</row>
    <row r="27" spans="2:40" x14ac:dyDescent="0.3">
      <c r="B27" s="105" t="s">
        <v>65</v>
      </c>
      <c r="C27" s="85" t="s">
        <v>4</v>
      </c>
      <c r="D27" s="85" t="s">
        <v>153</v>
      </c>
      <c r="E27" s="85" t="s">
        <v>100</v>
      </c>
      <c r="F27" s="85" t="s">
        <v>80</v>
      </c>
      <c r="G27" s="85" t="s">
        <v>47</v>
      </c>
      <c r="H27" s="85" t="s">
        <v>60</v>
      </c>
      <c r="I27" s="85" t="s">
        <v>101</v>
      </c>
      <c r="J27" s="106" t="s">
        <v>99</v>
      </c>
      <c r="K27" s="85" t="s">
        <v>83</v>
      </c>
      <c r="L27" s="85" t="s">
        <v>327</v>
      </c>
      <c r="P27" s="74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</row>
    <row r="28" spans="2:40" x14ac:dyDescent="0.3">
      <c r="B28" s="48" t="s">
        <v>28</v>
      </c>
      <c r="C28" s="48" t="s">
        <v>11</v>
      </c>
      <c r="E28" s="48" t="s">
        <v>61</v>
      </c>
      <c r="F28" s="48" t="s">
        <v>61</v>
      </c>
      <c r="G28" s="48" t="s">
        <v>62</v>
      </c>
      <c r="H28" s="48" t="s">
        <v>62</v>
      </c>
      <c r="I28" s="48" t="s">
        <v>62</v>
      </c>
      <c r="J28" s="63">
        <f>(-1.1457+
0.2117*CmToPulg(m2.Procesado_parámetros[D.m, cm]))/60
*m2.Procesado_parámetros[N, n/ha]</f>
        <v>11.661887729658794</v>
      </c>
      <c r="K28" s="63">
        <f>m2.Procesado_parámetros[V, m3/ha2]/m2.Procesado_resumen[[#This Row],[Rxt , hrpr/ha]]</f>
        <v>36.567235930033853</v>
      </c>
      <c r="L28" s="55">
        <v>2</v>
      </c>
      <c r="P28" s="74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</row>
    <row r="29" spans="2:40" x14ac:dyDescent="0.3">
      <c r="B29" s="48" t="s">
        <v>2</v>
      </c>
      <c r="C29" s="48" t="s">
        <v>11</v>
      </c>
      <c r="E29" s="48" t="s">
        <v>61</v>
      </c>
      <c r="F29" s="48" t="s">
        <v>61</v>
      </c>
      <c r="G29" s="48" t="s">
        <v>62</v>
      </c>
      <c r="H29" s="48" t="s">
        <v>62</v>
      </c>
      <c r="I29" s="48" t="s">
        <v>62</v>
      </c>
      <c r="J29" s="63">
        <f>0.006*(((CmToPulg(m2.Procesado_parámetros[D.m, cm]))^2.129))
/60*m2.Procesado_parámetros[N, n/ha]</f>
        <v>10.520272261254743</v>
      </c>
      <c r="K29" s="63">
        <f>m2.Procesado_parámetros[V, m3/ha2]/m2.Procesado_resumen[[#This Row],[Rxt , hrpr/ha]]</f>
        <v>40.535357774964901</v>
      </c>
      <c r="L29" s="55">
        <v>3</v>
      </c>
      <c r="P29" s="74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</row>
    <row r="30" spans="2:40" x14ac:dyDescent="0.3">
      <c r="B30" s="48" t="s">
        <v>22</v>
      </c>
      <c r="C30" s="48" t="s">
        <v>186</v>
      </c>
      <c r="E30" s="48" t="s">
        <v>61</v>
      </c>
      <c r="F30" s="48" t="s">
        <v>61</v>
      </c>
      <c r="G30" s="48" t="s">
        <v>61</v>
      </c>
      <c r="H30" s="48" t="s">
        <v>61</v>
      </c>
      <c r="I30" s="48" t="s">
        <v>62</v>
      </c>
      <c r="J30" s="63">
        <f>0.362+0.341*(m2.Procesado_parámetros[V, m3/ha2]/m2.Procesado_parámetros[N, n/ha])
*m2.Procesado_parámetros[N, n/ha]/60</f>
        <v>2.7856177166666671</v>
      </c>
      <c r="K30" s="63">
        <f>m2.Procesado_parámetros[V, m3/ha2]/m2.Procesado_resumen[[#This Row],[Rxt , hrpr/ha]]</f>
        <v>153.08740946345333</v>
      </c>
      <c r="L30" s="55">
        <v>4</v>
      </c>
      <c r="P30" s="74"/>
      <c r="Q30" s="71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</row>
    <row r="31" spans="2:40" x14ac:dyDescent="0.3">
      <c r="B31" s="48" t="s">
        <v>59</v>
      </c>
      <c r="C31" s="48" t="s">
        <v>186</v>
      </c>
      <c r="E31" s="48" t="s">
        <v>62</v>
      </c>
      <c r="F31" s="48" t="s">
        <v>62</v>
      </c>
      <c r="G31" s="48" t="s">
        <v>61</v>
      </c>
      <c r="H31" s="48" t="s">
        <v>61</v>
      </c>
      <c r="J31" s="63">
        <f>0.635*EXP(0.5609*m2.Procesado_parámetros[V.m, m3])
/60*m2.Procesado_parámetros[N, n/ha]</f>
        <v>7.6613095034113066</v>
      </c>
      <c r="K31" s="63">
        <f>m2.Procesado_parámetros[V, m3/ha2]/m2.Procesado_resumen[[#This Row],[Rxt , hrpr/ha]]</f>
        <v>55.661894328915992</v>
      </c>
      <c r="L31" s="55">
        <v>1</v>
      </c>
      <c r="N31" s="74"/>
      <c r="O31" s="74"/>
      <c r="P31" s="74"/>
      <c r="Q31" s="71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</row>
    <row r="32" spans="2:40" x14ac:dyDescent="0.3">
      <c r="M32" s="74"/>
      <c r="N32" s="74"/>
      <c r="O32" s="74"/>
      <c r="P32" s="74"/>
      <c r="Q32" s="65"/>
      <c r="R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</row>
    <row r="33" spans="2:38" x14ac:dyDescent="0.3">
      <c r="M33" s="74"/>
      <c r="N33" s="74"/>
      <c r="O33" s="74"/>
      <c r="Q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</row>
    <row r="34" spans="2:38" x14ac:dyDescent="0.3">
      <c r="M34" s="74"/>
      <c r="N34" s="74"/>
      <c r="O34" s="74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</row>
    <row r="35" spans="2:38" x14ac:dyDescent="0.3">
      <c r="M35" s="74"/>
      <c r="N35" s="74"/>
      <c r="O35" s="67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</row>
    <row r="36" spans="2:38" x14ac:dyDescent="0.3">
      <c r="M36" s="74"/>
      <c r="P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</row>
    <row r="37" spans="2:38" x14ac:dyDescent="0.3">
      <c r="B37" s="49"/>
      <c r="C37" s="49"/>
      <c r="D37" s="49"/>
      <c r="E37" s="49"/>
      <c r="F37" s="49"/>
      <c r="O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</row>
    <row r="38" spans="2:38" x14ac:dyDescent="0.3">
      <c r="B38" s="49"/>
      <c r="C38" s="49"/>
      <c r="D38" s="49"/>
      <c r="E38" s="49"/>
      <c r="F38" s="49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</row>
    <row r="39" spans="2:38" x14ac:dyDescent="0.3"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</row>
    <row r="40" spans="2:38" x14ac:dyDescent="0.3">
      <c r="O40" s="74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</row>
    <row r="41" spans="2:38" x14ac:dyDescent="0.3">
      <c r="O41" s="4"/>
      <c r="Q41" s="74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</row>
    <row r="42" spans="2:38" x14ac:dyDescent="0.3">
      <c r="N42" s="2"/>
      <c r="O42" s="4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</row>
    <row r="43" spans="2:38" x14ac:dyDescent="0.3">
      <c r="M43" s="2"/>
      <c r="N43" s="2"/>
      <c r="O43" s="4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</row>
    <row r="44" spans="2:38" x14ac:dyDescent="0.3">
      <c r="M44" s="2"/>
      <c r="N44" s="2"/>
      <c r="O44" s="4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</row>
    <row r="45" spans="2:38" x14ac:dyDescent="0.3">
      <c r="M45" s="2"/>
      <c r="N45" s="2"/>
      <c r="O45" s="4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</row>
    <row r="46" spans="2:38" x14ac:dyDescent="0.3">
      <c r="M46" s="2"/>
      <c r="N46" s="2"/>
      <c r="O46" s="4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</row>
    <row r="47" spans="2:38" x14ac:dyDescent="0.3">
      <c r="M47" s="2"/>
      <c r="N47" s="2"/>
      <c r="O47" s="4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</row>
    <row r="48" spans="2:38" x14ac:dyDescent="0.3">
      <c r="M48" s="2"/>
      <c r="N48" s="2"/>
      <c r="O48" s="4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</row>
    <row r="49" spans="13:38" x14ac:dyDescent="0.3">
      <c r="M49" s="2"/>
      <c r="N49" s="2"/>
      <c r="O49" s="4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</row>
    <row r="50" spans="13:38" hidden="1" x14ac:dyDescent="0.3">
      <c r="M50" s="2"/>
      <c r="N50" s="2"/>
      <c r="O50" s="4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</row>
    <row r="51" spans="13:38" hidden="1" x14ac:dyDescent="0.3">
      <c r="M51" s="2"/>
      <c r="N51" s="2"/>
      <c r="O51" s="4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</row>
    <row r="52" spans="13:38" hidden="1" x14ac:dyDescent="0.3">
      <c r="M52" s="2"/>
      <c r="N52" s="2"/>
      <c r="O52" s="4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</row>
    <row r="53" spans="13:38" hidden="1" x14ac:dyDescent="0.3">
      <c r="M53" s="2"/>
      <c r="N53" s="2"/>
      <c r="O53" s="4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</row>
    <row r="54" spans="13:38" hidden="1" x14ac:dyDescent="0.3">
      <c r="M54" s="2"/>
      <c r="N54" s="2"/>
      <c r="O54" s="4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</row>
    <row r="55" spans="13:38" hidden="1" x14ac:dyDescent="0.3">
      <c r="M55" s="2"/>
      <c r="N55" s="2"/>
      <c r="O55" s="4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</row>
    <row r="56" spans="13:38" hidden="1" x14ac:dyDescent="0.3">
      <c r="M56" s="2"/>
      <c r="N56" s="2"/>
      <c r="O56" s="4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</row>
    <row r="57" spans="13:38" hidden="1" x14ac:dyDescent="0.3">
      <c r="M57" s="2"/>
      <c r="N57" s="2"/>
      <c r="O57" s="4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</row>
    <row r="58" spans="13:38" hidden="1" x14ac:dyDescent="0.3">
      <c r="M58" s="2"/>
      <c r="N58" s="2"/>
      <c r="O58" s="4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</row>
    <row r="59" spans="13:38" hidden="1" x14ac:dyDescent="0.3">
      <c r="M59" s="2"/>
      <c r="N59" s="2"/>
      <c r="O59" s="4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</row>
    <row r="60" spans="13:38" hidden="1" x14ac:dyDescent="0.3">
      <c r="M60" s="2"/>
      <c r="N60" s="2"/>
      <c r="O60" s="4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</row>
    <row r="61" spans="13:38" hidden="1" x14ac:dyDescent="0.3">
      <c r="M61" s="2"/>
      <c r="N61" s="2"/>
      <c r="O61" s="4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</row>
    <row r="62" spans="13:38" hidden="1" x14ac:dyDescent="0.3">
      <c r="M62" s="2"/>
      <c r="N62" s="2"/>
      <c r="O62" s="4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</row>
    <row r="63" spans="13:38" hidden="1" x14ac:dyDescent="0.3">
      <c r="M63" s="2"/>
      <c r="N63" s="2"/>
      <c r="O63" s="4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</row>
    <row r="64" spans="13:38" hidden="1" x14ac:dyDescent="0.3">
      <c r="M64" s="2"/>
      <c r="N64" s="2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</row>
    <row r="65" spans="13:38" hidden="1" x14ac:dyDescent="0.3">
      <c r="M65" s="2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</row>
  </sheetData>
  <sheetProtection sheet="1" objects="1" scenarios="1"/>
  <phoneticPr fontId="6" type="noConversion"/>
  <dataValidations count="3">
    <dataValidation type="list" allowBlank="1" showInputMessage="1" showErrorMessage="1" sqref="H18:I18 C28:C31" xr:uid="{4FFA701E-CB9A-4273-B48D-F26557DA7342}">
      <formula1>"Motosierra,Procesador"</formula1>
    </dataValidation>
    <dataValidation type="list" showInputMessage="1" showErrorMessage="1" sqref="E28:I31" xr:uid="{05335616-5A33-4D69-8A9B-5C46075B8D69}">
      <formula1>"Si,No"</formula1>
    </dataValidation>
    <dataValidation type="list" allowBlank="1" showInputMessage="1" showErrorMessage="1" sqref="H19:I19" xr:uid="{625585C3-E142-4D72-B8D9-FE335AD899AA}">
      <formula1>$L$28:$L$31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16D5-0ECA-406F-AB65-DD573E8151B0}">
  <sheetPr codeName="Hoja21"/>
  <dimension ref="A1:P49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11.44140625" style="48" customWidth="1"/>
    <col min="3" max="3" width="16" style="48" customWidth="1"/>
    <col min="4" max="4" width="15.88671875" style="48" bestFit="1" customWidth="1"/>
    <col min="5" max="5" width="29.109375" style="48" bestFit="1" customWidth="1"/>
    <col min="6" max="6" width="16.44140625" style="48" bestFit="1" customWidth="1"/>
    <col min="7" max="7" width="15" style="48" bestFit="1" customWidth="1"/>
    <col min="8" max="8" width="20.5546875" style="48" bestFit="1" customWidth="1"/>
    <col min="9" max="9" width="13.44140625" style="48" customWidth="1"/>
    <col min="10" max="10" width="9.5546875" style="48" customWidth="1"/>
    <col min="11" max="11" width="9.109375" style="48" customWidth="1"/>
    <col min="12" max="12" width="9.109375" style="48" bestFit="1" customWidth="1"/>
    <col min="13" max="13" width="17.88671875" style="48" bestFit="1" customWidth="1"/>
    <col min="14" max="14" width="18.5546875" style="48" bestFit="1" customWidth="1"/>
    <col min="15" max="16384" width="11.44140625" style="48" hidden="1"/>
  </cols>
  <sheetData>
    <row r="1" spans="3:11" x14ac:dyDescent="0.3"/>
    <row r="2" spans="3:11" x14ac:dyDescent="0.3"/>
    <row r="3" spans="3:11" x14ac:dyDescent="0.3"/>
    <row r="4" spans="3:11" x14ac:dyDescent="0.3"/>
    <row r="5" spans="3:11" x14ac:dyDescent="0.3"/>
    <row r="6" spans="3:11" x14ac:dyDescent="0.3"/>
    <row r="7" spans="3:11" x14ac:dyDescent="0.3"/>
    <row r="8" spans="3:11" x14ac:dyDescent="0.3"/>
    <row r="9" spans="3:11" x14ac:dyDescent="0.3"/>
    <row r="10" spans="3:11" x14ac:dyDescent="0.3"/>
    <row r="11" spans="3:11" x14ac:dyDescent="0.3"/>
    <row r="12" spans="3:11" x14ac:dyDescent="0.3"/>
    <row r="13" spans="3:11" x14ac:dyDescent="0.3"/>
    <row r="14" spans="3:11" x14ac:dyDescent="0.3"/>
    <row r="15" spans="3:11" x14ac:dyDescent="0.3"/>
    <row r="16" spans="3:11" ht="16.2" x14ac:dyDescent="0.3">
      <c r="C16" s="85" t="s">
        <v>120</v>
      </c>
      <c r="D16" s="85" t="s">
        <v>77</v>
      </c>
      <c r="E16" s="85" t="s">
        <v>78</v>
      </c>
      <c r="F16" s="85" t="s">
        <v>79</v>
      </c>
      <c r="I16" s="241" t="s">
        <v>74</v>
      </c>
      <c r="J16" s="241" t="s">
        <v>75</v>
      </c>
      <c r="K16" s="241" t="s">
        <v>324</v>
      </c>
    </row>
    <row r="17" spans="3:16" x14ac:dyDescent="0.3">
      <c r="C17" s="67">
        <f>'m1 Descrip_rodal'!C25</f>
        <v>426.44299999999998</v>
      </c>
      <c r="D17" s="54">
        <f>'m1 Descrip_rodal'!C27</f>
        <v>1.0745</v>
      </c>
      <c r="E17" s="49">
        <v>14</v>
      </c>
      <c r="F17" s="49">
        <v>50</v>
      </c>
      <c r="I17" s="37">
        <v>1</v>
      </c>
      <c r="J17" s="37">
        <v>2</v>
      </c>
      <c r="K17" s="14"/>
    </row>
    <row r="18" spans="3:16" x14ac:dyDescent="0.3"/>
    <row r="19" spans="3:16" x14ac:dyDescent="0.3"/>
    <row r="20" spans="3:16" x14ac:dyDescent="0.3"/>
    <row r="21" spans="3:16" x14ac:dyDescent="0.3">
      <c r="D21" s="127"/>
      <c r="E21" s="2"/>
      <c r="F21" s="49"/>
      <c r="L21" s="65"/>
    </row>
    <row r="22" spans="3:16" x14ac:dyDescent="0.3">
      <c r="D22" s="34"/>
      <c r="E22" s="35"/>
      <c r="K22" s="65"/>
      <c r="L22" s="65"/>
    </row>
    <row r="23" spans="3:16" x14ac:dyDescent="0.3">
      <c r="D23" s="2"/>
      <c r="E23" s="35"/>
    </row>
    <row r="24" spans="3:16" x14ac:dyDescent="0.3">
      <c r="C24" s="82" t="s">
        <v>65</v>
      </c>
      <c r="D24" s="82" t="s">
        <v>4</v>
      </c>
      <c r="E24" s="81" t="s">
        <v>58</v>
      </c>
      <c r="F24" s="81" t="s">
        <v>81</v>
      </c>
      <c r="G24" s="81" t="s">
        <v>83</v>
      </c>
      <c r="H24" s="81" t="s">
        <v>328</v>
      </c>
    </row>
    <row r="25" spans="3:16" x14ac:dyDescent="0.3">
      <c r="C25" s="74" t="s">
        <v>76</v>
      </c>
      <c r="D25" s="48" t="s">
        <v>74</v>
      </c>
      <c r="E25" s="67">
        <f>(505.75+35.1*m2.Carguío_parámetros[NTrCC, n])/60</f>
        <v>37.679166666666667</v>
      </c>
      <c r="F25" s="67">
        <f>($C$17/$E$17)/(E25/60)</f>
        <v>48.504598663528213</v>
      </c>
      <c r="G25" s="67">
        <f>$E$17/(E25/60)</f>
        <v>22.293486674776069</v>
      </c>
      <c r="H25" s="31">
        <v>1</v>
      </c>
    </row>
    <row r="26" spans="3:16" x14ac:dyDescent="0.3">
      <c r="C26" s="48" t="s">
        <v>76</v>
      </c>
      <c r="D26" s="48" t="s">
        <v>75</v>
      </c>
      <c r="E26" s="67">
        <f>(525.94+40.268*F17)/60</f>
        <v>42.322333333333333</v>
      </c>
      <c r="F26" s="67">
        <f>($C$17/$E$17)/(E26/60)</f>
        <v>43.183178081143694</v>
      </c>
      <c r="G26" s="67">
        <f>$E$17/(E26/60)</f>
        <v>19.847676955429364</v>
      </c>
      <c r="H26" s="31">
        <v>2</v>
      </c>
      <c r="M26" s="74"/>
      <c r="P26" s="49"/>
    </row>
    <row r="27" spans="3:16" x14ac:dyDescent="0.3">
      <c r="C27" s="48" t="s">
        <v>157</v>
      </c>
      <c r="D27" s="48" t="s">
        <v>74</v>
      </c>
      <c r="E27" s="67">
        <f>(505.75+35.1*m2.Carguío_parámetros[NTrCC, n])*0.01</f>
        <v>22.607500000000002</v>
      </c>
      <c r="F27" s="67">
        <f>($C$17/$E$17)/(E27/60)</f>
        <v>80.840997772547027</v>
      </c>
      <c r="G27" s="67">
        <f>$E$17/(E27/60)</f>
        <v>37.15581112462678</v>
      </c>
      <c r="H27" s="31">
        <v>3</v>
      </c>
      <c r="L27" s="65"/>
      <c r="O27" s="74"/>
    </row>
    <row r="28" spans="3:16" x14ac:dyDescent="0.3">
      <c r="L28" s="65"/>
    </row>
    <row r="29" spans="3:16" x14ac:dyDescent="0.3"/>
    <row r="30" spans="3:16" x14ac:dyDescent="0.3"/>
    <row r="31" spans="3:16" x14ac:dyDescent="0.3">
      <c r="M31" s="65"/>
    </row>
    <row r="32" spans="3:16" x14ac:dyDescent="0.3">
      <c r="I32" s="65"/>
      <c r="J32" s="74"/>
      <c r="L32" s="65"/>
      <c r="M32" s="74"/>
    </row>
    <row r="33" spans="8:12" x14ac:dyDescent="0.3">
      <c r="K33" s="2"/>
      <c r="L33" s="65"/>
    </row>
    <row r="34" spans="8:12" x14ac:dyDescent="0.3">
      <c r="K34" s="33"/>
    </row>
    <row r="35" spans="8:12" x14ac:dyDescent="0.3">
      <c r="K35" s="33"/>
    </row>
    <row r="36" spans="8:12" x14ac:dyDescent="0.3">
      <c r="K36" s="33"/>
    </row>
    <row r="37" spans="8:12" x14ac:dyDescent="0.3">
      <c r="K37" s="33"/>
    </row>
    <row r="38" spans="8:12" x14ac:dyDescent="0.3">
      <c r="K38" s="33"/>
    </row>
    <row r="39" spans="8:12" x14ac:dyDescent="0.3">
      <c r="K39" s="33"/>
    </row>
    <row r="40" spans="8:12" x14ac:dyDescent="0.3">
      <c r="H40" s="34"/>
      <c r="I40" s="35"/>
      <c r="K40" s="33"/>
    </row>
    <row r="41" spans="8:12" x14ac:dyDescent="0.3">
      <c r="H41" s="2"/>
      <c r="I41" s="35"/>
      <c r="K41" s="33"/>
    </row>
    <row r="42" spans="8:12" x14ac:dyDescent="0.3"/>
    <row r="43" spans="8:12" x14ac:dyDescent="0.3"/>
    <row r="44" spans="8:12" x14ac:dyDescent="0.3"/>
    <row r="45" spans="8:12" x14ac:dyDescent="0.3"/>
    <row r="46" spans="8:12" x14ac:dyDescent="0.3"/>
    <row r="47" spans="8:12" x14ac:dyDescent="0.3"/>
    <row r="48" spans="8:12" x14ac:dyDescent="0.3"/>
    <row r="49" x14ac:dyDescent="0.3"/>
  </sheetData>
  <sheetProtection sheet="1" objects="1" scenarios="1"/>
  <dataValidations count="1">
    <dataValidation type="list" allowBlank="1" showInputMessage="1" showErrorMessage="1" sqref="J16 I16" xr:uid="{63805C9B-A2E0-4AFA-A20A-18BE83CA22BC}">
      <formula1>"Hidráulico,Cable"</formula1>
    </dataValidation>
  </dataValidations>
  <pageMargins left="0.7" right="0.7" top="0.75" bottom="0.75" header="0.3" footer="0.3"/>
  <drawing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113AA-ACA7-4268-9F68-410A770E719D}">
  <sheetPr codeName="Hoja22"/>
  <dimension ref="A1:S50"/>
  <sheetViews>
    <sheetView showGridLines="0" showRowColHeaders="0" zoomScale="60" zoomScaleNormal="60" workbookViewId="0">
      <selection activeCell="I11" sqref="I11"/>
    </sheetView>
  </sheetViews>
  <sheetFormatPr baseColWidth="10" defaultColWidth="0" defaultRowHeight="14.4" zeroHeight="1" x14ac:dyDescent="0.3"/>
  <cols>
    <col min="1" max="1" width="24.88671875" style="48" customWidth="1"/>
    <col min="2" max="2" width="11.44140625" style="48" customWidth="1"/>
    <col min="3" max="3" width="23.88671875" style="48" bestFit="1" customWidth="1"/>
    <col min="4" max="4" width="18.88671875" style="48" customWidth="1"/>
    <col min="5" max="5" width="20.5546875" style="48" customWidth="1"/>
    <col min="6" max="6" width="19.5546875" style="48" customWidth="1"/>
    <col min="7" max="7" width="20.109375" style="48" bestFit="1" customWidth="1"/>
    <col min="8" max="8" width="22.44140625" style="48" bestFit="1" customWidth="1"/>
    <col min="9" max="9" width="27.109375" style="48" bestFit="1" customWidth="1"/>
    <col min="10" max="11" width="22.5546875" style="48" bestFit="1" customWidth="1"/>
    <col min="12" max="12" width="26.44140625" style="48" bestFit="1" customWidth="1"/>
    <col min="13" max="13" width="24.109375" style="48" hidden="1" customWidth="1"/>
    <col min="14" max="14" width="11.88671875" style="48" hidden="1" customWidth="1"/>
    <col min="15" max="15" width="18.109375" style="48" hidden="1" customWidth="1"/>
    <col min="16" max="16" width="21.88671875" style="48" hidden="1" customWidth="1"/>
    <col min="17" max="17" width="20.109375" style="48" hidden="1" customWidth="1"/>
    <col min="18" max="18" width="9.88671875" style="48" hidden="1" customWidth="1"/>
    <col min="19" max="19" width="0" style="48" hidden="1" customWidth="1"/>
    <col min="20" max="16384" width="11.44140625" style="48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spans="3:19" ht="15" thickBot="1" x14ac:dyDescent="0.35">
      <c r="C17" s="284" t="s">
        <v>105</v>
      </c>
      <c r="D17" s="136" t="s">
        <v>104</v>
      </c>
      <c r="E17" s="136" t="s">
        <v>407</v>
      </c>
      <c r="F17" s="136" t="s">
        <v>70</v>
      </c>
      <c r="G17" s="136" t="s">
        <v>67</v>
      </c>
    </row>
    <row r="18" spans="3:19" x14ac:dyDescent="0.3">
      <c r="C18" s="357">
        <f>9.284*EXP(0.038*E18)</f>
        <v>15.804464895137198</v>
      </c>
      <c r="D18" s="358">
        <f>'m1 Fac_oper'!C33</f>
        <v>10</v>
      </c>
      <c r="E18" s="358">
        <f>'m1 Fac_oper'!C34</f>
        <v>14</v>
      </c>
      <c r="F18" s="327">
        <f>INT('m2 Transporte'!E18/'m1 Descrip_rodal'!C27)</f>
        <v>13</v>
      </c>
      <c r="G18" s="359">
        <f>'m1 Descrip_rodal'!C20</f>
        <v>426.44299999999998</v>
      </c>
      <c r="I18" s="361" t="s">
        <v>40</v>
      </c>
      <c r="O18" s="74"/>
      <c r="P18" s="74"/>
      <c r="Q18" s="74"/>
    </row>
    <row r="19" spans="3:19" x14ac:dyDescent="0.3">
      <c r="F19" s="74"/>
      <c r="G19" s="74"/>
      <c r="I19" s="165">
        <v>1</v>
      </c>
    </row>
    <row r="20" spans="3:19" x14ac:dyDescent="0.3">
      <c r="E20" s="35"/>
      <c r="F20" s="74"/>
      <c r="G20" s="74"/>
    </row>
    <row r="21" spans="3:19" x14ac:dyDescent="0.3"/>
    <row r="22" spans="3:19" x14ac:dyDescent="0.3"/>
    <row r="23" spans="3:19" x14ac:dyDescent="0.3">
      <c r="C23" s="82" t="s">
        <v>65</v>
      </c>
      <c r="D23" s="82" t="s">
        <v>4</v>
      </c>
      <c r="E23" s="81" t="s">
        <v>58</v>
      </c>
      <c r="F23" s="81" t="s">
        <v>81</v>
      </c>
      <c r="G23" s="81" t="s">
        <v>83</v>
      </c>
      <c r="H23" s="82" t="s">
        <v>325</v>
      </c>
    </row>
    <row r="24" spans="3:19" x14ac:dyDescent="0.3">
      <c r="C24" s="2" t="s">
        <v>59</v>
      </c>
      <c r="D24" s="48" t="s">
        <v>86</v>
      </c>
      <c r="E24" s="360">
        <f>-60.179+3.934*D18+3.087*E18+C18</f>
        <v>38.183464895137206</v>
      </c>
      <c r="F24" s="360">
        <f>G18/m2.Transporte_funciones[[#This Row],[Rxv, m3/hrpr]]</f>
        <v>19.384608714615467</v>
      </c>
      <c r="G24" s="63">
        <f t="array" ref="G24">E18*(60/m2.Transporte_funciones[min/ciclo])</f>
        <v>21.999051220387727</v>
      </c>
      <c r="H24" s="55">
        <v>1</v>
      </c>
      <c r="S24" s="74"/>
    </row>
    <row r="25" spans="3:19" x14ac:dyDescent="0.3">
      <c r="S25" s="74"/>
    </row>
    <row r="26" spans="3:19" x14ac:dyDescent="0.3">
      <c r="E26" s="74"/>
      <c r="F26" s="74"/>
      <c r="G26" s="74"/>
      <c r="H26" s="74"/>
      <c r="S26" s="74"/>
    </row>
    <row r="27" spans="3:19" x14ac:dyDescent="0.3"/>
    <row r="28" spans="3:19" x14ac:dyDescent="0.3"/>
    <row r="29" spans="3:19" x14ac:dyDescent="0.3"/>
    <row r="30" spans="3:19" x14ac:dyDescent="0.3"/>
    <row r="31" spans="3:19" x14ac:dyDescent="0.3"/>
    <row r="32" spans="3:19" x14ac:dyDescent="0.3">
      <c r="E32" s="48" t="s">
        <v>87</v>
      </c>
      <c r="F32" s="74"/>
      <c r="G32" s="74"/>
      <c r="H32" s="74"/>
    </row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</sheetData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910A-D41A-420B-80E3-AD909F0E0E32}">
  <sheetPr codeName="Hoja10"/>
  <dimension ref="A1:AI258"/>
  <sheetViews>
    <sheetView showGridLines="0" showRowColHeaders="0" zoomScale="70" zoomScaleNormal="70" workbookViewId="0"/>
  </sheetViews>
  <sheetFormatPr baseColWidth="10" defaultColWidth="0" defaultRowHeight="14.4" zeroHeight="1" x14ac:dyDescent="0.3"/>
  <cols>
    <col min="1" max="1" width="20.88671875" customWidth="1"/>
    <col min="2" max="2" width="53.5546875" bestFit="1" customWidth="1"/>
    <col min="3" max="3" width="20.33203125" customWidth="1"/>
    <col min="4" max="4" width="23.5546875" customWidth="1"/>
    <col min="5" max="5" width="19" customWidth="1"/>
    <col min="6" max="6" width="17.109375" customWidth="1"/>
    <col min="7" max="7" width="7.109375" bestFit="1" customWidth="1"/>
    <col min="8" max="8" width="11" bestFit="1" customWidth="1"/>
    <col min="9" max="9" width="47.5546875" bestFit="1" customWidth="1"/>
    <col min="10" max="10" width="6.5546875" bestFit="1" customWidth="1"/>
    <col min="11" max="11" width="26.6640625" customWidth="1"/>
    <col min="12" max="12" width="47.5546875" hidden="1" customWidth="1"/>
    <col min="13" max="13" width="10" hidden="1" customWidth="1"/>
    <col min="14" max="14" width="38.33203125" hidden="1" customWidth="1"/>
    <col min="15" max="15" width="35.5546875" hidden="1" customWidth="1"/>
    <col min="16" max="16" width="7.88671875" hidden="1" customWidth="1"/>
    <col min="17" max="17" width="56.44140625" hidden="1" customWidth="1"/>
    <col min="18" max="18" width="36.109375" hidden="1" customWidth="1"/>
    <col min="19" max="19" width="38.109375" hidden="1" customWidth="1"/>
    <col min="20" max="20" width="21.109375" hidden="1" customWidth="1"/>
    <col min="21" max="21" width="20.109375" hidden="1" customWidth="1"/>
    <col min="22" max="22" width="20.109375" style="48" hidden="1" customWidth="1"/>
    <col min="23" max="23" width="28.88671875" style="48" hidden="1" customWidth="1"/>
    <col min="24" max="24" width="51.5546875" style="48" hidden="1" customWidth="1"/>
    <col min="25" max="25" width="11" style="48" hidden="1" customWidth="1"/>
    <col min="26" max="26" width="39.5546875" style="48" hidden="1" customWidth="1"/>
    <col min="27" max="35" width="0" hidden="1" customWidth="1"/>
    <col min="36" max="16384" width="10.88671875" hidden="1"/>
  </cols>
  <sheetData>
    <row r="1" spans="1:33" x14ac:dyDescent="0.3">
      <c r="A1" s="48" t="s">
        <v>335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AA1" s="48"/>
    </row>
    <row r="2" spans="1:33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AA2" s="48"/>
    </row>
    <row r="3" spans="1:33" x14ac:dyDescent="0.3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AA3" s="48"/>
    </row>
    <row r="4" spans="1:33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AA4" s="48"/>
    </row>
    <row r="5" spans="1:33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AA5" s="48"/>
    </row>
    <row r="6" spans="1:33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9"/>
      <c r="V6" s="49"/>
      <c r="W6" s="49"/>
      <c r="X6" s="49"/>
      <c r="Y6" s="49"/>
      <c r="AA6" s="48"/>
    </row>
    <row r="7" spans="1:33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9"/>
      <c r="O7" s="49"/>
      <c r="P7" s="48"/>
      <c r="Q7" s="48"/>
      <c r="R7" s="48"/>
      <c r="S7" s="48"/>
      <c r="T7" s="48"/>
      <c r="U7" s="49"/>
      <c r="V7" s="49"/>
      <c r="W7" s="49"/>
      <c r="X7" s="49"/>
      <c r="Y7" s="50"/>
      <c r="AA7" s="48"/>
    </row>
    <row r="8" spans="1:33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9"/>
      <c r="V8" s="49"/>
      <c r="W8" s="49"/>
      <c r="X8" s="49"/>
      <c r="Y8" s="50"/>
      <c r="AA8" s="48"/>
    </row>
    <row r="9" spans="1:33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9"/>
      <c r="V9" s="49"/>
      <c r="W9" s="49"/>
      <c r="X9" s="49"/>
      <c r="Y9" s="50"/>
      <c r="AA9" s="48"/>
    </row>
    <row r="10" spans="1:33" x14ac:dyDescent="0.3">
      <c r="A10" s="48"/>
      <c r="B10" s="48"/>
      <c r="C10" s="48"/>
      <c r="D10" s="48"/>
      <c r="E10" s="48"/>
      <c r="F10" s="48"/>
      <c r="G10" s="48"/>
      <c r="H10" s="48"/>
      <c r="I10" s="49"/>
      <c r="J10" s="49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9"/>
      <c r="V10" s="49"/>
      <c r="W10" s="49"/>
      <c r="X10" s="49"/>
      <c r="Y10" s="50"/>
      <c r="AA10" s="48"/>
    </row>
    <row r="11" spans="1:33" x14ac:dyDescent="0.3">
      <c r="A11" s="48"/>
      <c r="B11" s="48"/>
      <c r="C11" s="48"/>
      <c r="D11" s="48"/>
      <c r="E11" s="48"/>
      <c r="F11" s="48"/>
      <c r="G11" s="48"/>
      <c r="H11" s="48"/>
      <c r="I11" s="49"/>
      <c r="J11" s="49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9"/>
      <c r="V11" s="49"/>
      <c r="AA11" s="48"/>
    </row>
    <row r="12" spans="1:33" x14ac:dyDescent="0.3">
      <c r="A12" s="48"/>
      <c r="B12" s="48"/>
      <c r="C12" s="48"/>
      <c r="D12" s="48"/>
      <c r="E12" s="48"/>
      <c r="F12" s="48"/>
      <c r="G12" s="48"/>
      <c r="H12" s="48"/>
      <c r="I12" s="49"/>
      <c r="J12" s="49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9"/>
      <c r="V12" s="49"/>
      <c r="AA12" s="48"/>
    </row>
    <row r="13" spans="1:33" x14ac:dyDescent="0.3">
      <c r="A13" s="48"/>
      <c r="B13" s="48"/>
      <c r="C13" s="48"/>
      <c r="D13" s="48"/>
      <c r="E13" s="48"/>
      <c r="F13" s="113"/>
      <c r="G13" s="48"/>
      <c r="H13" s="48"/>
      <c r="I13" s="49"/>
      <c r="J13" s="49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9"/>
      <c r="V13" s="49"/>
      <c r="AA13" s="48"/>
    </row>
    <row r="14" spans="1:33" ht="23.4" x14ac:dyDescent="0.45">
      <c r="A14" s="48"/>
      <c r="B14" s="214" t="s">
        <v>262</v>
      </c>
      <c r="C14" s="214"/>
      <c r="D14" s="215"/>
      <c r="E14" s="214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  <c r="Q14" s="48"/>
      <c r="R14" s="48"/>
      <c r="S14" s="48"/>
      <c r="T14" s="48"/>
      <c r="U14" s="48"/>
      <c r="AB14" s="49"/>
      <c r="AC14" s="50"/>
      <c r="AD14" s="48"/>
      <c r="AE14" s="48"/>
    </row>
    <row r="15" spans="1:33" ht="24" thickBot="1" x14ac:dyDescent="0.5">
      <c r="A15" s="48"/>
      <c r="B15" s="539" t="s">
        <v>263</v>
      </c>
      <c r="C15" s="216" t="s">
        <v>8</v>
      </c>
      <c r="D15" s="216" t="s">
        <v>37</v>
      </c>
      <c r="E15" s="216" t="s">
        <v>11</v>
      </c>
      <c r="F15" s="48"/>
      <c r="G15" s="48"/>
      <c r="H15" s="48"/>
      <c r="I15" s="48"/>
      <c r="J15" s="48"/>
      <c r="K15" s="48"/>
      <c r="L15" s="48"/>
      <c r="M15" s="48"/>
      <c r="N15" s="48"/>
      <c r="O15" s="49"/>
      <c r="P15" s="49"/>
      <c r="Q15" s="48"/>
      <c r="R15" s="48"/>
      <c r="S15" s="48"/>
      <c r="T15" s="48"/>
      <c r="U15" s="48"/>
      <c r="W15" s="49"/>
      <c r="AB15" s="49"/>
      <c r="AC15" s="50"/>
      <c r="AD15" s="48"/>
      <c r="AE15" s="48"/>
    </row>
    <row r="16" spans="1:33" ht="23.4" x14ac:dyDescent="0.45">
      <c r="A16" s="48"/>
      <c r="B16" s="217" t="s">
        <v>182</v>
      </c>
      <c r="C16" s="579">
        <f>INDEX('BD Costos'!U24:AD24,,
MATCH($B$15,
'BD Costos'!U23:AD23,0))</f>
        <v>9.9669892272719995E-2</v>
      </c>
      <c r="D16" s="580">
        <f>INDEX('BD Costos'!U27:AD27,,
MATCH($B$15,
'BD Costos'!U23:AD23,0))</f>
        <v>9.9669892272720009E-2</v>
      </c>
      <c r="E16" s="581">
        <f>INDEX('BD Costos'!U30:AD30,,
MATCH($B$15,
'BD Costos'!U23:AD23,0))</f>
        <v>0.14884232120000002</v>
      </c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  <c r="Q16" s="48"/>
      <c r="R16" s="48"/>
      <c r="S16" s="48"/>
      <c r="T16" s="48"/>
      <c r="U16" s="48"/>
      <c r="W16" s="49"/>
      <c r="AB16" s="49"/>
      <c r="AC16" s="50"/>
      <c r="AD16" s="48"/>
      <c r="AE16" s="48"/>
      <c r="AF16" s="48"/>
      <c r="AG16" s="48"/>
    </row>
    <row r="17" spans="1:35" ht="21.6" customHeight="1" x14ac:dyDescent="0.45">
      <c r="A17" s="48"/>
      <c r="B17" s="217" t="s">
        <v>183</v>
      </c>
      <c r="C17" s="582">
        <f>INDEX('BD Costos'!U25:AD25,,
MATCH($B$15,
'BD Costos'!U23:AD23,0))</f>
        <v>9.9669892272719995E-2</v>
      </c>
      <c r="D17" s="583">
        <f>INDEX('BD Costos'!U28:AD28,,
MATCH($B$15,
'BD Costos'!U23:AD23,0))</f>
        <v>9.9669892272719995E-2</v>
      </c>
      <c r="E17" s="584">
        <f>INDEX('BD Costos'!U31:AD31,,
MATCH($B$15,
'BD Costos'!U23:AD23,0))</f>
        <v>0.14884232120000002</v>
      </c>
      <c r="F17" s="48"/>
      <c r="G17" s="48"/>
      <c r="H17" s="48"/>
      <c r="I17" s="48"/>
      <c r="J17" s="48"/>
      <c r="K17" s="48"/>
      <c r="L17" s="48"/>
      <c r="M17" s="48"/>
      <c r="N17" s="48"/>
      <c r="O17" s="62"/>
      <c r="P17" s="62"/>
      <c r="Q17" s="48"/>
      <c r="R17" s="48"/>
      <c r="S17" s="48"/>
      <c r="T17" s="48"/>
      <c r="U17" s="48"/>
      <c r="W17" s="49"/>
      <c r="AB17" s="49"/>
      <c r="AC17" s="50"/>
      <c r="AD17" s="48"/>
      <c r="AE17" s="48"/>
      <c r="AF17" s="48"/>
      <c r="AG17" s="48"/>
    </row>
    <row r="18" spans="1:35" ht="24" thickBot="1" x14ac:dyDescent="0.5">
      <c r="A18" s="48"/>
      <c r="B18" s="217" t="s">
        <v>184</v>
      </c>
      <c r="C18" s="585">
        <f>INDEX('BD Costos'!U26:AD26,,
MATCH($B$15,
'BD Costos'!U23:AD23,0))</f>
        <v>9.9669892272719995E-2</v>
      </c>
      <c r="D18" s="586">
        <f>INDEX('BD Costos'!U29:AD29,,
MATCH($B$15,
'BD Costos'!U23:AD23,0))</f>
        <v>9.9669892272719995E-2</v>
      </c>
      <c r="E18" s="587">
        <f>INDEX('BD Costos'!U32:AD32,,
MATCH($B$15,
'BD Costos'!U23:AD23,0))</f>
        <v>0.14884232120000002</v>
      </c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W18" s="49"/>
      <c r="AB18" s="48"/>
      <c r="AC18" s="48"/>
      <c r="AD18" s="48"/>
      <c r="AE18" s="48"/>
      <c r="AF18" s="48"/>
      <c r="AG18" s="48"/>
    </row>
    <row r="19" spans="1:35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2"/>
      <c r="P19" s="2"/>
      <c r="Q19" s="48"/>
      <c r="R19" s="48"/>
      <c r="S19" s="48"/>
      <c r="T19" s="48"/>
      <c r="U19" s="48"/>
      <c r="W19" s="49"/>
      <c r="AB19" s="48"/>
      <c r="AC19" s="48"/>
      <c r="AD19" s="48"/>
      <c r="AE19" s="48"/>
      <c r="AF19" s="48"/>
      <c r="AG19" s="48"/>
    </row>
    <row r="20" spans="1:35" ht="23.4" x14ac:dyDescent="0.45">
      <c r="A20" s="48"/>
      <c r="B20" s="270"/>
      <c r="C20" s="283"/>
      <c r="D20" s="283"/>
      <c r="E20" s="283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  <c r="Q20" s="48"/>
      <c r="R20" s="48"/>
      <c r="S20" s="48"/>
      <c r="T20" s="48"/>
      <c r="U20" s="48"/>
      <c r="W20" s="49"/>
      <c r="AB20" s="48"/>
      <c r="AC20" s="48"/>
      <c r="AD20" s="48"/>
      <c r="AE20" s="48"/>
      <c r="AF20" s="48"/>
      <c r="AG20" s="48"/>
    </row>
    <row r="21" spans="1:35" ht="23.4" x14ac:dyDescent="0.45">
      <c r="A21" s="117"/>
      <c r="B21" s="48"/>
      <c r="C21" s="48"/>
      <c r="D21" s="48"/>
      <c r="E21" s="48"/>
      <c r="F21" s="48"/>
      <c r="G21" s="48"/>
      <c r="H21" s="48"/>
      <c r="I21" s="214"/>
      <c r="J21" s="214"/>
      <c r="K21" s="215"/>
      <c r="L21" s="215"/>
      <c r="M21" s="215"/>
      <c r="N21" s="214"/>
      <c r="O21" s="48"/>
      <c r="P21" s="48"/>
      <c r="Q21" s="48"/>
      <c r="R21" s="48"/>
      <c r="S21" s="48"/>
      <c r="T21" s="48"/>
      <c r="U21" s="48"/>
      <c r="W21" s="50"/>
      <c r="AB21" s="48"/>
      <c r="AC21" s="48"/>
      <c r="AD21" s="48"/>
      <c r="AE21" s="48"/>
      <c r="AF21" s="48"/>
      <c r="AG21" s="48"/>
    </row>
    <row r="22" spans="1:35" ht="18" x14ac:dyDescent="0.35">
      <c r="A22" s="117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W22" s="50"/>
      <c r="AB22" s="48"/>
      <c r="AC22" s="48"/>
      <c r="AD22" s="48"/>
      <c r="AE22" s="48"/>
      <c r="AF22" s="48"/>
      <c r="AG22" s="48"/>
    </row>
    <row r="23" spans="1:35" ht="18" x14ac:dyDescent="0.35">
      <c r="A23" s="117"/>
      <c r="B23" s="48"/>
      <c r="C23" s="48"/>
      <c r="D23" s="48"/>
      <c r="E23" s="48"/>
      <c r="F23" s="48"/>
      <c r="G23" s="48"/>
      <c r="H23" s="48"/>
      <c r="J23" s="48"/>
      <c r="K23" s="48"/>
      <c r="L23" s="48"/>
      <c r="M23" s="48"/>
      <c r="N23" s="48"/>
      <c r="O23" s="48"/>
      <c r="P23" s="48"/>
      <c r="Q23" s="72"/>
      <c r="R23" s="72"/>
      <c r="S23" s="72"/>
      <c r="T23" s="72"/>
      <c r="U23" s="2"/>
      <c r="V23" s="2"/>
      <c r="Y23" s="50"/>
      <c r="AD23" s="48"/>
      <c r="AE23" s="48"/>
      <c r="AF23" s="48"/>
      <c r="AG23" s="48"/>
      <c r="AH23" s="48"/>
      <c r="AI23" s="48"/>
    </row>
    <row r="24" spans="1:35" ht="18.600000000000001" thickBot="1" x14ac:dyDescent="0.4">
      <c r="A24" s="117"/>
      <c r="B24" s="281" t="s">
        <v>303</v>
      </c>
      <c r="C24" s="508" t="s">
        <v>370</v>
      </c>
      <c r="D24" s="508" t="s">
        <v>371</v>
      </c>
      <c r="E24" s="508" t="s">
        <v>372</v>
      </c>
      <c r="F24" s="508" t="s">
        <v>382</v>
      </c>
      <c r="G24" s="508" t="s">
        <v>130</v>
      </c>
      <c r="H24" s="48"/>
      <c r="I24" s="48"/>
      <c r="J24" s="48"/>
      <c r="K24" s="48"/>
      <c r="L24" s="48"/>
      <c r="M24" s="48"/>
      <c r="N24" s="48"/>
      <c r="O24" s="48"/>
      <c r="P24" s="72"/>
      <c r="Q24" s="48"/>
      <c r="R24" s="48"/>
      <c r="S24" s="48"/>
      <c r="T24" s="48"/>
      <c r="U24" s="48"/>
      <c r="W24" s="49"/>
      <c r="AB24" s="48"/>
      <c r="AC24" s="48"/>
      <c r="AD24" s="48"/>
      <c r="AE24" s="48"/>
      <c r="AF24" s="48"/>
      <c r="AG24" s="48"/>
    </row>
    <row r="25" spans="1:35" ht="18" x14ac:dyDescent="0.35">
      <c r="A25" s="117"/>
      <c r="B25" s="417" t="s">
        <v>323</v>
      </c>
      <c r="C25" s="537" t="s">
        <v>8</v>
      </c>
      <c r="D25" s="537" t="s">
        <v>37</v>
      </c>
      <c r="E25" s="537" t="s">
        <v>11</v>
      </c>
      <c r="F25" s="537" t="s">
        <v>37</v>
      </c>
      <c r="G25" s="538" t="s">
        <v>130</v>
      </c>
      <c r="H25" s="48"/>
      <c r="I25" s="107"/>
      <c r="J25" s="107"/>
      <c r="K25" s="107"/>
      <c r="L25" s="107"/>
      <c r="M25" s="107"/>
      <c r="N25" s="107"/>
      <c r="O25" s="48"/>
      <c r="P25" s="2"/>
      <c r="Q25" s="2"/>
      <c r="R25" s="2"/>
      <c r="S25" s="2"/>
      <c r="T25" s="48"/>
      <c r="U25" s="48"/>
      <c r="W25" s="49"/>
      <c r="AB25" s="48"/>
      <c r="AC25" s="48"/>
      <c r="AD25" s="48"/>
      <c r="AE25" s="48"/>
      <c r="AF25" s="48"/>
      <c r="AG25" s="48"/>
    </row>
    <row r="26" spans="1:35" ht="18.600000000000001" thickBot="1" x14ac:dyDescent="0.4">
      <c r="A26" s="117"/>
      <c r="B26" s="415" t="s">
        <v>373</v>
      </c>
      <c r="C26" s="418">
        <f>IF(C25= "Harvester",
                      INDEX(m2.Volteo_funciones[Rxv, m3/hrpr],
                      MATCH(m2.Volteo_id_volteo[Harvester],  m2.Volteo_funciones[id_volteo], 0)),
  IF(C25= "Fellerbuncher",
                      INDEX(m2.Volteo_funciones[Rxv, m3/hrpr],
                      MATCH(m2.Volteo_id_volteo[Fellerbuncher],  m2.Volteo_funciones[id_volteo], 0)),
  IF(C25= "Motosierra",
                      INDEX(m2.Volteo_funciones[Rxv, m3/hrpr],
                      MATCH(m2.Volteo_id_volteo[Motosierra],  m2.Volteo_funciones[id_volteo], 0)),
0)))</f>
        <v>73.441080000000014</v>
      </c>
      <c r="D26" s="419">
        <f>IF($D$25= "Harvester",
                      INDEX(m2.Volteo_funciones[Rxv, m3/hrpr],
                      MATCH(m2.Volteo_id_volteo[Harvester],  m2.Volteo_funciones[id_volteo], 0)),
  IF($D$25= "Fellerbuncher",
                      INDEX(m2.Volteo_funciones[Rxv, m3/hrpr],
                      MATCH(m2.Volteo_id_volteo[Fellerbuncher],  m2.Volteo_funciones[id_volteo], 0)),
  IF($D$25= "Motosierra",
                      INDEX(m2.Volteo_funciones[Rxv, m3/hrpr],
                      MATCH(m2.Volteo_id_volteo[Motosierra],  m2.Volteo_funciones[id_volteo], 0)),
0)))</f>
        <v>65</v>
      </c>
      <c r="E26" s="419">
        <f>IF($E$25= "Harvester",
                      INDEX(m2.Volteo_funciones[Rxv, m3/hrpr],
                      MATCH(m2.Volteo_id_volteo[Harvester],  m2.Volteo_funciones[id_volteo], 0)),
  IF($E$25= "Fellerbuncher",
                      INDEX(m2.Volteo_funciones[Rxv, m3/hrpr],
                      MATCH(m2.Volteo_id_volteo[Fellerbuncher],  m2.Volteo_funciones[id_volteo], 0)),
  IF($E$25= "Motosierra",
                      INDEX(m2.Volteo_funciones[Rxv, m3/hrpr],
                      MATCH(m2.Volteo_id_volteo[Motosierra],  m2.Volteo_funciones[id_volteo], 0)),
0)))</f>
        <v>24.402328197865298</v>
      </c>
      <c r="F26" s="419">
        <v>91.55</v>
      </c>
      <c r="G26" s="420"/>
      <c r="H26" s="48"/>
      <c r="I26" s="48"/>
      <c r="J26" s="48"/>
      <c r="K26" s="48"/>
      <c r="L26" s="48"/>
      <c r="M26" s="48"/>
      <c r="N26" s="48"/>
      <c r="O26" s="48"/>
      <c r="P26" s="2"/>
      <c r="Q26" s="2"/>
      <c r="R26" s="2"/>
      <c r="S26" s="2"/>
      <c r="T26" s="48"/>
      <c r="U26" s="48"/>
      <c r="W26" s="49"/>
      <c r="AB26" s="48"/>
      <c r="AC26" s="48"/>
      <c r="AD26" s="48"/>
      <c r="AE26" s="48"/>
      <c r="AF26" s="48"/>
      <c r="AG26" s="48"/>
    </row>
    <row r="27" spans="1:35" ht="18" x14ac:dyDescent="0.35">
      <c r="A27" s="117"/>
      <c r="B27" s="503" t="s">
        <v>287</v>
      </c>
      <c r="C27" s="414"/>
      <c r="D27" s="414"/>
      <c r="E27" s="414"/>
      <c r="F27" s="414"/>
      <c r="G27" s="509"/>
      <c r="H27" s="48"/>
      <c r="I27" s="48"/>
      <c r="J27" s="48"/>
      <c r="K27" s="48"/>
      <c r="L27" s="48"/>
      <c r="M27" s="48"/>
      <c r="N27" s="48"/>
      <c r="O27" s="48"/>
      <c r="P27" s="2"/>
      <c r="Q27" s="2"/>
      <c r="R27" s="2"/>
      <c r="S27" s="52"/>
      <c r="T27" s="48"/>
      <c r="U27" s="48"/>
      <c r="W27" s="49"/>
      <c r="AB27" s="48"/>
      <c r="AC27" s="48"/>
      <c r="AD27" s="48"/>
      <c r="AE27" s="48"/>
      <c r="AF27" s="48"/>
      <c r="AG27" s="48"/>
    </row>
    <row r="28" spans="1:35" ht="18" x14ac:dyDescent="0.35">
      <c r="A28" s="117"/>
      <c r="B28" s="415" t="s">
        <v>85</v>
      </c>
      <c r="C28" s="533">
        <v>519524657</v>
      </c>
      <c r="D28" s="533">
        <v>316569135</v>
      </c>
      <c r="E28" s="533">
        <v>1017000</v>
      </c>
      <c r="F28" s="533">
        <v>230023137</v>
      </c>
      <c r="G28" s="534"/>
      <c r="H28" s="48"/>
      <c r="I28" s="48"/>
      <c r="J28" s="48"/>
      <c r="K28" s="48"/>
      <c r="L28" s="48"/>
      <c r="M28" s="48"/>
      <c r="N28" s="48"/>
      <c r="O28" s="48"/>
      <c r="P28" s="2"/>
      <c r="Q28" s="2"/>
      <c r="R28" s="2"/>
      <c r="S28" s="52"/>
      <c r="T28" s="48"/>
      <c r="U28" s="48"/>
      <c r="W28" s="49"/>
      <c r="AB28" s="48"/>
      <c r="AC28" s="48"/>
      <c r="AD28" s="48"/>
      <c r="AE28" s="48"/>
      <c r="AF28" s="48"/>
      <c r="AG28" s="48"/>
    </row>
    <row r="29" spans="1:35" ht="18" x14ac:dyDescent="0.35">
      <c r="A29" s="117"/>
      <c r="B29" s="415" t="s">
        <v>365</v>
      </c>
      <c r="C29" s="535">
        <v>185</v>
      </c>
      <c r="D29" s="535">
        <v>230</v>
      </c>
      <c r="E29" s="535">
        <v>5</v>
      </c>
      <c r="F29" s="535"/>
      <c r="G29" s="536"/>
      <c r="H29" s="48"/>
      <c r="I29" s="107"/>
      <c r="J29" s="48"/>
      <c r="K29" s="48"/>
      <c r="L29" s="48"/>
      <c r="M29" s="48"/>
      <c r="N29" s="48"/>
      <c r="O29" s="48"/>
      <c r="P29" s="72"/>
      <c r="Q29" s="48"/>
      <c r="R29" s="48"/>
      <c r="S29" s="48"/>
      <c r="T29" s="48"/>
      <c r="U29" s="48"/>
      <c r="W29" s="49"/>
      <c r="AB29" s="48"/>
      <c r="AC29" s="48"/>
      <c r="AD29" s="48"/>
      <c r="AE29" s="48"/>
      <c r="AF29" s="48"/>
      <c r="AG29" s="48"/>
    </row>
    <row r="30" spans="1:35" ht="18" x14ac:dyDescent="0.35">
      <c r="A30" s="117"/>
      <c r="B30" s="415" t="s">
        <v>271</v>
      </c>
      <c r="C30" s="535">
        <v>6</v>
      </c>
      <c r="D30" s="535">
        <v>5</v>
      </c>
      <c r="E30" s="535">
        <v>2</v>
      </c>
      <c r="F30" s="535">
        <v>4</v>
      </c>
      <c r="G30" s="536"/>
      <c r="H30" s="48"/>
      <c r="I30" s="48"/>
      <c r="J30" s="48"/>
      <c r="K30" s="48"/>
      <c r="L30" s="48"/>
      <c r="M30" s="48"/>
      <c r="N30" s="48"/>
      <c r="O30" s="48"/>
      <c r="P30" s="2"/>
      <c r="Q30" s="2"/>
      <c r="R30" s="2"/>
      <c r="S30" s="2"/>
      <c r="T30" s="48"/>
      <c r="U30" s="48"/>
      <c r="W30" s="49"/>
      <c r="AB30" s="48"/>
      <c r="AC30" s="48"/>
      <c r="AD30" s="48"/>
      <c r="AE30" s="48"/>
      <c r="AF30" s="48"/>
      <c r="AG30" s="48"/>
    </row>
    <row r="31" spans="1:35" ht="18" x14ac:dyDescent="0.35">
      <c r="A31" s="117"/>
      <c r="B31" s="415" t="s">
        <v>282</v>
      </c>
      <c r="C31" s="535">
        <v>0.2</v>
      </c>
      <c r="D31" s="535">
        <v>0.19</v>
      </c>
      <c r="E31" s="535">
        <v>0.1</v>
      </c>
      <c r="F31" s="535">
        <v>0.2</v>
      </c>
      <c r="G31" s="536"/>
      <c r="H31" s="116"/>
      <c r="I31" s="48"/>
      <c r="J31" s="48"/>
      <c r="K31" s="48"/>
      <c r="L31" s="48"/>
      <c r="M31" s="48"/>
      <c r="N31" s="48"/>
      <c r="O31" s="48"/>
      <c r="P31" s="2"/>
      <c r="Q31" s="2"/>
      <c r="R31" s="2"/>
      <c r="S31" s="2"/>
      <c r="T31" s="48"/>
      <c r="U31" s="48"/>
      <c r="W31" s="49"/>
      <c r="AB31" s="48"/>
      <c r="AC31" s="48"/>
      <c r="AD31" s="48"/>
      <c r="AE31" s="48"/>
      <c r="AF31" s="48"/>
      <c r="AG31" s="48"/>
    </row>
    <row r="32" spans="1:35" ht="18" x14ac:dyDescent="0.35">
      <c r="A32" s="117"/>
      <c r="B32" s="415" t="s">
        <v>380</v>
      </c>
      <c r="C32" s="535">
        <v>0.8</v>
      </c>
      <c r="D32" s="535">
        <v>0.62</v>
      </c>
      <c r="E32" s="535">
        <v>0.56669999999999998</v>
      </c>
      <c r="F32" s="535">
        <v>0.71</v>
      </c>
      <c r="G32" s="536"/>
      <c r="H32" s="116"/>
      <c r="I32" s="107"/>
      <c r="J32" s="48"/>
      <c r="K32" s="48"/>
      <c r="L32" s="48"/>
      <c r="M32" s="48"/>
      <c r="N32" s="48"/>
      <c r="O32" s="48"/>
      <c r="P32" s="2"/>
      <c r="Q32" s="2"/>
      <c r="R32" s="2"/>
      <c r="S32" s="2"/>
      <c r="T32" s="2"/>
      <c r="U32" s="48"/>
      <c r="W32" s="49"/>
      <c r="AB32" s="48"/>
      <c r="AC32" s="48"/>
      <c r="AD32" s="48"/>
      <c r="AE32" s="48"/>
      <c r="AF32" s="48"/>
      <c r="AG32" s="48"/>
    </row>
    <row r="33" spans="1:33" ht="18" x14ac:dyDescent="0.35">
      <c r="A33" s="117"/>
      <c r="B33" s="415" t="s">
        <v>272</v>
      </c>
      <c r="C33" s="535">
        <v>0.18</v>
      </c>
      <c r="D33" s="535">
        <v>0.18</v>
      </c>
      <c r="E33" s="535">
        <v>0.18</v>
      </c>
      <c r="F33" s="535">
        <v>0.12</v>
      </c>
      <c r="G33" s="536"/>
      <c r="H33" s="48"/>
      <c r="I33" s="48"/>
      <c r="J33" s="48"/>
      <c r="K33" s="48"/>
      <c r="L33" s="48"/>
      <c r="M33" s="48"/>
      <c r="N33" s="48"/>
      <c r="O33" s="48"/>
      <c r="P33" s="2"/>
      <c r="Q33" s="2"/>
      <c r="R33" s="2"/>
      <c r="S33" s="52"/>
      <c r="T33" s="52"/>
      <c r="U33" s="48"/>
      <c r="W33" s="49"/>
      <c r="AB33" s="48"/>
      <c r="AC33" s="48"/>
      <c r="AD33" s="48"/>
      <c r="AE33" s="48"/>
      <c r="AF33" s="48"/>
      <c r="AG33" s="48"/>
    </row>
    <row r="34" spans="1:33" ht="18" x14ac:dyDescent="0.35">
      <c r="A34" s="117"/>
      <c r="B34" s="415" t="s">
        <v>273</v>
      </c>
      <c r="C34" s="535">
        <v>0.2</v>
      </c>
      <c r="D34" s="535">
        <v>0.2</v>
      </c>
      <c r="E34" s="535">
        <v>0.2</v>
      </c>
      <c r="F34" s="535">
        <v>0.17499999999999999</v>
      </c>
      <c r="G34" s="536"/>
      <c r="H34" s="48"/>
      <c r="I34" s="48"/>
      <c r="J34" s="48"/>
      <c r="K34" s="48"/>
      <c r="L34" s="48"/>
      <c r="M34" s="48"/>
      <c r="N34" s="48"/>
      <c r="O34" s="48"/>
      <c r="P34" s="2"/>
      <c r="Q34" s="2"/>
      <c r="R34" s="2"/>
      <c r="S34" s="2"/>
      <c r="T34" s="48"/>
      <c r="U34" s="48"/>
      <c r="AB34" s="48"/>
      <c r="AC34" s="48"/>
      <c r="AD34" s="48"/>
      <c r="AE34" s="48"/>
      <c r="AF34" s="48"/>
      <c r="AG34" s="48"/>
    </row>
    <row r="35" spans="1:33" x14ac:dyDescent="0.3">
      <c r="A35" s="48"/>
      <c r="B35" s="415" t="s">
        <v>274</v>
      </c>
      <c r="C35" s="535">
        <v>0.2</v>
      </c>
      <c r="D35" s="535">
        <v>0.2</v>
      </c>
      <c r="E35" s="535">
        <v>0.2</v>
      </c>
      <c r="F35" s="535">
        <v>0.02</v>
      </c>
      <c r="G35" s="536"/>
      <c r="H35" s="109"/>
      <c r="I35" s="48"/>
      <c r="J35" s="48"/>
      <c r="K35" s="48"/>
      <c r="L35" s="48"/>
      <c r="M35" s="48"/>
      <c r="N35" s="48"/>
      <c r="O35" s="48"/>
      <c r="P35" s="2"/>
      <c r="Q35" s="2"/>
      <c r="R35" s="2"/>
      <c r="S35" s="52"/>
      <c r="T35" s="48"/>
      <c r="U35" s="48"/>
      <c r="AB35" s="48"/>
      <c r="AC35" s="48"/>
      <c r="AD35" s="48"/>
      <c r="AE35" s="48"/>
      <c r="AF35" s="48"/>
      <c r="AG35" s="48"/>
    </row>
    <row r="36" spans="1:33" x14ac:dyDescent="0.3">
      <c r="A36" s="48"/>
      <c r="B36" s="415" t="s">
        <v>281</v>
      </c>
      <c r="C36" s="535">
        <v>0.3</v>
      </c>
      <c r="D36" s="535">
        <v>0.86</v>
      </c>
      <c r="E36" s="535">
        <v>0.95</v>
      </c>
      <c r="F36" s="535">
        <v>0.8</v>
      </c>
      <c r="G36" s="536"/>
      <c r="H36" s="109"/>
      <c r="I36" s="48"/>
      <c r="J36" s="48"/>
      <c r="K36" s="48"/>
      <c r="L36" s="48"/>
      <c r="M36" s="48"/>
      <c r="N36" s="48"/>
      <c r="O36" s="48"/>
      <c r="P36" s="2"/>
      <c r="Q36" s="2"/>
      <c r="R36" s="2"/>
      <c r="S36" s="2"/>
      <c r="T36" s="48"/>
      <c r="U36" s="48"/>
      <c r="AB36" s="48"/>
      <c r="AC36" s="48"/>
      <c r="AD36" s="48"/>
      <c r="AE36" s="48"/>
      <c r="AF36" s="48"/>
      <c r="AG36" s="48"/>
    </row>
    <row r="37" spans="1:33" x14ac:dyDescent="0.3">
      <c r="A37" s="48"/>
      <c r="B37" s="415" t="s">
        <v>278</v>
      </c>
      <c r="C37" s="535">
        <v>30</v>
      </c>
      <c r="D37" s="535">
        <v>20.7</v>
      </c>
      <c r="E37" s="535">
        <v>0.8</v>
      </c>
      <c r="F37" s="535">
        <v>37</v>
      </c>
      <c r="G37" s="536"/>
      <c r="H37" s="109"/>
      <c r="I37" s="48"/>
      <c r="J37" s="48"/>
      <c r="K37" s="48"/>
      <c r="L37" s="48"/>
      <c r="M37" s="48"/>
      <c r="N37" s="48"/>
      <c r="O37" s="48"/>
      <c r="P37" s="2"/>
      <c r="Q37" s="2"/>
      <c r="R37" s="2"/>
      <c r="S37" s="2"/>
      <c r="T37" s="48"/>
      <c r="U37" s="48"/>
      <c r="AB37" s="48"/>
      <c r="AC37" s="48"/>
      <c r="AD37" s="48"/>
      <c r="AE37" s="48"/>
      <c r="AF37" s="48"/>
      <c r="AG37" s="48"/>
    </row>
    <row r="38" spans="1:33" x14ac:dyDescent="0.3">
      <c r="A38" s="48"/>
      <c r="B38" s="415" t="s">
        <v>279</v>
      </c>
      <c r="C38" s="535">
        <v>655</v>
      </c>
      <c r="D38" s="535">
        <v>655</v>
      </c>
      <c r="E38" s="535">
        <v>655</v>
      </c>
      <c r="F38" s="535">
        <v>659</v>
      </c>
      <c r="G38" s="536"/>
      <c r="H38" s="48"/>
      <c r="I38" s="48"/>
      <c r="J38" s="48"/>
      <c r="K38" s="48"/>
      <c r="L38" s="48"/>
      <c r="M38" s="48"/>
      <c r="N38" s="48"/>
      <c r="O38" s="48"/>
      <c r="P38" s="2"/>
      <c r="Q38" s="2"/>
      <c r="R38" s="2"/>
      <c r="S38" s="2"/>
      <c r="T38" s="48"/>
      <c r="U38" s="48"/>
      <c r="AB38" s="48"/>
      <c r="AC38" s="48"/>
      <c r="AD38" s="48"/>
      <c r="AE38" s="48"/>
      <c r="AF38" s="48"/>
      <c r="AG38" s="48"/>
    </row>
    <row r="39" spans="1:33" x14ac:dyDescent="0.3">
      <c r="A39" s="48"/>
      <c r="B39" s="415" t="s">
        <v>280</v>
      </c>
      <c r="C39" s="535">
        <v>0.37</v>
      </c>
      <c r="D39" s="535">
        <v>0.36770000000000003</v>
      </c>
      <c r="E39" s="535">
        <v>0.36770000000000003</v>
      </c>
      <c r="F39" s="535">
        <v>0.1145</v>
      </c>
      <c r="G39" s="536"/>
      <c r="H39" s="118"/>
      <c r="I39" s="48"/>
      <c r="J39" s="48"/>
      <c r="K39" s="48"/>
      <c r="L39" s="48"/>
      <c r="M39" s="48"/>
      <c r="N39" s="48"/>
      <c r="O39" s="48"/>
      <c r="P39" s="2"/>
      <c r="Q39" s="2"/>
      <c r="R39" s="2"/>
      <c r="S39" s="52"/>
      <c r="T39" s="48"/>
      <c r="U39" s="48"/>
      <c r="AB39" s="48"/>
      <c r="AC39" s="48"/>
      <c r="AD39" s="48"/>
      <c r="AE39" s="48"/>
      <c r="AF39" s="48"/>
      <c r="AG39" s="48"/>
    </row>
    <row r="40" spans="1:33" x14ac:dyDescent="0.3">
      <c r="A40" s="48"/>
      <c r="B40" s="415" t="s">
        <v>304</v>
      </c>
      <c r="C40" s="535">
        <v>1200000</v>
      </c>
      <c r="D40" s="535">
        <v>800000</v>
      </c>
      <c r="E40" s="535">
        <v>800000</v>
      </c>
      <c r="F40" s="535"/>
      <c r="G40" s="536"/>
      <c r="H40" s="72"/>
      <c r="I40" s="48"/>
      <c r="J40" s="48"/>
      <c r="K40" s="48"/>
      <c r="L40" s="48"/>
      <c r="M40" s="48"/>
      <c r="N40" s="48"/>
      <c r="O40" s="48"/>
      <c r="P40" s="2"/>
      <c r="Q40" s="2"/>
      <c r="R40" s="2"/>
      <c r="S40" s="52"/>
      <c r="T40" s="48"/>
      <c r="U40" s="48"/>
      <c r="AB40" s="48"/>
      <c r="AC40" s="48"/>
      <c r="AD40" s="48"/>
      <c r="AE40" s="48"/>
      <c r="AF40" s="48"/>
      <c r="AG40" s="48"/>
    </row>
    <row r="41" spans="1:33" ht="15" thickBot="1" x14ac:dyDescent="0.35">
      <c r="A41" s="48"/>
      <c r="B41" s="415" t="s">
        <v>349</v>
      </c>
      <c r="C41" s="535">
        <v>0.3</v>
      </c>
      <c r="D41" s="535">
        <v>0.3</v>
      </c>
      <c r="E41" s="535">
        <v>0.3</v>
      </c>
      <c r="F41" s="535"/>
      <c r="G41" s="536"/>
      <c r="H41" s="108"/>
      <c r="I41" s="48"/>
      <c r="J41" s="48"/>
      <c r="K41" s="48"/>
      <c r="L41" s="48"/>
      <c r="M41" s="48"/>
      <c r="N41" s="48"/>
      <c r="O41" s="48"/>
      <c r="P41" s="72"/>
      <c r="Q41" s="72"/>
      <c r="R41" s="72"/>
      <c r="S41" s="337"/>
      <c r="T41" s="48"/>
      <c r="U41" s="48"/>
      <c r="AA41" s="48"/>
      <c r="AB41" s="48"/>
      <c r="AC41" s="48"/>
      <c r="AD41" s="48"/>
      <c r="AE41" s="48"/>
      <c r="AF41" s="48"/>
      <c r="AG41" s="48"/>
    </row>
    <row r="42" spans="1:33" x14ac:dyDescent="0.3">
      <c r="A42" s="48"/>
      <c r="B42" s="503" t="s">
        <v>288</v>
      </c>
      <c r="C42" s="414"/>
      <c r="D42" s="414"/>
      <c r="E42" s="414"/>
      <c r="F42" s="414"/>
      <c r="G42" s="509"/>
      <c r="H42" s="108"/>
      <c r="I42" s="48"/>
      <c r="J42" s="48"/>
      <c r="K42" s="48"/>
      <c r="L42" s="48"/>
      <c r="M42" s="48"/>
      <c r="N42" s="48"/>
      <c r="O42" s="48"/>
      <c r="P42" s="2"/>
      <c r="Q42" s="2"/>
      <c r="R42" s="2"/>
      <c r="S42" s="2"/>
      <c r="T42" s="48"/>
      <c r="U42" s="48"/>
      <c r="AA42" s="48"/>
      <c r="AB42" s="48"/>
      <c r="AC42" s="48"/>
      <c r="AD42" s="48"/>
      <c r="AE42" s="48"/>
      <c r="AF42" s="48"/>
      <c r="AG42" s="48"/>
    </row>
    <row r="43" spans="1:33" x14ac:dyDescent="0.3">
      <c r="A43" s="48"/>
      <c r="B43" s="415" t="s">
        <v>283</v>
      </c>
      <c r="C43" s="421">
        <f t="shared" ref="C43:F43" si="0">C28*C31</f>
        <v>103904931.40000001</v>
      </c>
      <c r="D43" s="421">
        <f t="shared" si="0"/>
        <v>60148135.649999999</v>
      </c>
      <c r="E43" s="421">
        <f>E28*E31</f>
        <v>101700</v>
      </c>
      <c r="F43" s="421">
        <f t="shared" si="0"/>
        <v>46004627.400000006</v>
      </c>
      <c r="G43" s="510"/>
      <c r="H43" s="107"/>
      <c r="I43" s="48"/>
      <c r="J43" s="48"/>
      <c r="K43" s="48"/>
      <c r="L43" s="48"/>
      <c r="M43" s="48"/>
      <c r="N43" s="48"/>
      <c r="O43" s="48"/>
      <c r="P43" s="49"/>
      <c r="Q43" s="49"/>
      <c r="R43" s="49"/>
      <c r="S43" s="49"/>
      <c r="T43" s="48"/>
      <c r="U43" s="48"/>
      <c r="AA43" s="48"/>
      <c r="AB43" s="48"/>
      <c r="AC43" s="48"/>
      <c r="AD43" s="48"/>
    </row>
    <row r="44" spans="1:33" x14ac:dyDescent="0.3">
      <c r="A44" s="48"/>
      <c r="B44" s="415" t="s">
        <v>284</v>
      </c>
      <c r="C44" s="421">
        <f>(C28-C43)/C30</f>
        <v>69269954.266666666</v>
      </c>
      <c r="D44" s="421">
        <f>(D28-D43)/D30</f>
        <v>51284199.869999997</v>
      </c>
      <c r="E44" s="511">
        <f>(E28-E43)/E30</f>
        <v>457650</v>
      </c>
      <c r="F44" s="421">
        <f>(F28-F43)/F30</f>
        <v>46004627.399999999</v>
      </c>
      <c r="G44" s="512"/>
      <c r="H44" s="132"/>
      <c r="I44" s="48"/>
      <c r="J44" s="48"/>
      <c r="K44" s="48"/>
      <c r="L44" s="48"/>
      <c r="M44" s="48"/>
      <c r="N44" s="48"/>
      <c r="O44" s="48"/>
      <c r="P44" s="48"/>
      <c r="Q44" s="48"/>
      <c r="R44" s="2"/>
      <c r="S44" s="2"/>
      <c r="T44" s="48"/>
      <c r="U44" s="48"/>
      <c r="AA44" s="48"/>
      <c r="AB44" s="48"/>
      <c r="AC44" s="48"/>
      <c r="AD44" s="48"/>
    </row>
    <row r="45" spans="1:33" x14ac:dyDescent="0.3">
      <c r="A45" s="48"/>
      <c r="B45" s="415" t="s">
        <v>285</v>
      </c>
      <c r="C45" s="421">
        <f>((((C28-C43)*(C30+1))/(2*C30))+C43)</f>
        <v>346349771.33333337</v>
      </c>
      <c r="D45" s="421">
        <f>((((D28-D43)*(D30+1))/(2*D30))+D43)</f>
        <v>214000735.25999999</v>
      </c>
      <c r="E45" s="511">
        <f>((((E28-E43)*(E30+1))/(2*E30))+E43)</f>
        <v>788175</v>
      </c>
      <c r="F45" s="421">
        <f>((((F28-F43)*(F30+1))/(2*F30))+F43)</f>
        <v>161016195.90000001</v>
      </c>
      <c r="G45" s="512"/>
      <c r="H45" s="132"/>
      <c r="I45" s="48"/>
      <c r="J45" s="48"/>
      <c r="K45" s="48"/>
      <c r="L45" s="48"/>
      <c r="M45" s="48"/>
      <c r="N45" s="48"/>
      <c r="O45" s="48"/>
      <c r="P45" s="2"/>
      <c r="Q45" s="2"/>
      <c r="R45" s="2"/>
      <c r="S45" s="52"/>
      <c r="T45" s="48"/>
      <c r="U45" s="48"/>
      <c r="AA45" s="48"/>
      <c r="AB45" s="48"/>
      <c r="AC45" s="48"/>
      <c r="AD45" s="48"/>
    </row>
    <row r="46" spans="1:33" ht="15" thickBot="1" x14ac:dyDescent="0.35">
      <c r="A46" s="48"/>
      <c r="B46" s="416" t="s">
        <v>286</v>
      </c>
      <c r="C46" s="422">
        <f>'m1 Fac_oper'!$C$27*C32</f>
        <v>2880</v>
      </c>
      <c r="D46" s="422">
        <f>'m1 Fac_oper'!$C$27*D32</f>
        <v>2232</v>
      </c>
      <c r="E46" s="422">
        <f>'m1 Fac_oper'!$C$27*E32</f>
        <v>2040.12</v>
      </c>
      <c r="F46" s="422">
        <f>'m1 Fac_oper'!$C$27*F32</f>
        <v>2556</v>
      </c>
      <c r="G46" s="513"/>
      <c r="H46" s="48"/>
      <c r="I46" s="48"/>
      <c r="J46" s="48"/>
      <c r="K46" s="48"/>
      <c r="L46" s="48"/>
      <c r="M46" s="48"/>
      <c r="N46" s="48"/>
      <c r="O46" s="48"/>
      <c r="P46" s="49"/>
      <c r="Q46" s="2"/>
      <c r="R46" s="2"/>
      <c r="S46" s="2"/>
      <c r="T46" s="48"/>
      <c r="U46" s="48"/>
      <c r="AA46" s="48"/>
      <c r="AB46" s="48"/>
      <c r="AC46" s="48"/>
      <c r="AD46" s="48"/>
    </row>
    <row r="47" spans="1:33" x14ac:dyDescent="0.3">
      <c r="A47" s="48"/>
      <c r="B47" s="503" t="s">
        <v>275</v>
      </c>
      <c r="C47" s="423"/>
      <c r="D47" s="423"/>
      <c r="E47" s="423"/>
      <c r="F47" s="423"/>
      <c r="G47" s="514"/>
      <c r="H47" s="48"/>
      <c r="I47" s="48"/>
      <c r="J47" s="48"/>
      <c r="K47" s="48"/>
      <c r="L47" s="48"/>
      <c r="M47" s="48"/>
      <c r="N47" s="48"/>
      <c r="O47" s="48"/>
      <c r="P47" s="2"/>
      <c r="Q47" s="2"/>
      <c r="R47" s="2"/>
      <c r="S47" s="52"/>
      <c r="T47" s="48"/>
      <c r="U47" s="48"/>
      <c r="AA47" s="48"/>
      <c r="AB47" s="48"/>
      <c r="AC47" s="48"/>
      <c r="AD47" s="48"/>
    </row>
    <row r="48" spans="1:33" x14ac:dyDescent="0.3">
      <c r="A48" s="48"/>
      <c r="B48" s="415" t="s">
        <v>302</v>
      </c>
      <c r="C48" s="421">
        <f>C45*(C33+C35+C34)</f>
        <v>200882867.37333339</v>
      </c>
      <c r="D48" s="421">
        <f>D45*(D33+D35+D34)</f>
        <v>124120426.45080002</v>
      </c>
      <c r="E48" s="421">
        <f>D45*(E33+E35+E34)</f>
        <v>124120426.45080002</v>
      </c>
      <c r="F48" s="424">
        <f>F45*(F33+F35+F34)</f>
        <v>50720101.70849999</v>
      </c>
      <c r="G48" s="510"/>
      <c r="H48" s="48"/>
      <c r="I48" s="107"/>
      <c r="J48" s="107"/>
      <c r="K48" s="107"/>
      <c r="L48" s="107"/>
      <c r="M48" s="107"/>
      <c r="N48" s="107"/>
      <c r="O48" s="48"/>
      <c r="P48" s="49"/>
      <c r="Q48" s="49"/>
      <c r="R48" s="49"/>
      <c r="S48" s="53"/>
      <c r="T48" s="48"/>
      <c r="U48" s="48"/>
      <c r="AA48" s="48"/>
      <c r="AB48" s="48"/>
      <c r="AC48" s="48"/>
      <c r="AD48" s="48"/>
    </row>
    <row r="49" spans="1:30" x14ac:dyDescent="0.3">
      <c r="A49" s="48"/>
      <c r="B49" s="415" t="s">
        <v>293</v>
      </c>
      <c r="C49" s="421">
        <f>C48+C44</f>
        <v>270152821.64000005</v>
      </c>
      <c r="D49" s="421">
        <f>D48+D44</f>
        <v>175404626.32080001</v>
      </c>
      <c r="E49" s="421">
        <f>E48+E44</f>
        <v>124578076.45080002</v>
      </c>
      <c r="F49" s="424">
        <f>F48+F44</f>
        <v>96724729.108499989</v>
      </c>
      <c r="G49" s="510"/>
      <c r="H49" s="48"/>
      <c r="I49" s="48"/>
      <c r="J49" s="48"/>
      <c r="K49" s="48"/>
      <c r="L49" s="48"/>
      <c r="M49" s="48"/>
      <c r="N49" s="114"/>
      <c r="O49" s="48"/>
      <c r="P49" s="72"/>
      <c r="Q49" s="48"/>
      <c r="R49" s="48"/>
      <c r="S49" s="48"/>
      <c r="T49" s="48"/>
      <c r="U49" s="48"/>
      <c r="AA49" s="48"/>
      <c r="AB49" s="48"/>
      <c r="AC49" s="48"/>
      <c r="AD49" s="48"/>
    </row>
    <row r="50" spans="1:30" x14ac:dyDescent="0.3">
      <c r="A50" s="48"/>
      <c r="B50" s="415" t="s">
        <v>367</v>
      </c>
      <c r="C50" s="421">
        <f>C49/C46</f>
        <v>93803.063069444455</v>
      </c>
      <c r="D50" s="421">
        <f>D49/D46</f>
        <v>78586.302115053768</v>
      </c>
      <c r="E50" s="421">
        <f>$E$49/E46</f>
        <v>61064.092529262998</v>
      </c>
      <c r="F50" s="424">
        <f>$F$49/F46</f>
        <v>37842.225785798117</v>
      </c>
      <c r="G50" s="512"/>
      <c r="H50" s="48"/>
      <c r="I50" s="48"/>
      <c r="J50" s="48"/>
      <c r="K50" s="48"/>
      <c r="L50" s="48"/>
      <c r="M50" s="48"/>
      <c r="N50" s="114"/>
      <c r="O50" s="48"/>
      <c r="P50" s="49"/>
      <c r="Q50" s="49"/>
      <c r="R50" s="49"/>
      <c r="S50" s="49"/>
      <c r="T50" s="48"/>
      <c r="U50" s="48"/>
      <c r="AA50" s="48"/>
      <c r="AB50" s="48"/>
      <c r="AC50" s="48"/>
      <c r="AD50" s="48"/>
    </row>
    <row r="51" spans="1:30" ht="15" thickBot="1" x14ac:dyDescent="0.35">
      <c r="A51" s="48"/>
      <c r="B51" s="416" t="s">
        <v>368</v>
      </c>
      <c r="C51" s="515">
        <f>C49/'m1 Fac_oper'!$C$27</f>
        <v>75042.450455555561</v>
      </c>
      <c r="D51" s="515">
        <f>D49/'m1 Fac_oper'!$C$27</f>
        <v>48723.507311333335</v>
      </c>
      <c r="E51" s="422">
        <f>E49/'m1 Fac_oper'!$C$27</f>
        <v>34605.021236333341</v>
      </c>
      <c r="F51" s="559">
        <f>F49/'m1 Fac_oper'!$C$27</f>
        <v>26867.980307916663</v>
      </c>
      <c r="G51" s="513"/>
      <c r="H51" s="48"/>
      <c r="I51" s="48"/>
      <c r="J51" s="48"/>
      <c r="K51" s="48"/>
      <c r="L51" s="48"/>
      <c r="M51" s="48"/>
      <c r="N51" s="114"/>
      <c r="O51" s="48"/>
      <c r="P51" s="49"/>
      <c r="Q51" s="49"/>
      <c r="R51" s="49"/>
      <c r="S51" s="49"/>
      <c r="T51" s="48"/>
      <c r="U51" s="48"/>
      <c r="AA51" s="48"/>
      <c r="AB51" s="48"/>
      <c r="AC51" s="48"/>
    </row>
    <row r="52" spans="1:30" x14ac:dyDescent="0.3">
      <c r="A52" s="48"/>
      <c r="B52" s="503" t="s">
        <v>379</v>
      </c>
      <c r="C52" s="423"/>
      <c r="D52" s="423"/>
      <c r="E52" s="423"/>
      <c r="F52" s="425"/>
      <c r="G52" s="514"/>
      <c r="H52" s="48"/>
      <c r="I52" s="182"/>
      <c r="J52" s="48"/>
      <c r="K52" s="48"/>
      <c r="L52" s="48"/>
      <c r="M52" s="48"/>
      <c r="N52" s="114"/>
      <c r="O52" s="48"/>
      <c r="P52" s="2"/>
      <c r="Q52" s="2"/>
      <c r="R52" s="49"/>
      <c r="S52" s="53"/>
      <c r="T52" s="48"/>
      <c r="U52" s="48"/>
      <c r="AA52" s="48"/>
      <c r="AB52" s="48"/>
      <c r="AC52" s="48"/>
    </row>
    <row r="53" spans="1:30" x14ac:dyDescent="0.3">
      <c r="A53" s="48"/>
      <c r="B53" s="415" t="s">
        <v>292</v>
      </c>
      <c r="C53" s="421">
        <f t="shared" ref="C53:F53" si="1">C37*C38</f>
        <v>19650</v>
      </c>
      <c r="D53" s="421">
        <f t="shared" si="1"/>
        <v>13558.5</v>
      </c>
      <c r="E53" s="421">
        <f t="shared" si="1"/>
        <v>524</v>
      </c>
      <c r="F53" s="424">
        <f t="shared" si="1"/>
        <v>24383</v>
      </c>
      <c r="G53" s="510"/>
      <c r="H53" s="48"/>
      <c r="I53" s="182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AA53" s="48"/>
      <c r="AB53" s="48"/>
      <c r="AC53" s="48"/>
    </row>
    <row r="54" spans="1:30" x14ac:dyDescent="0.3">
      <c r="A54" s="48"/>
      <c r="B54" s="415" t="s">
        <v>294</v>
      </c>
      <c r="C54" s="421">
        <f t="shared" ref="C54:F54" si="2">C53*C39</f>
        <v>7270.5</v>
      </c>
      <c r="D54" s="421">
        <f t="shared" si="2"/>
        <v>4985.4604500000005</v>
      </c>
      <c r="E54" s="421">
        <f t="shared" si="2"/>
        <v>192.6748</v>
      </c>
      <c r="F54" s="424">
        <f t="shared" si="2"/>
        <v>2791.8535000000002</v>
      </c>
      <c r="G54" s="510"/>
      <c r="H54" s="48"/>
      <c r="I54" s="182"/>
      <c r="J54" s="182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AA54" s="48"/>
      <c r="AB54" s="48"/>
      <c r="AC54" s="48"/>
    </row>
    <row r="55" spans="1:30" x14ac:dyDescent="0.3">
      <c r="A55" s="48"/>
      <c r="B55" s="415" t="s">
        <v>295</v>
      </c>
      <c r="C55" s="424">
        <f>(C44*C36)/C46</f>
        <v>7215.62023611111</v>
      </c>
      <c r="D55" s="424">
        <f>(D44*D36)/D46</f>
        <v>19760.041168548389</v>
      </c>
      <c r="E55" s="424">
        <f>(E44*E36)/E46</f>
        <v>213.10878771836951</v>
      </c>
      <c r="F55" s="424">
        <f>(F44*F36)/F46</f>
        <v>14398.94441314554</v>
      </c>
      <c r="G55" s="510"/>
      <c r="H55" s="48"/>
      <c r="I55" s="48"/>
      <c r="J55" s="48"/>
      <c r="K55" s="48"/>
      <c r="L55" s="48"/>
      <c r="M55" s="48"/>
      <c r="N55" s="114"/>
      <c r="O55" s="48"/>
      <c r="P55" s="48"/>
      <c r="Q55" s="48"/>
      <c r="R55" s="48"/>
      <c r="S55" s="48"/>
      <c r="T55" s="48"/>
      <c r="U55" s="48"/>
      <c r="AA55" s="48"/>
      <c r="AB55" s="48"/>
      <c r="AC55" s="48"/>
    </row>
    <row r="56" spans="1:30" x14ac:dyDescent="0.3">
      <c r="A56" s="48"/>
      <c r="B56" s="415" t="s">
        <v>299</v>
      </c>
      <c r="C56" s="421">
        <f>SUM(C53:C55)</f>
        <v>34136.120236111106</v>
      </c>
      <c r="D56" s="421">
        <f>SUM(D53:D55)</f>
        <v>38304.001618548384</v>
      </c>
      <c r="E56" s="421">
        <f>SUM(E53:E55)</f>
        <v>929.78358771836952</v>
      </c>
      <c r="F56" s="424">
        <f>SUM(F53:F55)</f>
        <v>41573.797913145543</v>
      </c>
      <c r="G56" s="510"/>
      <c r="H56" s="48"/>
      <c r="I56" s="48"/>
      <c r="J56" s="48"/>
      <c r="K56" s="48"/>
      <c r="L56" s="48"/>
      <c r="M56" s="48"/>
      <c r="N56" s="114"/>
      <c r="O56" s="48"/>
      <c r="P56" s="48"/>
      <c r="Q56" s="48"/>
      <c r="R56" s="48"/>
      <c r="S56" s="48"/>
      <c r="T56" s="48"/>
      <c r="U56" s="48"/>
      <c r="AA56" s="48"/>
      <c r="AB56" s="48"/>
      <c r="AC56" s="48"/>
    </row>
    <row r="57" spans="1:30" ht="15" thickBot="1" x14ac:dyDescent="0.35">
      <c r="A57" s="48"/>
      <c r="B57" s="416" t="s">
        <v>300</v>
      </c>
      <c r="C57" s="515">
        <f t="shared" ref="C57:F57" si="3">C56*C32</f>
        <v>27308.896188888888</v>
      </c>
      <c r="D57" s="515">
        <f t="shared" si="3"/>
        <v>23748.481003499997</v>
      </c>
      <c r="E57" s="422">
        <f t="shared" si="3"/>
        <v>526.90835916000003</v>
      </c>
      <c r="F57" s="559">
        <f t="shared" si="3"/>
        <v>29517.396518333335</v>
      </c>
      <c r="G57" s="513"/>
      <c r="H57" s="48"/>
      <c r="I57" s="48"/>
      <c r="J57" s="48"/>
      <c r="K57" s="48"/>
      <c r="L57" s="48"/>
      <c r="M57" s="48"/>
      <c r="N57" s="114"/>
      <c r="O57" s="48"/>
      <c r="P57" s="48"/>
      <c r="Q57" s="48"/>
      <c r="R57" s="48"/>
      <c r="S57" s="48"/>
      <c r="T57" s="48"/>
      <c r="U57" s="48"/>
      <c r="AA57" s="48"/>
      <c r="AB57" s="48"/>
      <c r="AC57" s="48"/>
    </row>
    <row r="58" spans="1:30" x14ac:dyDescent="0.3">
      <c r="A58" s="48"/>
      <c r="B58" s="503" t="s">
        <v>296</v>
      </c>
      <c r="C58" s="423"/>
      <c r="D58" s="423"/>
      <c r="E58" s="423"/>
      <c r="F58" s="423"/>
      <c r="G58" s="514"/>
      <c r="H58" s="48"/>
      <c r="I58" s="48"/>
      <c r="J58" s="48"/>
      <c r="K58" s="48"/>
      <c r="L58" s="48"/>
      <c r="M58" s="48"/>
      <c r="N58" s="114"/>
      <c r="O58" s="48"/>
      <c r="P58" s="48"/>
      <c r="Q58" s="48"/>
      <c r="R58" s="48"/>
      <c r="S58" s="48"/>
      <c r="T58" s="48"/>
      <c r="U58" s="48"/>
      <c r="AA58" s="48"/>
      <c r="AB58" s="48"/>
      <c r="AC58" s="48"/>
    </row>
    <row r="59" spans="1:30" x14ac:dyDescent="0.3">
      <c r="A59" s="48"/>
      <c r="B59" s="415" t="s">
        <v>301</v>
      </c>
      <c r="C59" s="426">
        <f>C60/C32</f>
        <v>5000.0012500000003</v>
      </c>
      <c r="D59" s="426">
        <f>D60/D32</f>
        <v>4301.0768817204298</v>
      </c>
      <c r="E59" s="426">
        <f>E60/E32</f>
        <v>4705.6073172166343</v>
      </c>
      <c r="F59" s="426">
        <f>F60/F32</f>
        <v>9020.352112676057</v>
      </c>
      <c r="G59" s="516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AA59" s="48"/>
      <c r="AB59" s="48"/>
      <c r="AC59" s="48"/>
    </row>
    <row r="60" spans="1:30" ht="15" thickBot="1" x14ac:dyDescent="0.35">
      <c r="A60" s="48"/>
      <c r="B60" s="416" t="s">
        <v>298</v>
      </c>
      <c r="C60" s="427">
        <f>((C40+(1*C41)))/'m1 Fac_oper'!$C$26</f>
        <v>4000.0010000000002</v>
      </c>
      <c r="D60" s="427">
        <f>((D40+(1*D41)))/'m1 Fac_oper'!$C$26</f>
        <v>2666.6676666666667</v>
      </c>
      <c r="E60" s="427">
        <f>((E40+(1*E41)))/'m1 Fac_oper'!$C$26</f>
        <v>2666.6676666666667</v>
      </c>
      <c r="F60" s="427">
        <v>6404.45</v>
      </c>
      <c r="G60" s="517"/>
      <c r="H60" s="48"/>
      <c r="I60" s="107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AA60" s="48"/>
      <c r="AB60" s="48"/>
      <c r="AC60" s="48"/>
    </row>
    <row r="61" spans="1:30" x14ac:dyDescent="0.3">
      <c r="A61" s="48"/>
      <c r="B61" s="48"/>
      <c r="C61" s="49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AA61" s="48"/>
      <c r="AB61" s="48"/>
      <c r="AC61" s="48"/>
    </row>
    <row r="62" spans="1:30" x14ac:dyDescent="0.3">
      <c r="A62" s="48"/>
      <c r="B62" s="48"/>
      <c r="C62" s="49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114"/>
      <c r="P62" s="113"/>
      <c r="Q62" s="48"/>
      <c r="R62" s="48"/>
      <c r="S62" s="48"/>
      <c r="T62" s="48"/>
      <c r="U62" s="48"/>
      <c r="AA62" s="48"/>
      <c r="AB62" s="48"/>
      <c r="AC62" s="48"/>
      <c r="AD62" s="48"/>
    </row>
    <row r="63" spans="1:30" x14ac:dyDescent="0.3">
      <c r="A63" s="48"/>
      <c r="B63" s="48"/>
      <c r="C63" s="49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9"/>
      <c r="Q63" s="48"/>
      <c r="R63" s="48"/>
      <c r="S63" s="48"/>
      <c r="T63" s="48"/>
      <c r="U63" s="48"/>
      <c r="AA63" s="48"/>
      <c r="AB63" s="48"/>
      <c r="AC63" s="48"/>
      <c r="AD63" s="48"/>
    </row>
    <row r="64" spans="1:30" x14ac:dyDescent="0.3">
      <c r="A64" s="48"/>
      <c r="B64" s="48"/>
      <c r="C64" s="49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114"/>
      <c r="P64" s="48"/>
      <c r="Q64" s="48"/>
      <c r="R64" s="48"/>
      <c r="S64" s="48"/>
      <c r="T64" s="48"/>
      <c r="U64" s="48"/>
      <c r="AA64" s="48"/>
      <c r="AB64" s="48"/>
      <c r="AC64" s="48"/>
    </row>
    <row r="65" spans="1:29" hidden="1" x14ac:dyDescent="0.3">
      <c r="A65" s="48"/>
      <c r="B65" s="48"/>
      <c r="C65" s="49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114"/>
      <c r="P65" s="48"/>
      <c r="Q65" s="48"/>
      <c r="R65" s="48"/>
      <c r="S65" s="48"/>
      <c r="T65" s="48"/>
      <c r="U65" s="48"/>
      <c r="AA65" s="48"/>
      <c r="AB65" s="48"/>
      <c r="AC65" s="48"/>
    </row>
    <row r="66" spans="1:29" hidden="1" x14ac:dyDescent="0.3">
      <c r="A66" s="48"/>
      <c r="B66" s="48"/>
      <c r="C66" s="49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AA66" s="48"/>
      <c r="AB66" s="48"/>
      <c r="AC66" s="48"/>
    </row>
    <row r="67" spans="1:29" hidden="1" x14ac:dyDescent="0.3">
      <c r="A67" s="48"/>
      <c r="B67" s="48"/>
      <c r="C67" s="49"/>
      <c r="D67" s="48"/>
      <c r="E67" s="48"/>
      <c r="F67" s="48"/>
      <c r="G67" s="48"/>
      <c r="H67" s="48"/>
      <c r="I67" s="48"/>
      <c r="J67" s="49"/>
      <c r="K67" s="343"/>
      <c r="L67" s="311"/>
      <c r="M67" s="311"/>
      <c r="N67" s="112"/>
      <c r="O67" s="49"/>
      <c r="P67" s="48"/>
      <c r="Q67" s="48"/>
      <c r="R67" s="48"/>
      <c r="S67" s="48"/>
      <c r="T67" s="48"/>
      <c r="U67" s="48"/>
      <c r="AA67" s="48"/>
      <c r="AB67" s="48"/>
      <c r="AC67" s="48"/>
    </row>
    <row r="68" spans="1:29" hidden="1" x14ac:dyDescent="0.3">
      <c r="A68" s="48"/>
      <c r="B68" s="48"/>
      <c r="C68" s="49"/>
      <c r="D68" s="48"/>
      <c r="E68" s="48"/>
      <c r="F68" s="48"/>
      <c r="G68" s="48"/>
      <c r="H68" s="48"/>
      <c r="I68" s="48"/>
      <c r="J68" s="49"/>
      <c r="K68" s="344"/>
      <c r="L68" s="55"/>
      <c r="M68" s="55"/>
      <c r="N68" s="107"/>
      <c r="O68" s="114"/>
      <c r="P68" s="48"/>
      <c r="Q68" s="48"/>
      <c r="R68" s="48"/>
      <c r="S68" s="48"/>
      <c r="T68" s="48"/>
      <c r="U68" s="48"/>
      <c r="AA68" s="48"/>
      <c r="AB68" s="48"/>
      <c r="AC68" s="48"/>
    </row>
    <row r="69" spans="1:29" ht="15.6" hidden="1" x14ac:dyDescent="0.3">
      <c r="A69" s="48"/>
      <c r="B69" s="48"/>
      <c r="C69" s="49"/>
      <c r="D69" s="48"/>
      <c r="E69" s="48"/>
      <c r="F69" s="48"/>
      <c r="G69" s="48"/>
      <c r="H69" s="48"/>
      <c r="I69" s="48"/>
      <c r="J69" s="49"/>
      <c r="K69" s="501"/>
      <c r="L69" s="502"/>
      <c r="M69" s="502"/>
      <c r="N69" s="501"/>
      <c r="O69" s="114"/>
      <c r="P69" s="48"/>
      <c r="Q69" s="48"/>
      <c r="R69" s="48"/>
      <c r="S69" s="48"/>
      <c r="T69" s="48"/>
      <c r="U69" s="48"/>
      <c r="AA69" s="48"/>
      <c r="AB69" s="48"/>
      <c r="AC69" s="48"/>
    </row>
    <row r="70" spans="1:29" ht="15.6" hidden="1" x14ac:dyDescent="0.3">
      <c r="A70" s="48"/>
      <c r="B70" s="343"/>
      <c r="C70" s="343"/>
      <c r="D70" s="343"/>
      <c r="E70" s="48"/>
      <c r="F70" s="48"/>
      <c r="G70" s="48"/>
      <c r="H70" s="48"/>
      <c r="I70" s="48"/>
      <c r="J70" s="49"/>
      <c r="K70" s="367"/>
      <c r="L70" s="368"/>
      <c r="M70" s="368"/>
      <c r="N70" s="367"/>
      <c r="O70" s="49"/>
      <c r="P70" s="48"/>
      <c r="Q70" s="48"/>
      <c r="R70" s="48"/>
      <c r="S70" s="48"/>
      <c r="T70" s="48"/>
      <c r="U70" s="48"/>
      <c r="AA70" s="48"/>
      <c r="AB70" s="48"/>
      <c r="AC70" s="48"/>
    </row>
    <row r="71" spans="1:29" ht="15.6" hidden="1" x14ac:dyDescent="0.3">
      <c r="A71" s="48"/>
      <c r="B71" s="353"/>
      <c r="C71" s="344"/>
      <c r="D71" s="344"/>
      <c r="E71" s="48"/>
      <c r="F71" s="48"/>
      <c r="G71" s="48"/>
      <c r="H71" s="48"/>
      <c r="I71" s="48"/>
      <c r="J71" s="49"/>
      <c r="K71" s="504"/>
      <c r="L71" s="505"/>
      <c r="M71" s="505"/>
      <c r="N71" s="505"/>
      <c r="O71" s="49"/>
      <c r="P71" s="48"/>
      <c r="Q71" s="48"/>
      <c r="R71" s="48"/>
      <c r="S71" s="48"/>
      <c r="T71" s="48"/>
      <c r="U71" s="48"/>
      <c r="AA71" s="48"/>
      <c r="AB71" s="48"/>
      <c r="AC71" s="48"/>
    </row>
    <row r="72" spans="1:29" ht="15.6" hidden="1" x14ac:dyDescent="0.3">
      <c r="A72" s="48"/>
      <c r="B72" s="107"/>
      <c r="C72" s="48"/>
      <c r="D72" s="48"/>
      <c r="E72" s="49"/>
      <c r="F72" s="49"/>
      <c r="G72" s="49"/>
      <c r="H72" s="48"/>
      <c r="I72" s="48"/>
      <c r="J72" s="49"/>
      <c r="K72" s="369"/>
      <c r="L72" s="370"/>
      <c r="M72" s="370"/>
      <c r="N72" s="371"/>
      <c r="O72" s="49"/>
      <c r="P72" s="48"/>
      <c r="Q72" s="48"/>
      <c r="R72" s="48"/>
      <c r="S72" s="48"/>
      <c r="T72" s="48"/>
      <c r="U72" s="48"/>
      <c r="AA72" s="48"/>
      <c r="AB72" s="48"/>
      <c r="AC72" s="48"/>
    </row>
    <row r="73" spans="1:29" ht="15.6" hidden="1" x14ac:dyDescent="0.3">
      <c r="A73" s="48"/>
      <c r="B73" s="354"/>
      <c r="C73" s="67"/>
      <c r="D73" s="67"/>
      <c r="E73" s="49"/>
      <c r="F73" s="49"/>
      <c r="G73" s="49"/>
      <c r="H73" s="49"/>
      <c r="I73" s="48"/>
      <c r="J73" s="49"/>
      <c r="K73" s="372"/>
      <c r="L73" s="370"/>
      <c r="M73" s="370"/>
      <c r="N73" s="369"/>
      <c r="O73" s="49"/>
      <c r="P73" s="48"/>
      <c r="Q73" s="48"/>
      <c r="R73" s="48"/>
      <c r="S73" s="48"/>
      <c r="T73" s="48"/>
      <c r="U73" s="48"/>
      <c r="AA73" s="48"/>
      <c r="AB73" s="48"/>
      <c r="AC73" s="48"/>
    </row>
    <row r="74" spans="1:29" ht="15.6" hidden="1" x14ac:dyDescent="0.3">
      <c r="A74" s="48"/>
      <c r="B74" s="107"/>
      <c r="C74" s="48"/>
      <c r="D74" s="48"/>
      <c r="E74" s="48"/>
      <c r="F74" s="48"/>
      <c r="G74" s="49"/>
      <c r="H74" s="67"/>
      <c r="I74" s="48"/>
      <c r="J74" s="49"/>
      <c r="K74" s="369"/>
      <c r="L74" s="370"/>
      <c r="M74" s="370"/>
      <c r="N74" s="372"/>
      <c r="O74" s="49"/>
      <c r="P74" s="48"/>
      <c r="Q74" s="48"/>
      <c r="R74" s="48"/>
      <c r="S74" s="48"/>
      <c r="T74" s="48"/>
      <c r="U74" s="48"/>
      <c r="AA74" s="48"/>
      <c r="AB74" s="48"/>
      <c r="AC74" s="48"/>
    </row>
    <row r="75" spans="1:29" ht="15.6" hidden="1" x14ac:dyDescent="0.3">
      <c r="A75" s="48"/>
      <c r="B75" s="354"/>
      <c r="C75" s="232"/>
      <c r="D75" s="232"/>
      <c r="E75" s="48"/>
      <c r="F75" s="48"/>
      <c r="G75" s="49"/>
      <c r="H75" s="49"/>
      <c r="I75" s="48"/>
      <c r="J75" s="51"/>
      <c r="K75" s="369"/>
      <c r="L75" s="370"/>
      <c r="M75" s="370"/>
      <c r="N75" s="369"/>
      <c r="O75" s="49"/>
      <c r="P75" s="48"/>
      <c r="Q75" s="48"/>
      <c r="R75" s="48"/>
      <c r="S75" s="48"/>
      <c r="T75" s="48"/>
      <c r="U75" s="48"/>
      <c r="AA75" s="48"/>
      <c r="AB75" s="48"/>
      <c r="AC75" s="48"/>
    </row>
    <row r="76" spans="1:29" ht="15.6" hidden="1" x14ac:dyDescent="0.3">
      <c r="A76" s="48"/>
      <c r="B76" s="48"/>
      <c r="C76" s="49"/>
      <c r="D76" s="49"/>
      <c r="E76" s="48"/>
      <c r="F76" s="48"/>
      <c r="G76" s="49"/>
      <c r="H76" s="49"/>
      <c r="I76" s="48"/>
      <c r="J76" s="49"/>
      <c r="K76" s="504"/>
      <c r="L76" s="369"/>
      <c r="M76" s="369"/>
      <c r="N76" s="369"/>
      <c r="O76" s="49"/>
      <c r="P76" s="48"/>
      <c r="Q76" s="48"/>
      <c r="R76" s="48"/>
      <c r="S76" s="48"/>
      <c r="T76" s="48"/>
      <c r="U76" s="48"/>
      <c r="AA76" s="48"/>
      <c r="AB76" s="48"/>
      <c r="AC76" s="48"/>
    </row>
    <row r="77" spans="1:29" ht="15.6" hidden="1" x14ac:dyDescent="0.3">
      <c r="A77" s="48"/>
      <c r="B77" s="354"/>
      <c r="C77" s="49"/>
      <c r="D77" s="49"/>
      <c r="E77" s="48"/>
      <c r="F77" s="48"/>
      <c r="G77" s="48"/>
      <c r="H77" s="49"/>
      <c r="I77" s="48"/>
      <c r="J77" s="49"/>
      <c r="K77" s="369"/>
      <c r="L77" s="370"/>
      <c r="M77" s="370"/>
      <c r="N77" s="369"/>
      <c r="O77" s="48"/>
      <c r="P77" s="48"/>
      <c r="Q77" s="48"/>
      <c r="R77" s="48"/>
      <c r="S77" s="48"/>
      <c r="T77" s="48"/>
      <c r="U77" s="48"/>
      <c r="AA77" s="48"/>
      <c r="AB77" s="48"/>
      <c r="AC77" s="48"/>
    </row>
    <row r="78" spans="1:29" ht="15.6" hidden="1" x14ac:dyDescent="0.3">
      <c r="A78" s="48"/>
      <c r="B78" s="48"/>
      <c r="C78" s="49"/>
      <c r="D78" s="49"/>
      <c r="E78" s="48"/>
      <c r="F78" s="48"/>
      <c r="G78" s="135"/>
      <c r="H78" s="49"/>
      <c r="I78" s="48"/>
      <c r="J78" s="49"/>
      <c r="K78" s="369"/>
      <c r="L78" s="370"/>
      <c r="M78" s="370"/>
      <c r="N78" s="369"/>
      <c r="O78" s="48"/>
      <c r="P78" s="48"/>
      <c r="Q78" s="48"/>
      <c r="R78" s="48"/>
      <c r="S78" s="48"/>
      <c r="T78" s="48"/>
      <c r="U78" s="48"/>
      <c r="AA78" s="48"/>
      <c r="AB78" s="48"/>
      <c r="AC78" s="48"/>
    </row>
    <row r="79" spans="1:29" ht="15.6" hidden="1" x14ac:dyDescent="0.3">
      <c r="A79" s="48"/>
      <c r="B79" s="354"/>
      <c r="C79" s="49"/>
      <c r="D79" s="49"/>
      <c r="E79" s="48"/>
      <c r="F79" s="134"/>
      <c r="G79" s="135"/>
      <c r="H79" s="49"/>
      <c r="I79" s="49"/>
      <c r="J79" s="48"/>
      <c r="K79" s="369"/>
      <c r="L79" s="370"/>
      <c r="M79" s="370"/>
      <c r="N79" s="369"/>
      <c r="O79" s="48"/>
      <c r="P79" s="48"/>
      <c r="Q79" s="49"/>
      <c r="R79" s="49"/>
      <c r="S79" s="49"/>
      <c r="T79" s="50"/>
      <c r="U79" s="48"/>
      <c r="AA79" s="48"/>
      <c r="AB79" s="48"/>
      <c r="AC79" s="48"/>
    </row>
    <row r="80" spans="1:29" ht="15.6" hidden="1" x14ac:dyDescent="0.3">
      <c r="A80" s="48"/>
      <c r="B80" s="48"/>
      <c r="C80" s="49"/>
      <c r="D80" s="49"/>
      <c r="E80" s="48"/>
      <c r="F80" s="134"/>
      <c r="G80" s="135"/>
      <c r="H80" s="49"/>
      <c r="I80" s="49"/>
      <c r="J80" s="48"/>
      <c r="K80" s="369"/>
      <c r="L80" s="369"/>
      <c r="M80" s="369"/>
      <c r="N80" s="369"/>
      <c r="O80" s="48"/>
      <c r="P80" s="48"/>
      <c r="Q80" s="48"/>
      <c r="R80" s="48"/>
      <c r="S80" s="48"/>
      <c r="T80" s="48"/>
      <c r="U80" s="48"/>
      <c r="AA80" s="48"/>
      <c r="AB80" s="48"/>
      <c r="AC80" s="48"/>
    </row>
    <row r="81" spans="1:29" ht="15.6" hidden="1" x14ac:dyDescent="0.3">
      <c r="A81" s="48"/>
      <c r="B81" s="354"/>
      <c r="C81" s="49"/>
      <c r="D81" s="49"/>
      <c r="E81" s="48"/>
      <c r="F81" s="134"/>
      <c r="G81" s="135"/>
      <c r="H81" s="49"/>
      <c r="I81" s="49"/>
      <c r="J81" s="48"/>
      <c r="K81" s="369"/>
      <c r="L81" s="369"/>
      <c r="M81" s="369"/>
      <c r="N81" s="369"/>
      <c r="O81" s="48"/>
      <c r="P81" s="48"/>
      <c r="Q81" s="48"/>
      <c r="R81" s="48"/>
      <c r="S81" s="48"/>
      <c r="T81" s="48"/>
      <c r="U81" s="48"/>
      <c r="AA81" s="48"/>
      <c r="AB81" s="48"/>
      <c r="AC81" s="48"/>
    </row>
    <row r="82" spans="1:29" ht="15.6" hidden="1" x14ac:dyDescent="0.3">
      <c r="A82" s="48"/>
      <c r="B82" s="48"/>
      <c r="C82" s="49"/>
      <c r="D82" s="49"/>
      <c r="E82" s="48"/>
      <c r="F82" s="134"/>
      <c r="G82" s="135"/>
      <c r="H82" s="49"/>
      <c r="I82" s="48"/>
      <c r="J82" s="48"/>
      <c r="K82" s="369"/>
      <c r="L82" s="369"/>
      <c r="M82" s="369"/>
      <c r="N82" s="369"/>
      <c r="O82" s="2"/>
      <c r="P82" s="2"/>
      <c r="Q82" s="48"/>
      <c r="R82" s="48"/>
      <c r="S82" s="48"/>
      <c r="T82" s="48"/>
      <c r="U82" s="48"/>
      <c r="AA82" s="48"/>
      <c r="AB82" s="48"/>
      <c r="AC82" s="48"/>
    </row>
    <row r="83" spans="1:29" ht="15.6" hidden="1" x14ac:dyDescent="0.3">
      <c r="A83" s="48"/>
      <c r="B83" s="354"/>
      <c r="C83" s="49"/>
      <c r="D83" s="49"/>
      <c r="E83" s="48"/>
      <c r="F83" s="134"/>
      <c r="G83" s="135"/>
      <c r="H83" s="49"/>
      <c r="I83" s="48"/>
      <c r="J83" s="48"/>
      <c r="K83" s="369"/>
      <c r="L83" s="369"/>
      <c r="M83" s="369"/>
      <c r="N83" s="369"/>
      <c r="O83" s="2"/>
      <c r="P83" s="2"/>
      <c r="Q83" s="48"/>
      <c r="R83" s="48"/>
      <c r="S83" s="48"/>
      <c r="T83" s="48"/>
      <c r="U83" s="48"/>
      <c r="AA83" s="48"/>
      <c r="AB83" s="48"/>
      <c r="AC83" s="48"/>
    </row>
    <row r="84" spans="1:29" ht="15.6" hidden="1" x14ac:dyDescent="0.3">
      <c r="A84" s="48"/>
      <c r="B84" s="48"/>
      <c r="C84" s="49"/>
      <c r="D84" s="49"/>
      <c r="E84" s="2"/>
      <c r="F84" s="134"/>
      <c r="G84" s="135"/>
      <c r="H84" s="49"/>
      <c r="I84" s="48"/>
      <c r="J84" s="48"/>
      <c r="K84" s="373"/>
      <c r="L84" s="369"/>
      <c r="M84" s="369"/>
      <c r="N84" s="369"/>
      <c r="O84" s="2"/>
      <c r="P84" s="2"/>
      <c r="Q84" s="48"/>
      <c r="R84" s="48"/>
      <c r="S84" s="48"/>
      <c r="T84" s="48"/>
      <c r="U84" s="48"/>
      <c r="AA84" s="48"/>
      <c r="AB84" s="48"/>
      <c r="AC84" s="48"/>
    </row>
    <row r="85" spans="1:29" ht="15.6" hidden="1" x14ac:dyDescent="0.3">
      <c r="A85" s="48"/>
      <c r="B85" s="354"/>
      <c r="C85" s="49"/>
      <c r="D85" s="49"/>
      <c r="E85" s="48"/>
      <c r="F85" s="134"/>
      <c r="G85" s="135"/>
      <c r="H85" s="49"/>
      <c r="I85" s="48"/>
      <c r="J85" s="48"/>
      <c r="K85" s="369"/>
      <c r="L85" s="369"/>
      <c r="M85" s="369"/>
      <c r="N85" s="369"/>
      <c r="O85" s="2"/>
      <c r="P85" s="112"/>
      <c r="Q85" s="113"/>
      <c r="R85" s="113"/>
      <c r="S85" s="113"/>
      <c r="T85" s="113"/>
      <c r="U85" s="113"/>
      <c r="V85" s="113"/>
      <c r="W85" s="4"/>
      <c r="AA85" s="48"/>
      <c r="AB85" s="48"/>
      <c r="AC85" s="48"/>
    </row>
    <row r="86" spans="1:29" ht="15.6" hidden="1" x14ac:dyDescent="0.3">
      <c r="A86" s="48"/>
      <c r="B86" s="48"/>
      <c r="C86" s="49"/>
      <c r="D86" s="49"/>
      <c r="E86" s="2"/>
      <c r="F86" s="134"/>
      <c r="G86" s="135"/>
      <c r="H86" s="49"/>
      <c r="I86" s="48"/>
      <c r="J86" s="48"/>
      <c r="K86" s="373"/>
      <c r="L86" s="369"/>
      <c r="M86" s="369"/>
      <c r="N86" s="369"/>
      <c r="O86" s="2"/>
      <c r="P86" s="107"/>
      <c r="Q86" s="49"/>
      <c r="R86" s="49"/>
      <c r="S86" s="49"/>
      <c r="T86" s="49"/>
      <c r="U86" s="49"/>
      <c r="V86" s="49"/>
      <c r="W86" s="110"/>
      <c r="AA86" s="48"/>
      <c r="AB86" s="48"/>
      <c r="AC86" s="48"/>
    </row>
    <row r="87" spans="1:29" ht="15.6" hidden="1" x14ac:dyDescent="0.3">
      <c r="A87" s="48"/>
      <c r="B87" s="354"/>
      <c r="C87" s="345"/>
      <c r="D87" s="345"/>
      <c r="E87" s="52"/>
      <c r="F87" s="134"/>
      <c r="G87" s="135"/>
      <c r="H87" s="49"/>
      <c r="I87" s="48"/>
      <c r="J87" s="48"/>
      <c r="K87" s="374"/>
      <c r="L87" s="369"/>
      <c r="M87" s="369"/>
      <c r="N87" s="369"/>
      <c r="O87" s="48"/>
      <c r="P87" s="48"/>
      <c r="Q87" s="49"/>
      <c r="R87" s="49"/>
      <c r="S87" s="49"/>
      <c r="T87" s="49"/>
      <c r="U87" s="49"/>
      <c r="V87" s="49"/>
      <c r="W87" s="110"/>
      <c r="AA87" s="48"/>
      <c r="AB87" s="48"/>
      <c r="AC87" s="48"/>
    </row>
    <row r="88" spans="1:29" ht="15.6" hidden="1" x14ac:dyDescent="0.3">
      <c r="A88" s="48"/>
      <c r="B88" s="48"/>
      <c r="C88" s="49"/>
      <c r="D88" s="49"/>
      <c r="E88" s="48"/>
      <c r="F88" s="134"/>
      <c r="G88" s="135"/>
      <c r="H88" s="49"/>
      <c r="I88" s="48"/>
      <c r="J88" s="48"/>
      <c r="K88" s="375"/>
      <c r="L88" s="369"/>
      <c r="M88" s="369"/>
      <c r="N88" s="372"/>
      <c r="O88" s="2"/>
      <c r="P88" s="48"/>
      <c r="Q88" s="148"/>
      <c r="R88" s="148"/>
      <c r="S88" s="148"/>
      <c r="T88" s="148"/>
      <c r="U88" s="148"/>
      <c r="V88" s="148"/>
      <c r="AA88" s="48"/>
      <c r="AB88" s="48"/>
      <c r="AC88" s="48"/>
    </row>
    <row r="89" spans="1:29" ht="15.6" hidden="1" x14ac:dyDescent="0.3">
      <c r="A89" s="48"/>
      <c r="B89" s="353"/>
      <c r="C89" s="345"/>
      <c r="D89" s="345"/>
      <c r="E89" s="48"/>
      <c r="F89" s="134"/>
      <c r="G89" s="135"/>
      <c r="H89" s="49"/>
      <c r="I89" s="48"/>
      <c r="J89" s="48"/>
      <c r="K89" s="374"/>
      <c r="L89" s="369"/>
      <c r="M89" s="369"/>
      <c r="N89" s="372"/>
      <c r="O89" s="2"/>
      <c r="P89" s="48"/>
      <c r="Q89" s="148"/>
      <c r="R89" s="148"/>
      <c r="S89" s="148"/>
      <c r="T89" s="148"/>
      <c r="U89" s="148"/>
      <c r="V89" s="148"/>
      <c r="AA89" s="48"/>
      <c r="AB89" s="48"/>
      <c r="AC89" s="48"/>
    </row>
    <row r="90" spans="1:29" ht="15.6" hidden="1" x14ac:dyDescent="0.3">
      <c r="A90" s="48"/>
      <c r="B90" s="48"/>
      <c r="C90" s="267"/>
      <c r="D90" s="267"/>
      <c r="E90" s="48"/>
      <c r="F90" s="134"/>
      <c r="G90" s="135"/>
      <c r="H90" s="49"/>
      <c r="I90" s="48"/>
      <c r="J90" s="48"/>
      <c r="K90" s="373"/>
      <c r="L90" s="369"/>
      <c r="M90" s="369"/>
      <c r="N90" s="372"/>
      <c r="O90" s="2"/>
      <c r="P90" s="48"/>
      <c r="Q90" s="152"/>
      <c r="R90" s="152"/>
      <c r="S90" s="152"/>
      <c r="T90" s="152"/>
      <c r="U90" s="152"/>
      <c r="V90" s="152"/>
      <c r="W90" s="338"/>
      <c r="AA90" s="48"/>
      <c r="AB90" s="48"/>
      <c r="AC90" s="48"/>
    </row>
    <row r="91" spans="1:29" ht="15.6" hidden="1" x14ac:dyDescent="0.3">
      <c r="A91" s="48"/>
      <c r="B91" s="354"/>
      <c r="C91" s="346"/>
      <c r="D91" s="346"/>
      <c r="E91" s="48"/>
      <c r="F91" s="134"/>
      <c r="G91" s="135"/>
      <c r="H91" s="49"/>
      <c r="I91" s="48"/>
      <c r="J91" s="48"/>
      <c r="K91" s="369"/>
      <c r="L91" s="369"/>
      <c r="M91" s="369"/>
      <c r="N91" s="372"/>
      <c r="O91" s="2"/>
      <c r="P91" s="107"/>
      <c r="Q91" s="49"/>
      <c r="R91" s="49"/>
      <c r="S91" s="49"/>
      <c r="T91" s="49"/>
      <c r="U91" s="49"/>
      <c r="V91" s="49"/>
      <c r="AA91" s="48"/>
      <c r="AB91" s="48"/>
      <c r="AC91" s="48"/>
    </row>
    <row r="92" spans="1:29" ht="15.6" hidden="1" x14ac:dyDescent="0.3">
      <c r="A92" s="48"/>
      <c r="B92" s="48"/>
      <c r="C92" s="267"/>
      <c r="D92" s="267"/>
      <c r="E92" s="48"/>
      <c r="F92" s="134"/>
      <c r="G92" s="135"/>
      <c r="H92" s="49"/>
      <c r="I92" s="48"/>
      <c r="J92" s="48"/>
      <c r="K92" s="506"/>
      <c r="L92" s="369"/>
      <c r="M92" s="369"/>
      <c r="N92" s="369"/>
      <c r="O92" s="2"/>
      <c r="P92" s="48"/>
      <c r="Q92" s="267"/>
      <c r="R92" s="267"/>
      <c r="S92" s="267"/>
      <c r="T92" s="267"/>
      <c r="U92" s="267"/>
      <c r="V92" s="267"/>
      <c r="W92" s="339"/>
      <c r="AA92" s="48"/>
      <c r="AB92" s="48"/>
      <c r="AC92" s="48"/>
    </row>
    <row r="93" spans="1:29" ht="15.6" hidden="1" x14ac:dyDescent="0.3">
      <c r="A93" s="48"/>
      <c r="B93" s="354"/>
      <c r="C93" s="345"/>
      <c r="D93" s="345"/>
      <c r="E93" s="48"/>
      <c r="F93" s="134"/>
      <c r="G93" s="135"/>
      <c r="H93" s="49"/>
      <c r="I93" s="48"/>
      <c r="J93" s="48"/>
      <c r="K93" s="372"/>
      <c r="L93" s="369"/>
      <c r="M93" s="369"/>
      <c r="N93" s="376"/>
      <c r="O93" s="2"/>
      <c r="P93" s="48"/>
      <c r="Q93" s="31"/>
      <c r="R93" s="31"/>
      <c r="S93" s="31"/>
      <c r="T93" s="31"/>
      <c r="U93" s="31"/>
      <c r="V93" s="31"/>
      <c r="W93" s="242"/>
      <c r="AA93" s="48"/>
      <c r="AB93" s="48"/>
      <c r="AC93" s="48"/>
    </row>
    <row r="94" spans="1:29" ht="15.6" hidden="1" x14ac:dyDescent="0.3">
      <c r="A94" s="48"/>
      <c r="B94" s="352"/>
      <c r="C94" s="49"/>
      <c r="D94" s="49"/>
      <c r="E94" s="48"/>
      <c r="F94" s="134"/>
      <c r="G94" s="135"/>
      <c r="H94" s="49"/>
      <c r="I94" s="48"/>
      <c r="J94" s="48"/>
      <c r="K94" s="377"/>
      <c r="L94" s="369"/>
      <c r="M94" s="369"/>
      <c r="N94" s="376"/>
      <c r="O94" s="2"/>
      <c r="P94" s="48"/>
      <c r="Q94" s="174"/>
      <c r="R94" s="174"/>
      <c r="S94" s="174"/>
      <c r="T94" s="174"/>
      <c r="U94" s="174"/>
      <c r="V94" s="174"/>
      <c r="W94" s="174"/>
      <c r="AA94" s="48"/>
      <c r="AB94" s="48"/>
      <c r="AC94" s="48"/>
    </row>
    <row r="95" spans="1:29" ht="15.6" hidden="1" x14ac:dyDescent="0.3">
      <c r="A95" s="48"/>
      <c r="B95" s="354"/>
      <c r="C95" s="347"/>
      <c r="D95" s="347"/>
      <c r="E95" s="48"/>
      <c r="F95" s="134"/>
      <c r="G95" s="135"/>
      <c r="H95" s="49"/>
      <c r="I95" s="48"/>
      <c r="J95" s="48"/>
      <c r="K95" s="372"/>
      <c r="L95" s="369"/>
      <c r="M95" s="369"/>
      <c r="N95" s="376"/>
      <c r="O95" s="2"/>
      <c r="P95" s="48"/>
      <c r="Q95" s="152"/>
      <c r="R95" s="152"/>
      <c r="S95" s="152"/>
      <c r="T95" s="152"/>
      <c r="U95" s="152"/>
      <c r="V95" s="152"/>
      <c r="AA95" s="48"/>
      <c r="AB95" s="48"/>
      <c r="AC95" s="48"/>
    </row>
    <row r="96" spans="1:29" ht="15.6" hidden="1" x14ac:dyDescent="0.3">
      <c r="A96" s="48"/>
      <c r="B96" s="48"/>
      <c r="C96" s="232"/>
      <c r="D96" s="232"/>
      <c r="E96" s="48"/>
      <c r="F96" s="134"/>
      <c r="G96" s="135"/>
      <c r="H96" s="49"/>
      <c r="I96" s="48"/>
      <c r="J96" s="48"/>
      <c r="K96" s="377"/>
      <c r="L96" s="369"/>
      <c r="M96" s="369"/>
      <c r="N96" s="369"/>
      <c r="O96" s="2"/>
      <c r="P96" s="48"/>
      <c r="Q96" s="174"/>
      <c r="R96" s="174"/>
      <c r="S96" s="174"/>
      <c r="T96" s="174"/>
      <c r="U96" s="174"/>
      <c r="V96" s="174"/>
      <c r="W96" s="242"/>
      <c r="AA96" s="48"/>
      <c r="AB96" s="48"/>
      <c r="AC96" s="48"/>
    </row>
    <row r="97" spans="1:29" ht="15.6" hidden="1" x14ac:dyDescent="0.3">
      <c r="A97" s="48"/>
      <c r="B97" s="354"/>
      <c r="C97" s="347"/>
      <c r="D97" s="347"/>
      <c r="E97" s="48"/>
      <c r="F97" s="134"/>
      <c r="G97" s="135"/>
      <c r="H97" s="49"/>
      <c r="I97" s="48"/>
      <c r="J97" s="48"/>
      <c r="K97" s="372"/>
      <c r="L97" s="369"/>
      <c r="M97" s="369"/>
      <c r="N97" s="369"/>
      <c r="O97" s="2"/>
      <c r="P97" s="48"/>
      <c r="Q97" s="152"/>
      <c r="R97" s="152"/>
      <c r="S97" s="152"/>
      <c r="T97" s="152"/>
      <c r="U97" s="152"/>
      <c r="V97" s="152"/>
      <c r="W97" s="338"/>
      <c r="AA97" s="48"/>
      <c r="AB97" s="48"/>
      <c r="AC97" s="48"/>
    </row>
    <row r="98" spans="1:29" ht="15.6" hidden="1" x14ac:dyDescent="0.3">
      <c r="A98" s="48"/>
      <c r="B98" s="48"/>
      <c r="C98" s="348"/>
      <c r="D98" s="348"/>
      <c r="E98" s="48"/>
      <c r="F98" s="134"/>
      <c r="G98" s="135"/>
      <c r="H98" s="49"/>
      <c r="I98" s="48"/>
      <c r="J98" s="48"/>
      <c r="K98" s="506"/>
      <c r="L98" s="369"/>
      <c r="M98" s="369"/>
      <c r="N98" s="379"/>
      <c r="O98" s="2"/>
      <c r="P98" s="48"/>
      <c r="Q98" s="152"/>
      <c r="R98" s="152"/>
      <c r="S98" s="152"/>
      <c r="T98" s="152"/>
      <c r="U98" s="152"/>
      <c r="V98" s="152"/>
      <c r="AA98" s="48"/>
      <c r="AB98" s="48"/>
      <c r="AC98" s="48"/>
    </row>
    <row r="99" spans="1:29" ht="15.6" hidden="1" x14ac:dyDescent="0.3">
      <c r="A99" s="48"/>
      <c r="B99" s="355"/>
      <c r="C99" s="347"/>
      <c r="D99" s="347"/>
      <c r="E99" s="48"/>
      <c r="F99" s="134"/>
      <c r="G99" s="135"/>
      <c r="H99" s="49"/>
      <c r="I99" s="48"/>
      <c r="J99" s="48"/>
      <c r="K99" s="372"/>
      <c r="L99" s="369"/>
      <c r="M99" s="369"/>
      <c r="N99" s="378"/>
      <c r="O99" s="2"/>
      <c r="P99" s="48"/>
      <c r="Q99" s="152"/>
      <c r="R99" s="152"/>
      <c r="S99" s="152"/>
      <c r="T99" s="152"/>
      <c r="U99" s="152"/>
      <c r="V99" s="152"/>
      <c r="AA99" s="48"/>
      <c r="AB99" s="48"/>
      <c r="AC99" s="48"/>
    </row>
    <row r="100" spans="1:29" ht="15.6" hidden="1" x14ac:dyDescent="0.3">
      <c r="A100" s="48"/>
      <c r="B100" s="48"/>
      <c r="C100" s="232"/>
      <c r="D100" s="232"/>
      <c r="E100" s="48"/>
      <c r="F100" s="134"/>
      <c r="G100" s="135"/>
      <c r="H100" s="49"/>
      <c r="I100" s="48"/>
      <c r="J100" s="48"/>
      <c r="K100" s="377"/>
      <c r="L100" s="369"/>
      <c r="M100" s="369"/>
      <c r="N100" s="378"/>
      <c r="O100" s="2"/>
      <c r="P100" s="3"/>
      <c r="Q100" s="268"/>
      <c r="R100" s="268"/>
      <c r="S100" s="268"/>
      <c r="T100" s="268"/>
      <c r="U100" s="268"/>
      <c r="V100" s="268"/>
      <c r="W100" s="268"/>
      <c r="AA100" s="48"/>
      <c r="AB100" s="48"/>
      <c r="AC100" s="48"/>
    </row>
    <row r="101" spans="1:29" ht="15.6" hidden="1" x14ac:dyDescent="0.3">
      <c r="A101" s="48"/>
      <c r="B101" s="354"/>
      <c r="C101" s="347"/>
      <c r="D101" s="347"/>
      <c r="E101" s="48"/>
      <c r="F101" s="134"/>
      <c r="G101" s="135"/>
      <c r="H101" s="49"/>
      <c r="I101" s="48"/>
      <c r="J101" s="48"/>
      <c r="K101" s="372"/>
      <c r="L101" s="369"/>
      <c r="M101" s="369"/>
      <c r="N101" s="379"/>
      <c r="O101" s="2"/>
      <c r="P101" s="3"/>
      <c r="Q101" s="268"/>
      <c r="R101" s="268"/>
      <c r="S101" s="268"/>
      <c r="T101" s="268"/>
      <c r="U101" s="268"/>
      <c r="V101" s="268"/>
      <c r="W101" s="340"/>
      <c r="AA101" s="48"/>
      <c r="AB101" s="48"/>
      <c r="AC101" s="48"/>
    </row>
    <row r="102" spans="1:29" ht="15.6" hidden="1" x14ac:dyDescent="0.3">
      <c r="A102" s="48"/>
      <c r="B102" s="48"/>
      <c r="C102" s="232"/>
      <c r="D102" s="232"/>
      <c r="E102" s="48"/>
      <c r="F102" s="134"/>
      <c r="G102" s="135"/>
      <c r="H102" s="49"/>
      <c r="I102" s="48"/>
      <c r="J102" s="48"/>
      <c r="K102" s="373"/>
      <c r="L102" s="369"/>
      <c r="M102" s="369"/>
      <c r="N102" s="376"/>
      <c r="O102" s="2"/>
      <c r="P102" s="3"/>
      <c r="Q102" s="268"/>
      <c r="R102" s="268"/>
      <c r="S102" s="268"/>
      <c r="T102" s="268"/>
      <c r="U102" s="268"/>
      <c r="V102" s="268"/>
      <c r="W102" s="340"/>
      <c r="AA102" s="48"/>
      <c r="AB102" s="48"/>
      <c r="AC102" s="48"/>
    </row>
    <row r="103" spans="1:29" ht="15.6" hidden="1" x14ac:dyDescent="0.3">
      <c r="A103" s="48"/>
      <c r="B103" s="354"/>
      <c r="C103" s="347"/>
      <c r="D103" s="347"/>
      <c r="E103" s="48"/>
      <c r="F103" s="134"/>
      <c r="G103" s="135"/>
      <c r="H103" s="49"/>
      <c r="I103" s="48"/>
      <c r="J103" s="48"/>
      <c r="K103" s="379"/>
      <c r="L103" s="369"/>
      <c r="M103" s="369"/>
      <c r="N103" s="379"/>
      <c r="O103" s="2"/>
      <c r="P103" s="3"/>
      <c r="Q103" s="282"/>
      <c r="R103" s="282"/>
      <c r="S103" s="282"/>
      <c r="T103" s="282"/>
      <c r="U103" s="49"/>
      <c r="V103" s="49"/>
      <c r="AA103" s="48"/>
      <c r="AB103" s="48"/>
      <c r="AC103" s="48"/>
    </row>
    <row r="104" spans="1:29" ht="15.6" hidden="1" x14ac:dyDescent="0.3">
      <c r="A104" s="48"/>
      <c r="B104" s="48"/>
      <c r="C104" s="348"/>
      <c r="D104" s="348"/>
      <c r="E104" s="48"/>
      <c r="F104" s="134"/>
      <c r="G104" s="135"/>
      <c r="H104" s="49"/>
      <c r="I104" s="48"/>
      <c r="J104" s="48"/>
      <c r="K104" s="507"/>
      <c r="L104" s="369"/>
      <c r="M104" s="369"/>
      <c r="N104" s="379"/>
      <c r="O104" s="2"/>
      <c r="P104" s="74"/>
      <c r="Q104" s="49"/>
      <c r="R104" s="49"/>
      <c r="S104" s="49"/>
      <c r="T104" s="49"/>
      <c r="U104" s="49"/>
      <c r="V104" s="49"/>
      <c r="AA104" s="48"/>
      <c r="AB104" s="48"/>
      <c r="AC104" s="48"/>
    </row>
    <row r="105" spans="1:29" ht="15.6" hidden="1" x14ac:dyDescent="0.3">
      <c r="A105" s="48"/>
      <c r="B105" s="355"/>
      <c r="C105" s="345"/>
      <c r="D105" s="345"/>
      <c r="E105" s="48"/>
      <c r="F105" s="134"/>
      <c r="G105" s="134"/>
      <c r="H105" s="49"/>
      <c r="I105" s="48"/>
      <c r="J105" s="48"/>
      <c r="K105" s="369"/>
      <c r="L105" s="369"/>
      <c r="M105" s="369"/>
      <c r="N105" s="379"/>
      <c r="O105" s="2"/>
      <c r="P105" s="74"/>
      <c r="Q105" s="49"/>
      <c r="R105" s="54"/>
      <c r="S105" s="54"/>
      <c r="T105" s="49"/>
      <c r="U105" s="49"/>
      <c r="V105" s="49"/>
      <c r="AA105" s="48"/>
      <c r="AB105" s="48"/>
      <c r="AC105" s="48"/>
    </row>
    <row r="106" spans="1:29" ht="15.6" hidden="1" x14ac:dyDescent="0.3">
      <c r="A106" s="48"/>
      <c r="B106" s="48"/>
      <c r="C106" s="31"/>
      <c r="D106" s="31"/>
      <c r="E106" s="48"/>
      <c r="F106" s="134"/>
      <c r="G106" s="134"/>
      <c r="H106" s="49"/>
      <c r="I106" s="48"/>
      <c r="J106" s="2"/>
      <c r="K106" s="369"/>
      <c r="L106" s="369"/>
      <c r="M106" s="369"/>
      <c r="N106" s="369"/>
      <c r="O106" s="2"/>
      <c r="P106" s="74"/>
      <c r="Q106" s="150"/>
      <c r="R106" s="150"/>
      <c r="S106" s="150"/>
      <c r="T106" s="150"/>
      <c r="U106" s="150"/>
      <c r="V106" s="150"/>
      <c r="W106" s="341"/>
      <c r="AA106" s="48"/>
      <c r="AB106" s="48"/>
      <c r="AC106" s="48"/>
    </row>
    <row r="107" spans="1:29" ht="15.6" hidden="1" x14ac:dyDescent="0.3">
      <c r="A107" s="48"/>
      <c r="B107" s="354"/>
      <c r="C107" s="31"/>
      <c r="D107" s="31"/>
      <c r="E107" s="48"/>
      <c r="F107" s="134"/>
      <c r="G107" s="134"/>
      <c r="H107" s="49"/>
      <c r="I107" s="48"/>
      <c r="J107" s="2"/>
      <c r="K107" s="369"/>
      <c r="L107" s="369"/>
      <c r="M107" s="369"/>
      <c r="N107" s="369"/>
      <c r="O107" s="2"/>
      <c r="P107" s="74"/>
      <c r="Q107" s="150"/>
      <c r="R107" s="150"/>
      <c r="S107" s="150"/>
      <c r="T107" s="150"/>
      <c r="U107" s="150"/>
      <c r="V107" s="150"/>
      <c r="W107" s="341"/>
      <c r="AA107" s="48"/>
      <c r="AB107" s="48"/>
      <c r="AC107" s="48"/>
    </row>
    <row r="108" spans="1:29" ht="15.6" hidden="1" x14ac:dyDescent="0.3">
      <c r="A108" s="48"/>
      <c r="B108" s="48"/>
      <c r="C108" s="48"/>
      <c r="D108" s="48"/>
      <c r="E108" s="48"/>
      <c r="F108" s="134"/>
      <c r="G108" s="134"/>
      <c r="H108" s="49"/>
      <c r="I108" s="48"/>
      <c r="J108" s="2"/>
      <c r="K108" s="369"/>
      <c r="L108" s="369"/>
      <c r="M108" s="369"/>
      <c r="N108" s="376"/>
      <c r="O108" s="2"/>
      <c r="P108" s="74"/>
      <c r="Q108" s="152"/>
      <c r="R108" s="152"/>
      <c r="S108" s="152"/>
      <c r="T108" s="152"/>
      <c r="U108" s="152"/>
      <c r="V108" s="152"/>
      <c r="AA108" s="48"/>
      <c r="AB108" s="48"/>
      <c r="AC108" s="48"/>
    </row>
    <row r="109" spans="1:29" ht="15.6" hidden="1" x14ac:dyDescent="0.3">
      <c r="A109" s="48"/>
      <c r="B109" s="48"/>
      <c r="C109" s="48"/>
      <c r="D109" s="48"/>
      <c r="E109" s="48"/>
      <c r="F109" s="134"/>
      <c r="G109" s="134"/>
      <c r="H109" s="49"/>
      <c r="I109" s="48"/>
      <c r="J109" s="2"/>
      <c r="K109" s="369"/>
      <c r="L109" s="369"/>
      <c r="M109" s="369"/>
      <c r="N109" s="376"/>
      <c r="O109" s="2"/>
      <c r="P109" s="74"/>
      <c r="Q109" s="150"/>
      <c r="R109" s="150"/>
      <c r="S109" s="150"/>
      <c r="T109" s="150"/>
      <c r="U109" s="150"/>
      <c r="V109" s="150"/>
      <c r="W109" s="341"/>
      <c r="AA109" s="48"/>
      <c r="AB109" s="48"/>
      <c r="AC109" s="48"/>
    </row>
    <row r="110" spans="1:29" ht="15.6" hidden="1" x14ac:dyDescent="0.3">
      <c r="A110" s="48"/>
      <c r="B110" s="48"/>
      <c r="C110" s="48"/>
      <c r="D110" s="48"/>
      <c r="E110" s="48"/>
      <c r="F110" s="134"/>
      <c r="G110" s="134"/>
      <c r="H110" s="49"/>
      <c r="I110" s="48"/>
      <c r="J110" s="2"/>
      <c r="K110" s="369"/>
      <c r="L110" s="369"/>
      <c r="M110" s="369"/>
      <c r="N110" s="369"/>
      <c r="O110" s="2"/>
      <c r="P110" s="74"/>
      <c r="Q110" s="49"/>
      <c r="R110" s="49"/>
      <c r="S110" s="49"/>
      <c r="T110" s="49"/>
      <c r="U110" s="49"/>
      <c r="V110" s="49"/>
      <c r="AA110" s="48"/>
      <c r="AB110" s="48"/>
      <c r="AC110" s="48"/>
    </row>
    <row r="111" spans="1:29" ht="15.6" hidden="1" x14ac:dyDescent="0.3">
      <c r="A111" s="48"/>
      <c r="B111" s="48"/>
      <c r="C111" s="48"/>
      <c r="D111" s="48"/>
      <c r="E111" s="48"/>
      <c r="F111" s="134"/>
      <c r="G111" s="134"/>
      <c r="H111" s="49"/>
      <c r="I111" s="48"/>
      <c r="J111" s="2"/>
      <c r="K111" s="501"/>
      <c r="L111" s="369"/>
      <c r="M111" s="369"/>
      <c r="N111" s="369"/>
      <c r="O111" s="2"/>
      <c r="P111" s="74"/>
      <c r="Q111" s="150"/>
      <c r="R111" s="150"/>
      <c r="S111" s="150"/>
      <c r="T111" s="150"/>
      <c r="U111" s="150"/>
      <c r="V111" s="150"/>
      <c r="W111" s="341"/>
      <c r="AA111" s="48"/>
      <c r="AB111" s="48"/>
      <c r="AC111" s="48"/>
    </row>
    <row r="112" spans="1:29" ht="15.6" hidden="1" x14ac:dyDescent="0.3">
      <c r="A112" s="48"/>
      <c r="B112" s="48"/>
      <c r="C112" s="48"/>
      <c r="D112" s="48"/>
      <c r="E112" s="48"/>
      <c r="F112" s="134"/>
      <c r="G112" s="134"/>
      <c r="H112" s="49"/>
      <c r="I112" s="48"/>
      <c r="J112" s="2"/>
      <c r="K112" s="369"/>
      <c r="L112" s="369"/>
      <c r="M112" s="369"/>
      <c r="N112" s="376"/>
      <c r="O112" s="2"/>
      <c r="P112" s="3"/>
      <c r="Q112" s="266"/>
      <c r="R112" s="266"/>
      <c r="S112" s="266"/>
      <c r="T112" s="266"/>
      <c r="U112" s="266"/>
      <c r="V112" s="266"/>
      <c r="W112" s="313"/>
      <c r="AA112" s="48"/>
      <c r="AB112" s="48"/>
      <c r="AC112" s="48"/>
    </row>
    <row r="113" spans="1:29" ht="15.6" hidden="1" x14ac:dyDescent="0.3">
      <c r="A113" s="48"/>
      <c r="B113" s="48"/>
      <c r="C113" s="48"/>
      <c r="D113" s="48"/>
      <c r="E113" s="48"/>
      <c r="F113" s="134"/>
      <c r="G113" s="134"/>
      <c r="H113" s="49"/>
      <c r="I113" s="48"/>
      <c r="J113" s="2"/>
      <c r="K113" s="369"/>
      <c r="L113" s="369"/>
      <c r="M113" s="369"/>
      <c r="N113" s="376"/>
      <c r="O113" s="2"/>
      <c r="P113" s="3"/>
      <c r="Q113" s="49"/>
      <c r="R113" s="49"/>
      <c r="S113" s="49"/>
      <c r="T113" s="49"/>
      <c r="U113" s="49"/>
      <c r="V113" s="49"/>
      <c r="AA113" s="48"/>
      <c r="AB113" s="48"/>
      <c r="AC113" s="48"/>
    </row>
    <row r="114" spans="1:29" hidden="1" x14ac:dyDescent="0.3">
      <c r="A114" s="48"/>
      <c r="B114" s="48"/>
      <c r="C114" s="48"/>
      <c r="D114" s="48"/>
      <c r="E114" s="48"/>
      <c r="F114" s="134"/>
      <c r="G114" s="134"/>
      <c r="H114" s="49"/>
      <c r="I114" s="48"/>
      <c r="J114" s="2"/>
      <c r="K114" s="2"/>
      <c r="L114" s="2"/>
      <c r="M114" s="2"/>
      <c r="N114" s="2"/>
      <c r="O114" s="2"/>
      <c r="P114" s="74"/>
      <c r="Q114" s="150"/>
      <c r="R114" s="150"/>
      <c r="S114" s="150"/>
      <c r="T114" s="150"/>
      <c r="U114" s="150"/>
      <c r="V114" s="150"/>
      <c r="W114" s="341"/>
      <c r="AA114" s="48"/>
      <c r="AB114" s="48"/>
      <c r="AC114" s="48"/>
    </row>
    <row r="115" spans="1:29" hidden="1" x14ac:dyDescent="0.3">
      <c r="A115" s="48"/>
      <c r="B115" s="48"/>
      <c r="C115" s="48"/>
      <c r="D115" s="48"/>
      <c r="E115" s="48"/>
      <c r="F115" s="134"/>
      <c r="G115" s="134"/>
      <c r="H115" s="49"/>
      <c r="I115" s="48"/>
      <c r="J115" s="2"/>
      <c r="K115" s="2"/>
      <c r="L115" s="2"/>
      <c r="M115" s="2"/>
      <c r="N115" s="2"/>
      <c r="O115" s="2"/>
      <c r="P115" s="74"/>
      <c r="Q115" s="264"/>
      <c r="R115" s="264"/>
      <c r="S115" s="264"/>
      <c r="T115" s="264"/>
      <c r="U115" s="264"/>
      <c r="V115" s="264"/>
      <c r="W115" s="264"/>
      <c r="AA115" s="48"/>
      <c r="AB115" s="48"/>
      <c r="AC115" s="48"/>
    </row>
    <row r="116" spans="1:29" hidden="1" x14ac:dyDescent="0.3">
      <c r="A116" s="48"/>
      <c r="B116" s="48"/>
      <c r="C116" s="48"/>
      <c r="D116" s="48"/>
      <c r="E116" s="48"/>
      <c r="F116" s="134"/>
      <c r="G116" s="134"/>
      <c r="H116" s="49"/>
      <c r="I116" s="48"/>
      <c r="J116" s="2"/>
      <c r="K116" s="2"/>
      <c r="L116" s="2"/>
      <c r="M116" s="2"/>
      <c r="N116" s="2"/>
      <c r="O116" s="2"/>
      <c r="P116" s="74"/>
      <c r="Q116" s="265"/>
      <c r="R116" s="265"/>
      <c r="S116" s="265"/>
      <c r="T116" s="265"/>
      <c r="U116" s="265"/>
      <c r="V116" s="265"/>
      <c r="W116" s="342"/>
      <c r="AA116" s="48"/>
      <c r="AB116" s="48"/>
      <c r="AC116" s="48"/>
    </row>
    <row r="117" spans="1:29" hidden="1" x14ac:dyDescent="0.3">
      <c r="A117" s="48"/>
      <c r="B117" s="48"/>
      <c r="C117" s="48"/>
      <c r="D117" s="48"/>
      <c r="E117" s="48"/>
      <c r="F117" s="134"/>
      <c r="G117" s="134"/>
      <c r="H117" s="49"/>
      <c r="I117" s="48"/>
      <c r="J117" s="2"/>
      <c r="K117" s="2"/>
      <c r="L117" s="2"/>
      <c r="M117" s="2"/>
      <c r="N117" s="2"/>
      <c r="O117" s="2"/>
      <c r="P117" s="3"/>
      <c r="Q117" s="266"/>
      <c r="R117" s="266"/>
      <c r="S117" s="266"/>
      <c r="T117" s="266"/>
      <c r="U117" s="266"/>
      <c r="V117" s="266"/>
      <c r="W117" s="266"/>
      <c r="AA117" s="48"/>
      <c r="AB117" s="48"/>
      <c r="AC117" s="48"/>
    </row>
    <row r="118" spans="1:29" hidden="1" x14ac:dyDescent="0.3">
      <c r="A118" s="48"/>
      <c r="B118" s="48"/>
      <c r="C118" s="48"/>
      <c r="D118" s="49"/>
      <c r="E118" s="48"/>
      <c r="F118" s="134"/>
      <c r="G118" s="134"/>
      <c r="H118" s="49"/>
      <c r="I118" s="48"/>
      <c r="J118" s="2"/>
      <c r="K118" s="2"/>
      <c r="L118" s="2"/>
      <c r="M118" s="2"/>
      <c r="N118" s="2"/>
      <c r="O118" s="2"/>
      <c r="P118" s="2"/>
      <c r="Q118" s="48"/>
      <c r="R118" s="48"/>
      <c r="S118" s="48"/>
      <c r="T118" s="48"/>
      <c r="U118" s="48"/>
      <c r="AA118" s="48"/>
      <c r="AB118" s="48"/>
      <c r="AC118" s="48"/>
    </row>
    <row r="119" spans="1:29" hidden="1" x14ac:dyDescent="0.3">
      <c r="A119" s="48"/>
      <c r="B119" s="48"/>
      <c r="C119" s="48"/>
      <c r="D119" s="48"/>
      <c r="E119" s="48"/>
      <c r="F119" s="134"/>
      <c r="G119" s="134"/>
      <c r="H119" s="49"/>
      <c r="I119" s="48"/>
      <c r="J119" s="2"/>
      <c r="K119" s="2"/>
      <c r="L119" s="2"/>
      <c r="M119" s="2"/>
      <c r="N119" s="2"/>
      <c r="O119" s="2"/>
      <c r="P119" s="2"/>
      <c r="Q119" s="48"/>
      <c r="R119" s="48"/>
      <c r="S119" s="48"/>
      <c r="T119" s="48"/>
      <c r="U119" s="48"/>
      <c r="AA119" s="48"/>
      <c r="AB119" s="48"/>
      <c r="AC119" s="48"/>
    </row>
    <row r="120" spans="1:29" hidden="1" x14ac:dyDescent="0.3">
      <c r="A120" s="48"/>
      <c r="B120" s="48"/>
      <c r="C120" s="48"/>
      <c r="D120" s="48"/>
      <c r="E120" s="48"/>
      <c r="F120" s="134"/>
      <c r="G120" s="134"/>
      <c r="H120" s="49"/>
      <c r="I120" s="48"/>
      <c r="J120" s="2"/>
      <c r="K120" s="2"/>
      <c r="L120" s="2"/>
      <c r="M120" s="2"/>
      <c r="N120" s="2"/>
      <c r="O120" s="2"/>
      <c r="P120" s="2"/>
      <c r="Q120" s="48"/>
      <c r="R120" s="48"/>
      <c r="S120" s="48"/>
      <c r="T120" s="48"/>
      <c r="U120" s="48"/>
      <c r="AA120" s="48"/>
      <c r="AB120" s="48"/>
      <c r="AC120" s="48"/>
    </row>
    <row r="121" spans="1:29" hidden="1" x14ac:dyDescent="0.3">
      <c r="A121" s="48"/>
      <c r="B121" s="48"/>
      <c r="C121" s="48"/>
      <c r="D121" s="48"/>
      <c r="E121" s="48"/>
      <c r="F121" s="134"/>
      <c r="G121" s="134"/>
      <c r="H121" s="49"/>
      <c r="I121" s="48"/>
      <c r="J121" s="2"/>
      <c r="K121" s="2"/>
      <c r="L121" s="2"/>
      <c r="M121" s="2"/>
      <c r="N121" s="2"/>
      <c r="O121" s="2"/>
      <c r="P121" s="2"/>
      <c r="Q121" s="48"/>
      <c r="R121" s="48"/>
      <c r="S121" s="48"/>
      <c r="T121" s="48"/>
      <c r="U121" s="48"/>
      <c r="AA121" s="48"/>
      <c r="AB121" s="48"/>
      <c r="AC121" s="48"/>
    </row>
    <row r="122" spans="1:29" hidden="1" x14ac:dyDescent="0.3">
      <c r="A122" s="48"/>
      <c r="B122" s="48"/>
      <c r="C122" s="48"/>
      <c r="D122" s="48"/>
      <c r="E122" s="48"/>
      <c r="F122" s="134"/>
      <c r="G122" s="134"/>
      <c r="H122" s="49"/>
      <c r="I122" s="48"/>
      <c r="J122" s="2"/>
      <c r="K122" s="2"/>
      <c r="L122" s="2"/>
      <c r="M122" s="2"/>
      <c r="N122" s="2"/>
      <c r="O122" s="2"/>
      <c r="P122" s="2"/>
      <c r="Q122" s="48"/>
      <c r="R122" s="48"/>
      <c r="S122" s="48"/>
      <c r="T122" s="48"/>
      <c r="U122" s="48"/>
      <c r="AA122" s="48"/>
      <c r="AB122" s="48"/>
      <c r="AC122" s="48"/>
    </row>
    <row r="123" spans="1:29" hidden="1" x14ac:dyDescent="0.3">
      <c r="A123" s="48"/>
      <c r="B123" s="48"/>
      <c r="C123" s="48"/>
      <c r="D123" s="48"/>
      <c r="E123" s="48"/>
      <c r="F123" s="48"/>
      <c r="G123" s="134"/>
      <c r="H123" s="49"/>
      <c r="I123" s="48"/>
      <c r="J123" s="2"/>
      <c r="K123" s="2"/>
      <c r="L123" s="2"/>
      <c r="M123" s="2"/>
      <c r="N123" s="2"/>
      <c r="O123" s="2"/>
      <c r="P123" s="52"/>
      <c r="Q123" s="48"/>
      <c r="R123" s="48"/>
      <c r="S123" s="48"/>
      <c r="T123" s="48"/>
      <c r="U123" s="48"/>
      <c r="AA123" s="48"/>
      <c r="AB123" s="48"/>
      <c r="AC123" s="48"/>
    </row>
    <row r="124" spans="1:29" hidden="1" x14ac:dyDescent="0.3">
      <c r="A124" s="48"/>
      <c r="B124" s="48"/>
      <c r="C124" s="48"/>
      <c r="D124" s="48"/>
      <c r="E124" s="48"/>
      <c r="F124" s="48"/>
      <c r="G124" s="134"/>
      <c r="H124" s="49"/>
      <c r="I124" s="48"/>
      <c r="J124" s="2"/>
      <c r="K124" s="2"/>
      <c r="L124" s="2"/>
      <c r="M124" s="2"/>
      <c r="N124" s="2"/>
      <c r="O124" s="2"/>
      <c r="P124" s="2"/>
      <c r="Q124" s="48"/>
      <c r="R124" s="48"/>
      <c r="S124" s="48"/>
      <c r="T124" s="48"/>
      <c r="U124" s="48"/>
      <c r="AA124" s="48"/>
      <c r="AB124" s="48"/>
      <c r="AC124" s="48"/>
    </row>
    <row r="125" spans="1:29" ht="15" hidden="1" customHeight="1" x14ac:dyDescent="0.3">
      <c r="A125" s="48"/>
      <c r="B125" s="48"/>
      <c r="C125" s="48"/>
      <c r="D125" s="48"/>
      <c r="E125" s="48"/>
      <c r="F125" s="49"/>
      <c r="G125" s="134"/>
      <c r="H125" s="49"/>
      <c r="I125" s="48"/>
      <c r="J125" s="2"/>
      <c r="K125" s="2"/>
      <c r="L125" s="2"/>
      <c r="M125" s="2"/>
      <c r="N125" s="2"/>
      <c r="O125" s="2"/>
      <c r="P125" s="52"/>
      <c r="Q125" s="48"/>
      <c r="R125" s="48"/>
      <c r="S125" s="48"/>
      <c r="T125" s="48"/>
      <c r="U125" s="48"/>
      <c r="AA125" s="48"/>
      <c r="AB125" s="48"/>
      <c r="AC125" s="48"/>
    </row>
    <row r="126" spans="1:29" ht="18" hidden="1" customHeight="1" x14ac:dyDescent="0.3">
      <c r="A126" s="48"/>
      <c r="B126" s="48"/>
      <c r="C126" s="48"/>
      <c r="D126" s="48"/>
      <c r="E126" s="48"/>
      <c r="F126" s="49"/>
      <c r="G126" s="134"/>
      <c r="H126" s="49"/>
      <c r="I126" s="48"/>
      <c r="J126" s="2"/>
      <c r="K126" s="2"/>
      <c r="L126" s="2"/>
      <c r="M126" s="2"/>
      <c r="N126" s="2"/>
      <c r="O126" s="2"/>
      <c r="P126" s="52"/>
      <c r="Q126" s="48"/>
      <c r="R126" s="48"/>
      <c r="S126" s="48"/>
      <c r="T126" s="48"/>
      <c r="U126" s="48"/>
      <c r="AA126" s="48"/>
      <c r="AB126" s="48"/>
      <c r="AC126" s="48"/>
    </row>
    <row r="127" spans="1:29" hidden="1" x14ac:dyDescent="0.3">
      <c r="A127" s="48"/>
      <c r="B127" s="48"/>
      <c r="C127" s="48"/>
      <c r="D127" s="48"/>
      <c r="E127" s="48"/>
      <c r="F127" s="49"/>
      <c r="G127" s="134"/>
      <c r="H127" s="49"/>
      <c r="I127" s="48"/>
      <c r="J127" s="2"/>
      <c r="K127" s="2"/>
      <c r="L127" s="2"/>
      <c r="M127" s="2"/>
      <c r="N127" s="2"/>
      <c r="O127" s="2"/>
      <c r="P127" s="2"/>
      <c r="Q127" s="48"/>
      <c r="R127" s="48"/>
      <c r="S127" s="48"/>
      <c r="T127" s="48"/>
      <c r="U127" s="48"/>
      <c r="AA127" s="48"/>
      <c r="AB127" s="48"/>
      <c r="AC127" s="48"/>
    </row>
    <row r="128" spans="1:29" hidden="1" x14ac:dyDescent="0.3">
      <c r="A128" s="48"/>
      <c r="B128" s="48"/>
      <c r="C128" s="48"/>
      <c r="D128" s="48"/>
      <c r="E128" s="48"/>
      <c r="F128" s="49"/>
      <c r="G128" s="134"/>
      <c r="H128" s="49"/>
      <c r="I128" s="48"/>
      <c r="J128" s="2"/>
      <c r="K128" s="2"/>
      <c r="L128" s="2"/>
      <c r="M128" s="2"/>
      <c r="N128" s="2"/>
      <c r="O128" s="2"/>
      <c r="P128" s="2"/>
      <c r="Q128" s="48"/>
      <c r="R128" s="48"/>
      <c r="S128" s="48"/>
      <c r="T128" s="48"/>
      <c r="U128" s="48"/>
      <c r="AA128" s="48"/>
      <c r="AB128" s="48"/>
      <c r="AC128" s="48"/>
    </row>
    <row r="129" spans="1:29" ht="15" hidden="1" customHeight="1" x14ac:dyDescent="0.3">
      <c r="A129" s="48"/>
      <c r="B129" s="48"/>
      <c r="C129" s="48"/>
      <c r="D129" s="48"/>
      <c r="E129" s="48"/>
      <c r="F129" s="49"/>
      <c r="G129" s="61"/>
      <c r="H129" s="49"/>
      <c r="I129" s="48"/>
      <c r="J129" s="2"/>
      <c r="K129" s="2"/>
      <c r="L129" s="2"/>
      <c r="M129" s="2"/>
      <c r="N129" s="2"/>
      <c r="O129" s="2"/>
      <c r="P129" s="52"/>
      <c r="Q129" s="48"/>
      <c r="R129" s="48"/>
      <c r="S129" s="48"/>
      <c r="T129" s="48"/>
      <c r="U129" s="48"/>
      <c r="AA129" s="48"/>
      <c r="AB129" s="48"/>
      <c r="AC129" s="48"/>
    </row>
    <row r="130" spans="1:29" hidden="1" x14ac:dyDescent="0.3">
      <c r="A130" s="48"/>
      <c r="B130" s="48"/>
      <c r="C130" s="48"/>
      <c r="D130" s="48"/>
      <c r="E130" s="48"/>
      <c r="F130" s="49"/>
      <c r="G130" s="61"/>
      <c r="H130" s="49"/>
      <c r="I130" s="48"/>
      <c r="J130" s="2"/>
      <c r="K130" s="2"/>
      <c r="L130" s="2"/>
      <c r="M130" s="2"/>
      <c r="N130" s="2"/>
      <c r="O130" s="2"/>
      <c r="P130" s="52"/>
      <c r="Q130" s="48"/>
      <c r="R130" s="48"/>
      <c r="S130" s="48"/>
      <c r="T130" s="48"/>
      <c r="U130" s="48"/>
      <c r="AA130" s="48"/>
      <c r="AB130" s="48"/>
      <c r="AC130" s="48"/>
    </row>
    <row r="131" spans="1:29" hidden="1" x14ac:dyDescent="0.3">
      <c r="A131" s="48"/>
      <c r="B131" s="48"/>
      <c r="C131" s="48"/>
      <c r="D131" s="48"/>
      <c r="E131" s="48"/>
      <c r="F131" s="110"/>
      <c r="G131" s="61"/>
      <c r="H131" s="49"/>
      <c r="I131" s="48"/>
      <c r="J131" s="2"/>
      <c r="K131" s="2"/>
      <c r="L131" s="2"/>
      <c r="M131" s="2"/>
      <c r="N131" s="2"/>
      <c r="O131" s="2"/>
      <c r="P131" s="2"/>
      <c r="Q131" s="48"/>
      <c r="R131" s="48"/>
      <c r="S131" s="48"/>
      <c r="T131" s="48"/>
      <c r="U131" s="48"/>
      <c r="AA131" s="48"/>
      <c r="AB131" s="48"/>
      <c r="AC131" s="48"/>
    </row>
    <row r="132" spans="1:29" hidden="1" x14ac:dyDescent="0.3">
      <c r="A132" s="48"/>
      <c r="B132" s="48"/>
      <c r="C132" s="48"/>
      <c r="D132" s="48"/>
      <c r="E132" s="48"/>
      <c r="F132" s="49"/>
      <c r="G132" s="61"/>
      <c r="H132" s="49"/>
      <c r="I132" s="48"/>
      <c r="J132" s="2"/>
      <c r="K132" s="2"/>
      <c r="L132" s="2"/>
      <c r="M132" s="2"/>
      <c r="N132" s="2"/>
      <c r="O132" s="2"/>
      <c r="P132" s="2"/>
      <c r="Q132" s="48"/>
      <c r="R132" s="48"/>
      <c r="S132" s="48"/>
      <c r="T132" s="48"/>
      <c r="U132" s="48"/>
      <c r="AA132" s="48"/>
      <c r="AB132" s="48"/>
      <c r="AC132" s="48"/>
    </row>
    <row r="133" spans="1:29" hidden="1" x14ac:dyDescent="0.3">
      <c r="A133" s="48"/>
      <c r="B133" s="48"/>
      <c r="C133" s="48"/>
      <c r="D133" s="48"/>
      <c r="E133" s="48"/>
      <c r="F133" s="49"/>
      <c r="G133" s="61"/>
      <c r="H133" s="49"/>
      <c r="I133" s="48"/>
      <c r="J133" s="2"/>
      <c r="K133" s="2"/>
      <c r="L133" s="2"/>
      <c r="M133" s="2"/>
      <c r="N133" s="2"/>
      <c r="O133" s="2"/>
      <c r="P133" s="52"/>
      <c r="Q133" s="48"/>
      <c r="R133" s="48"/>
      <c r="S133" s="48"/>
      <c r="T133" s="48"/>
      <c r="U133" s="48"/>
      <c r="AA133" s="48"/>
      <c r="AB133" s="48"/>
      <c r="AC133" s="48"/>
    </row>
    <row r="134" spans="1:29" hidden="1" x14ac:dyDescent="0.3">
      <c r="A134" s="48"/>
      <c r="B134" s="48"/>
      <c r="C134" s="48"/>
      <c r="D134" s="48"/>
      <c r="E134" s="48"/>
      <c r="F134" s="49"/>
      <c r="G134" s="61"/>
      <c r="H134" s="49"/>
      <c r="I134" s="48"/>
      <c r="J134" s="2"/>
      <c r="K134" s="2"/>
      <c r="L134" s="2"/>
      <c r="M134" s="2"/>
      <c r="N134" s="2"/>
      <c r="O134" s="2"/>
      <c r="P134" s="2"/>
      <c r="Q134" s="48"/>
      <c r="R134" s="48"/>
      <c r="S134" s="48"/>
      <c r="T134" s="48"/>
      <c r="U134" s="48"/>
      <c r="AA134" s="48"/>
      <c r="AB134" s="48"/>
      <c r="AC134" s="48"/>
    </row>
    <row r="135" spans="1:29" hidden="1" x14ac:dyDescent="0.3">
      <c r="A135" s="48"/>
      <c r="B135" s="48"/>
      <c r="C135" s="48"/>
      <c r="D135" s="48"/>
      <c r="E135" s="48"/>
      <c r="F135" s="49"/>
      <c r="G135" s="61"/>
      <c r="H135" s="49"/>
      <c r="I135" s="48"/>
      <c r="J135" s="2"/>
      <c r="K135" s="2"/>
      <c r="L135" s="2"/>
      <c r="M135" s="2"/>
      <c r="N135" s="2"/>
      <c r="O135" s="2"/>
      <c r="P135" s="52"/>
      <c r="Q135" s="48"/>
      <c r="R135" s="48"/>
      <c r="S135" s="48"/>
      <c r="T135" s="48"/>
      <c r="U135" s="48"/>
      <c r="AA135" s="48"/>
      <c r="AB135" s="48"/>
      <c r="AC135" s="48"/>
    </row>
    <row r="136" spans="1:29" hidden="1" x14ac:dyDescent="0.3">
      <c r="A136" s="48"/>
      <c r="B136" s="48"/>
      <c r="C136" s="48"/>
      <c r="D136" s="48"/>
      <c r="E136" s="48"/>
      <c r="F136" s="49"/>
      <c r="G136" s="61"/>
      <c r="H136" s="49"/>
      <c r="I136" s="48"/>
      <c r="J136" s="2"/>
      <c r="K136" s="2"/>
      <c r="L136" s="2"/>
      <c r="M136" s="2"/>
      <c r="N136" s="2"/>
      <c r="O136" s="2"/>
      <c r="P136" s="52"/>
      <c r="Q136" s="48"/>
      <c r="R136" s="48"/>
      <c r="S136" s="48"/>
      <c r="T136" s="48"/>
      <c r="U136" s="48"/>
      <c r="AA136" s="48"/>
      <c r="AB136" s="48"/>
      <c r="AC136" s="48"/>
    </row>
    <row r="137" spans="1:29" hidden="1" x14ac:dyDescent="0.3">
      <c r="A137" s="48"/>
      <c r="B137" s="48"/>
      <c r="C137" s="48"/>
      <c r="D137" s="48"/>
      <c r="E137" s="48"/>
      <c r="F137" s="49"/>
      <c r="G137" s="61"/>
      <c r="H137" s="49"/>
      <c r="I137" s="48"/>
      <c r="J137" s="2"/>
      <c r="K137" s="2"/>
      <c r="L137" s="2"/>
      <c r="M137" s="2"/>
      <c r="N137" s="2"/>
      <c r="O137" s="2"/>
      <c r="P137" s="2"/>
      <c r="Q137" s="48"/>
      <c r="R137" s="48"/>
      <c r="S137" s="48"/>
      <c r="T137" s="48"/>
      <c r="U137" s="48"/>
      <c r="AA137" s="48"/>
      <c r="AB137" s="48"/>
      <c r="AC137" s="48"/>
    </row>
    <row r="138" spans="1:29" hidden="1" x14ac:dyDescent="0.3">
      <c r="A138" s="48"/>
      <c r="B138" s="48"/>
      <c r="C138" s="48"/>
      <c r="D138" s="48"/>
      <c r="E138" s="48"/>
      <c r="F138" s="49"/>
      <c r="G138" s="49"/>
      <c r="H138" s="49"/>
      <c r="I138" s="48"/>
      <c r="J138" s="2"/>
      <c r="K138" s="2"/>
      <c r="L138" s="2"/>
      <c r="M138" s="2"/>
      <c r="N138" s="2"/>
      <c r="O138" s="2"/>
      <c r="P138" s="2"/>
      <c r="Q138" s="48"/>
      <c r="R138" s="48"/>
      <c r="S138" s="48"/>
      <c r="T138" s="48"/>
      <c r="U138" s="48"/>
      <c r="AA138" s="48"/>
      <c r="AB138" s="48"/>
      <c r="AC138" s="48"/>
    </row>
    <row r="139" spans="1:29" hidden="1" x14ac:dyDescent="0.3">
      <c r="A139" s="48"/>
      <c r="B139" s="48"/>
      <c r="C139" s="48"/>
      <c r="D139" s="48"/>
      <c r="E139" s="48"/>
      <c r="F139" s="49"/>
      <c r="G139" s="49"/>
      <c r="H139" s="49"/>
      <c r="I139" s="48"/>
      <c r="J139" s="2"/>
      <c r="K139" s="2"/>
      <c r="L139" s="2"/>
      <c r="M139" s="2"/>
      <c r="N139" s="2"/>
      <c r="O139" s="2"/>
      <c r="P139" s="2"/>
      <c r="Q139" s="48"/>
      <c r="R139" s="48"/>
      <c r="S139" s="48"/>
      <c r="T139" s="48"/>
      <c r="U139" s="48"/>
      <c r="AA139" s="48"/>
      <c r="AB139" s="48"/>
      <c r="AC139" s="48"/>
    </row>
    <row r="140" spans="1:29" hidden="1" x14ac:dyDescent="0.3">
      <c r="A140" s="48"/>
      <c r="B140" s="48"/>
      <c r="C140" s="48"/>
      <c r="D140" s="48"/>
      <c r="E140" s="48"/>
      <c r="F140" s="49"/>
      <c r="G140" s="49"/>
      <c r="H140" s="49"/>
      <c r="I140" s="48"/>
      <c r="J140" s="2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AA140" s="48"/>
      <c r="AB140" s="48"/>
      <c r="AC140" s="48"/>
    </row>
    <row r="141" spans="1:29" hidden="1" x14ac:dyDescent="0.3">
      <c r="A141" s="48"/>
      <c r="B141" s="48"/>
      <c r="C141" s="48"/>
      <c r="D141" s="48"/>
      <c r="E141" s="48"/>
      <c r="F141" s="49"/>
      <c r="G141" s="49"/>
      <c r="H141" s="49"/>
      <c r="I141" s="48"/>
      <c r="J141" s="49"/>
      <c r="K141" s="49"/>
      <c r="L141" s="49"/>
      <c r="M141" s="49"/>
      <c r="N141" s="49"/>
      <c r="O141" s="49"/>
      <c r="P141" s="53"/>
      <c r="Q141" s="48"/>
      <c r="R141" s="48"/>
      <c r="S141" s="48"/>
      <c r="T141" s="48"/>
      <c r="U141" s="48"/>
      <c r="AA141" s="48"/>
      <c r="AB141" s="48"/>
      <c r="AC141" s="48"/>
    </row>
    <row r="142" spans="1:29" hidden="1" x14ac:dyDescent="0.3">
      <c r="A142" s="48"/>
      <c r="B142" s="48"/>
      <c r="C142" s="48"/>
      <c r="D142" s="48"/>
      <c r="E142" s="48"/>
      <c r="F142" s="49"/>
      <c r="G142" s="49"/>
      <c r="H142" s="49"/>
      <c r="I142" s="48"/>
      <c r="J142" s="2"/>
      <c r="K142" s="2"/>
      <c r="L142" s="2"/>
      <c r="M142" s="2"/>
      <c r="N142" s="2"/>
      <c r="O142" s="2"/>
      <c r="P142" s="52"/>
      <c r="Q142" s="48"/>
      <c r="R142" s="48"/>
      <c r="S142" s="48"/>
      <c r="T142" s="48"/>
      <c r="U142" s="48"/>
      <c r="AA142" s="48"/>
      <c r="AB142" s="48"/>
      <c r="AC142" s="48"/>
    </row>
    <row r="143" spans="1:29" hidden="1" x14ac:dyDescent="0.3">
      <c r="A143" s="48"/>
      <c r="B143" s="48"/>
      <c r="C143" s="48"/>
      <c r="D143" s="48"/>
      <c r="E143" s="48"/>
      <c r="F143" s="49"/>
      <c r="G143" s="49"/>
      <c r="H143" s="49"/>
      <c r="I143" s="48"/>
      <c r="J143" s="2"/>
      <c r="K143" s="2"/>
      <c r="L143" s="2"/>
      <c r="M143" s="2"/>
      <c r="N143" s="2"/>
      <c r="O143" s="2"/>
      <c r="P143" s="52"/>
      <c r="Q143" s="48"/>
      <c r="R143" s="48"/>
      <c r="S143" s="48"/>
      <c r="T143" s="48"/>
      <c r="U143" s="48"/>
      <c r="AA143" s="48"/>
      <c r="AB143" s="48"/>
      <c r="AC143" s="48"/>
    </row>
    <row r="144" spans="1:29" hidden="1" x14ac:dyDescent="0.3">
      <c r="A144" s="48"/>
      <c r="B144" s="48"/>
      <c r="C144" s="48"/>
      <c r="D144" s="48"/>
      <c r="E144" s="48"/>
      <c r="F144" s="49"/>
      <c r="G144" s="49"/>
      <c r="H144" s="49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AA144" s="48"/>
      <c r="AB144" s="48"/>
      <c r="AC144" s="48"/>
    </row>
    <row r="145" spans="1:29" hidden="1" x14ac:dyDescent="0.3">
      <c r="A145" s="48"/>
      <c r="B145" s="48"/>
      <c r="C145" s="48"/>
      <c r="D145" s="48"/>
      <c r="E145" s="48"/>
      <c r="F145" s="49"/>
      <c r="G145" s="49"/>
      <c r="H145" s="49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AA145" s="48"/>
      <c r="AB145" s="48"/>
      <c r="AC145" s="48"/>
    </row>
    <row r="146" spans="1:29" hidden="1" x14ac:dyDescent="0.3">
      <c r="A146" s="48"/>
      <c r="B146" s="48"/>
      <c r="C146" s="48"/>
      <c r="D146" s="48"/>
      <c r="E146" s="48"/>
      <c r="F146" s="49"/>
      <c r="G146" s="49"/>
      <c r="H146" s="49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AA146" s="48"/>
      <c r="AB146" s="48"/>
      <c r="AC146" s="48"/>
    </row>
    <row r="147" spans="1:29" hidden="1" x14ac:dyDescent="0.3">
      <c r="A147" s="48"/>
      <c r="B147" s="48"/>
      <c r="C147" s="48"/>
      <c r="D147" s="48"/>
      <c r="E147" s="48"/>
      <c r="F147" s="49"/>
      <c r="G147" s="49"/>
      <c r="H147" s="49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AA147" s="48"/>
      <c r="AB147" s="48"/>
      <c r="AC147" s="48"/>
    </row>
    <row r="148" spans="1:29" hidden="1" x14ac:dyDescent="0.3">
      <c r="A148" s="48"/>
      <c r="B148" s="48"/>
      <c r="C148" s="48"/>
      <c r="D148" s="48"/>
      <c r="E148" s="48"/>
      <c r="F148" s="49"/>
      <c r="G148" s="49"/>
      <c r="H148" s="49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AA148" s="48"/>
      <c r="AB148" s="48"/>
      <c r="AC148" s="48"/>
    </row>
    <row r="149" spans="1:29" hidden="1" x14ac:dyDescent="0.3">
      <c r="A149" s="48"/>
      <c r="B149" s="48"/>
      <c r="C149" s="48"/>
      <c r="D149" s="48"/>
      <c r="E149" s="48"/>
      <c r="F149" s="49"/>
      <c r="G149" s="49"/>
      <c r="H149" s="49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AA149" s="48"/>
      <c r="AB149" s="48"/>
      <c r="AC149" s="48"/>
    </row>
    <row r="150" spans="1:29" hidden="1" x14ac:dyDescent="0.3">
      <c r="A150" s="48"/>
      <c r="B150" s="48"/>
      <c r="C150" s="48"/>
      <c r="D150" s="48"/>
      <c r="E150" s="48"/>
      <c r="F150" s="49"/>
      <c r="G150" s="49"/>
      <c r="H150" s="49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AA150" s="48"/>
      <c r="AB150" s="48"/>
      <c r="AC150" s="48"/>
    </row>
    <row r="151" spans="1:29" hidden="1" x14ac:dyDescent="0.3">
      <c r="A151" s="48"/>
      <c r="B151" s="48"/>
      <c r="C151" s="48"/>
      <c r="D151" s="48"/>
      <c r="E151" s="48"/>
      <c r="F151" s="49"/>
      <c r="G151" s="49"/>
      <c r="H151" s="49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AA151" s="48"/>
      <c r="AB151" s="48"/>
      <c r="AC151" s="48"/>
    </row>
    <row r="152" spans="1:29" hidden="1" x14ac:dyDescent="0.3">
      <c r="A152" s="48"/>
      <c r="B152" s="48"/>
      <c r="C152" s="48"/>
      <c r="D152" s="48"/>
      <c r="E152" s="48"/>
      <c r="F152" s="49"/>
      <c r="G152" s="49"/>
      <c r="H152" s="49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AA152" s="48"/>
      <c r="AB152" s="48"/>
      <c r="AC152" s="48"/>
    </row>
    <row r="153" spans="1:29" hidden="1" x14ac:dyDescent="0.3">
      <c r="A153" s="48"/>
      <c r="B153" s="48"/>
      <c r="C153" s="48"/>
      <c r="D153" s="48"/>
      <c r="E153" s="48"/>
      <c r="F153" s="49"/>
      <c r="G153" s="49"/>
      <c r="H153" s="49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AA153" s="48"/>
      <c r="AB153" s="48"/>
      <c r="AC153" s="48"/>
    </row>
    <row r="154" spans="1:29" hidden="1" x14ac:dyDescent="0.3">
      <c r="A154" s="48"/>
      <c r="B154" s="48"/>
      <c r="C154" s="48"/>
      <c r="D154" s="48"/>
      <c r="E154" s="48"/>
      <c r="F154" s="49"/>
      <c r="G154" s="49"/>
      <c r="H154" s="49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AA154" s="48"/>
      <c r="AB154" s="48"/>
      <c r="AC154" s="48"/>
    </row>
    <row r="155" spans="1:29" hidden="1" x14ac:dyDescent="0.3">
      <c r="A155" s="48"/>
      <c r="B155" s="48"/>
      <c r="C155" s="48"/>
      <c r="D155" s="48"/>
      <c r="E155" s="48"/>
      <c r="F155" s="49"/>
      <c r="G155" s="49"/>
      <c r="H155" s="49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AA155" s="48"/>
      <c r="AB155" s="48"/>
      <c r="AC155" s="48"/>
    </row>
    <row r="156" spans="1:29" hidden="1" x14ac:dyDescent="0.3">
      <c r="A156" s="48"/>
      <c r="B156" s="48"/>
      <c r="C156" s="48"/>
      <c r="D156" s="48"/>
      <c r="E156" s="48"/>
      <c r="F156" s="49"/>
      <c r="G156" s="49"/>
      <c r="H156" s="49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AA156" s="48"/>
      <c r="AB156" s="48"/>
      <c r="AC156" s="48"/>
    </row>
    <row r="157" spans="1:29" hidden="1" x14ac:dyDescent="0.3">
      <c r="A157" s="48"/>
      <c r="B157" s="48"/>
      <c r="C157" s="48"/>
      <c r="D157" s="48"/>
      <c r="E157" s="48"/>
      <c r="F157" s="49"/>
      <c r="G157" s="49"/>
      <c r="H157" s="49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AA157" s="48"/>
      <c r="AB157" s="48"/>
      <c r="AC157" s="48"/>
    </row>
    <row r="158" spans="1:29" hidden="1" x14ac:dyDescent="0.3">
      <c r="A158" s="48"/>
      <c r="B158" s="48"/>
      <c r="C158" s="48"/>
      <c r="D158" s="48"/>
      <c r="E158" s="48"/>
      <c r="F158" s="49"/>
      <c r="G158" s="49"/>
      <c r="H158" s="49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AA158" s="48"/>
      <c r="AB158" s="48"/>
      <c r="AC158" s="48"/>
    </row>
    <row r="159" spans="1:29" hidden="1" x14ac:dyDescent="0.3">
      <c r="A159" s="48"/>
      <c r="B159" s="48"/>
      <c r="C159" s="48"/>
      <c r="D159" s="134"/>
      <c r="E159" s="134"/>
      <c r="F159" s="49"/>
      <c r="G159" s="49"/>
      <c r="H159" s="49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AA159" s="48"/>
      <c r="AB159" s="48"/>
      <c r="AC159" s="48"/>
    </row>
    <row r="160" spans="1:29" hidden="1" x14ac:dyDescent="0.3">
      <c r="A160" s="48"/>
      <c r="B160" s="48"/>
      <c r="C160" s="48"/>
      <c r="D160" s="134"/>
      <c r="E160" s="134"/>
      <c r="F160" s="49"/>
      <c r="G160" s="48"/>
      <c r="H160" s="49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AA160" s="48"/>
      <c r="AB160" s="48"/>
      <c r="AC160" s="48"/>
    </row>
    <row r="161" spans="1:29" hidden="1" x14ac:dyDescent="0.3">
      <c r="A161" s="48"/>
      <c r="B161" s="48"/>
      <c r="C161" s="48"/>
      <c r="D161" s="134"/>
      <c r="E161" s="134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AA161" s="48"/>
      <c r="AB161" s="48"/>
      <c r="AC161" s="48"/>
    </row>
    <row r="162" spans="1:29" hidden="1" x14ac:dyDescent="0.3">
      <c r="A162" s="48"/>
      <c r="B162" s="48"/>
      <c r="C162" s="48"/>
      <c r="D162" s="134"/>
      <c r="E162" s="134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AA162" s="48"/>
      <c r="AB162" s="48"/>
      <c r="AC162" s="48"/>
    </row>
    <row r="163" spans="1:29" hidden="1" x14ac:dyDescent="0.3">
      <c r="A163" s="48"/>
      <c r="B163" s="48"/>
      <c r="C163" s="48"/>
      <c r="D163" s="134"/>
      <c r="E163" s="134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AA163" s="48"/>
      <c r="AB163" s="48"/>
      <c r="AC163" s="48"/>
    </row>
    <row r="164" spans="1:29" hidden="1" x14ac:dyDescent="0.3">
      <c r="A164" s="48"/>
      <c r="B164" s="48"/>
      <c r="C164" s="48"/>
      <c r="D164" s="134"/>
      <c r="E164" s="134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AA164" s="48"/>
      <c r="AB164" s="48"/>
      <c r="AC164" s="48"/>
    </row>
    <row r="165" spans="1:29" hidden="1" x14ac:dyDescent="0.3">
      <c r="A165" s="48"/>
      <c r="B165" s="48"/>
      <c r="C165" s="48"/>
      <c r="D165" s="134"/>
      <c r="E165" s="134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AA165" s="48"/>
      <c r="AB165" s="48"/>
      <c r="AC165" s="48"/>
    </row>
    <row r="166" spans="1:29" hidden="1" x14ac:dyDescent="0.3">
      <c r="A166" s="48"/>
      <c r="B166" s="48"/>
      <c r="C166" s="48"/>
      <c r="D166" s="134"/>
      <c r="E166" s="134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AA166" s="48"/>
      <c r="AB166" s="48"/>
      <c r="AC166" s="48"/>
    </row>
    <row r="167" spans="1:29" hidden="1" x14ac:dyDescent="0.3">
      <c r="A167" s="48"/>
      <c r="B167" s="48"/>
      <c r="C167" s="48"/>
      <c r="D167" s="134"/>
      <c r="E167" s="134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AA167" s="48"/>
      <c r="AB167" s="48"/>
      <c r="AC167" s="48"/>
    </row>
    <row r="168" spans="1:29" hidden="1" x14ac:dyDescent="0.3">
      <c r="A168" s="48"/>
      <c r="B168" s="48"/>
      <c r="C168" s="48"/>
      <c r="D168" s="134"/>
      <c r="E168" s="134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AA168" s="48"/>
      <c r="AB168" s="48"/>
      <c r="AC168" s="48"/>
    </row>
    <row r="169" spans="1:29" hidden="1" x14ac:dyDescent="0.3">
      <c r="A169" s="48"/>
      <c r="B169" s="48"/>
      <c r="C169" s="48"/>
      <c r="D169" s="134"/>
      <c r="E169" s="134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AA169" s="48"/>
      <c r="AB169" s="48"/>
      <c r="AC169" s="48"/>
    </row>
    <row r="170" spans="1:29" hidden="1" x14ac:dyDescent="0.3">
      <c r="A170" s="48"/>
      <c r="B170" s="48"/>
      <c r="C170" s="48"/>
      <c r="D170" s="134"/>
      <c r="E170" s="134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AA170" s="48"/>
      <c r="AB170" s="48"/>
      <c r="AC170" s="48"/>
    </row>
    <row r="171" spans="1:29" hidden="1" x14ac:dyDescent="0.3">
      <c r="A171" s="48"/>
      <c r="B171" s="48"/>
      <c r="C171" s="48"/>
      <c r="D171" s="134"/>
      <c r="E171" s="134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AA171" s="48"/>
      <c r="AB171" s="48"/>
      <c r="AC171" s="48"/>
    </row>
    <row r="172" spans="1:29" hidden="1" x14ac:dyDescent="0.3">
      <c r="A172" s="48"/>
      <c r="B172" s="48"/>
      <c r="C172" s="48"/>
      <c r="D172" s="134"/>
      <c r="E172" s="134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AA172" s="48"/>
      <c r="AB172" s="48"/>
      <c r="AC172" s="48"/>
    </row>
    <row r="173" spans="1:29" hidden="1" x14ac:dyDescent="0.3">
      <c r="A173" s="48"/>
      <c r="B173" s="48"/>
      <c r="C173" s="48"/>
      <c r="D173" s="134"/>
      <c r="E173" s="134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AA173" s="48"/>
      <c r="AB173" s="48"/>
      <c r="AC173" s="48"/>
    </row>
    <row r="174" spans="1:29" hidden="1" x14ac:dyDescent="0.3">
      <c r="A174" s="48"/>
      <c r="B174" s="48"/>
      <c r="C174" s="48"/>
      <c r="D174" s="134"/>
      <c r="E174" s="134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AA174" s="48"/>
      <c r="AB174" s="48"/>
      <c r="AC174" s="48"/>
    </row>
    <row r="175" spans="1:29" hidden="1" x14ac:dyDescent="0.3">
      <c r="A175" s="48"/>
      <c r="B175" s="48"/>
      <c r="C175" s="48"/>
      <c r="D175" s="134"/>
      <c r="E175" s="134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AA175" s="48"/>
      <c r="AB175" s="48"/>
      <c r="AC175" s="48"/>
    </row>
    <row r="176" spans="1:29" hidden="1" x14ac:dyDescent="0.3">
      <c r="A176" s="48"/>
      <c r="B176" s="48"/>
      <c r="C176" s="48"/>
      <c r="D176" s="134"/>
      <c r="E176" s="134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AA176" s="48"/>
      <c r="AB176" s="48"/>
      <c r="AC176" s="48"/>
    </row>
    <row r="177" spans="1:29" hidden="1" x14ac:dyDescent="0.3">
      <c r="A177" s="48"/>
      <c r="B177" s="48"/>
      <c r="C177" s="48"/>
      <c r="D177" s="134"/>
      <c r="E177" s="134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AA177" s="48"/>
      <c r="AB177" s="48"/>
      <c r="AC177" s="48"/>
    </row>
    <row r="178" spans="1:29" hidden="1" x14ac:dyDescent="0.3">
      <c r="A178" s="48"/>
      <c r="B178" s="48"/>
      <c r="C178" s="48"/>
      <c r="D178" s="134"/>
      <c r="E178" s="134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AA178" s="48"/>
      <c r="AB178" s="48"/>
      <c r="AC178" s="48"/>
    </row>
    <row r="179" spans="1:29" hidden="1" x14ac:dyDescent="0.3">
      <c r="A179" s="48"/>
      <c r="B179" s="48"/>
      <c r="C179" s="48"/>
      <c r="D179" s="134"/>
      <c r="E179" s="134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</row>
    <row r="180" spans="1:29" hidden="1" x14ac:dyDescent="0.3">
      <c r="A180" s="48"/>
      <c r="B180" s="48"/>
      <c r="C180" s="48"/>
      <c r="D180" s="134"/>
      <c r="E180" s="134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</row>
    <row r="181" spans="1:29" hidden="1" x14ac:dyDescent="0.3">
      <c r="A181" s="48"/>
      <c r="B181" s="48"/>
      <c r="C181" s="48"/>
      <c r="D181" s="134"/>
      <c r="E181" s="134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</row>
    <row r="182" spans="1:29" hidden="1" x14ac:dyDescent="0.3">
      <c r="A182" s="48"/>
      <c r="B182" s="48"/>
      <c r="C182" s="48"/>
      <c r="D182" s="134"/>
      <c r="E182" s="134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</row>
    <row r="183" spans="1:29" hidden="1" x14ac:dyDescent="0.3">
      <c r="A183" s="48"/>
      <c r="B183" s="48"/>
      <c r="C183" s="48"/>
      <c r="D183" s="134"/>
      <c r="E183" s="134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</row>
    <row r="184" spans="1:29" hidden="1" x14ac:dyDescent="0.3">
      <c r="A184" s="48"/>
      <c r="B184" s="48"/>
      <c r="C184" s="48"/>
      <c r="D184" s="134"/>
      <c r="E184" s="134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</row>
    <row r="185" spans="1:29" hidden="1" x14ac:dyDescent="0.3">
      <c r="A185" s="48"/>
      <c r="B185" s="48"/>
      <c r="C185" s="48"/>
      <c r="D185" s="134"/>
      <c r="E185" s="134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</row>
    <row r="186" spans="1:29" hidden="1" x14ac:dyDescent="0.3">
      <c r="A186" s="48"/>
      <c r="B186" s="48"/>
      <c r="C186" s="48"/>
      <c r="D186" s="134"/>
      <c r="E186" s="134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</row>
    <row r="187" spans="1:29" hidden="1" x14ac:dyDescent="0.3">
      <c r="A187" s="48"/>
      <c r="B187" s="48"/>
      <c r="C187" s="48"/>
      <c r="D187" s="134"/>
      <c r="E187" s="134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</row>
    <row r="188" spans="1:29" hidden="1" x14ac:dyDescent="0.3">
      <c r="A188" s="48"/>
      <c r="B188" s="48"/>
      <c r="C188" s="48"/>
      <c r="D188" s="49"/>
      <c r="E188" s="49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</row>
    <row r="189" spans="1:29" hidden="1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</row>
    <row r="190" spans="1:29" hidden="1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</row>
    <row r="191" spans="1:29" hidden="1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</row>
    <row r="192" spans="1:29" hidden="1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</row>
    <row r="193" spans="1:21" hidden="1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</row>
    <row r="194" spans="1:21" hidden="1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</row>
    <row r="195" spans="1:21" hidden="1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</row>
    <row r="196" spans="1:21" hidden="1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</row>
    <row r="197" spans="1:21" hidden="1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</row>
    <row r="198" spans="1:21" hidden="1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</row>
    <row r="199" spans="1:21" hidden="1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</row>
    <row r="200" spans="1:21" hidden="1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</row>
    <row r="201" spans="1:21" hidden="1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</row>
    <row r="202" spans="1:21" hidden="1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</row>
    <row r="203" spans="1:21" hidden="1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</row>
    <row r="204" spans="1:21" hidden="1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</row>
    <row r="205" spans="1:21" hidden="1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</row>
    <row r="206" spans="1:21" hidden="1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</row>
    <row r="207" spans="1:21" hidden="1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</row>
    <row r="208" spans="1:21" hidden="1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</row>
    <row r="209" spans="1:21" hidden="1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</row>
    <row r="210" spans="1:21" hidden="1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</row>
    <row r="211" spans="1:21" hidden="1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</row>
    <row r="212" spans="1:21" hidden="1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</row>
    <row r="213" spans="1:21" hidden="1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</row>
    <row r="214" spans="1:21" hidden="1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</row>
    <row r="215" spans="1:21" hidden="1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</row>
    <row r="216" spans="1:21" hidden="1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</row>
    <row r="217" spans="1:21" hidden="1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</row>
    <row r="218" spans="1:21" hidden="1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</row>
    <row r="219" spans="1:21" hidden="1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</row>
    <row r="220" spans="1:21" hidden="1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</row>
    <row r="221" spans="1:21" hidden="1" x14ac:dyDescent="0.3">
      <c r="A221" s="48"/>
      <c r="B221" s="48"/>
      <c r="C221" s="49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</row>
    <row r="222" spans="1:21" hidden="1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</row>
    <row r="223" spans="1:21" hidden="1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</row>
    <row r="224" spans="1:21" hidden="1" x14ac:dyDescent="0.3">
      <c r="A224" s="48"/>
      <c r="B224" s="51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</row>
    <row r="225" spans="1:21" hidden="1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</row>
    <row r="226" spans="1:21" hidden="1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</row>
    <row r="227" spans="1:21" hidden="1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</row>
    <row r="228" spans="1:21" hidden="1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</row>
    <row r="229" spans="1:21" hidden="1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</row>
    <row r="230" spans="1:21" hidden="1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</row>
    <row r="231" spans="1:21" hidden="1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</row>
    <row r="232" spans="1:21" hidden="1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</row>
    <row r="233" spans="1:21" hidden="1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</row>
    <row r="234" spans="1:21" hidden="1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</row>
    <row r="235" spans="1:21" hidden="1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</row>
    <row r="236" spans="1:21" hidden="1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</row>
    <row r="237" spans="1:21" hidden="1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</row>
    <row r="238" spans="1:21" hidden="1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</row>
    <row r="239" spans="1:21" hidden="1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</row>
    <row r="240" spans="1:21" hidden="1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</row>
    <row r="241" spans="1:21" hidden="1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</row>
    <row r="242" spans="1:21" hidden="1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</row>
    <row r="243" spans="1:21" hidden="1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</row>
    <row r="244" spans="1:21" hidden="1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</row>
    <row r="245" spans="1:21" hidden="1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</row>
    <row r="246" spans="1:21" hidden="1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</row>
    <row r="247" spans="1:21" hidden="1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</row>
    <row r="248" spans="1:21" hidden="1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</row>
    <row r="249" spans="1:21" hidden="1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</row>
    <row r="250" spans="1:21" hidden="1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</row>
    <row r="251" spans="1:21" hidden="1" x14ac:dyDescent="0.3">
      <c r="A251" s="48"/>
      <c r="B251" s="48"/>
      <c r="C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</row>
    <row r="252" spans="1:21" hidden="1" x14ac:dyDescent="0.3">
      <c r="A252" s="48"/>
      <c r="B252" s="48"/>
      <c r="C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</row>
    <row r="253" spans="1:21" hidden="1" x14ac:dyDescent="0.3">
      <c r="A253" s="48"/>
      <c r="B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</row>
    <row r="254" spans="1:21" hidden="1" x14ac:dyDescent="0.3">
      <c r="A254" s="48"/>
      <c r="B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</row>
    <row r="255" spans="1:21" hidden="1" x14ac:dyDescent="0.3">
      <c r="A255" s="48"/>
      <c r="B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</row>
    <row r="256" spans="1:21" hidden="1" x14ac:dyDescent="0.3">
      <c r="A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</row>
    <row r="257" spans="10:21" hidden="1" x14ac:dyDescent="0.3"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</row>
    <row r="258" spans="10:21" hidden="1" x14ac:dyDescent="0.3"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</row>
  </sheetData>
  <sortState xmlns:xlrd2="http://schemas.microsoft.com/office/spreadsheetml/2017/richdata2" ref="J27:P57">
    <sortCondition ref="J26:J57"/>
  </sortState>
  <phoneticPr fontId="6" type="noConversion"/>
  <dataValidations count="1">
    <dataValidation type="list" allowBlank="1" showInputMessage="1" showErrorMessage="1" sqref="K68 C71:D71 C25:G25" xr:uid="{AD2C0C6C-B469-4A74-B709-BA08F6B79F51}">
      <formula1>"Harvester,Fellerbuncher,Motosierra,NULO,"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5F26B7-06AA-405E-A49A-09DE5F44B185}">
          <x14:formula1>
            <xm:f>'BD Costos'!$U$23:$AD$23</xm:f>
          </x14:formula1>
          <xm:sqref>B15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2F090-3D35-4E69-85CF-F3DD92F72551}">
  <sheetPr codeName="Hoja1"/>
  <dimension ref="A1:R92"/>
  <sheetViews>
    <sheetView showGridLines="0" showRowColHeaders="0" zoomScale="70" zoomScaleNormal="70" workbookViewId="0"/>
  </sheetViews>
  <sheetFormatPr baseColWidth="10" defaultColWidth="0" defaultRowHeight="14.4" zeroHeight="1" x14ac:dyDescent="0.3"/>
  <cols>
    <col min="1" max="1" width="21.109375" style="48" customWidth="1"/>
    <col min="2" max="2" width="91" style="48" bestFit="1" customWidth="1"/>
    <col min="3" max="3" width="25.88671875" style="48" bestFit="1" customWidth="1"/>
    <col min="4" max="4" width="26.33203125" style="48" bestFit="1" customWidth="1"/>
    <col min="5" max="6" width="25.5546875" style="48" bestFit="1" customWidth="1"/>
    <col min="7" max="7" width="13.44140625" style="48" bestFit="1" customWidth="1"/>
    <col min="8" max="8" width="24" style="48" bestFit="1" customWidth="1"/>
    <col min="9" max="9" width="10.88671875" style="48" customWidth="1"/>
    <col min="10" max="10" width="17" style="48" customWidth="1"/>
    <col min="11" max="11" width="16.44140625" style="48" customWidth="1"/>
    <col min="12" max="12" width="21.5546875" style="48" customWidth="1"/>
    <col min="13" max="13" width="21.5546875" style="48" bestFit="1" customWidth="1"/>
    <col min="14" max="14" width="26.109375" style="48" hidden="1" customWidth="1"/>
    <col min="15" max="15" width="17.109375" style="48" hidden="1" customWidth="1"/>
    <col min="16" max="18" width="0" style="48" hidden="1" customWidth="1"/>
    <col min="19" max="16384" width="11.44140625" style="48" hidden="1"/>
  </cols>
  <sheetData>
    <row r="1" spans="2:17" x14ac:dyDescent="0.3"/>
    <row r="2" spans="2:17" x14ac:dyDescent="0.3"/>
    <row r="3" spans="2:17" x14ac:dyDescent="0.3"/>
    <row r="4" spans="2:17" x14ac:dyDescent="0.3"/>
    <row r="5" spans="2:17" x14ac:dyDescent="0.3"/>
    <row r="6" spans="2:17" x14ac:dyDescent="0.3"/>
    <row r="7" spans="2:17" x14ac:dyDescent="0.3"/>
    <row r="8" spans="2:17" x14ac:dyDescent="0.3"/>
    <row r="9" spans="2:17" x14ac:dyDescent="0.3"/>
    <row r="10" spans="2:17" x14ac:dyDescent="0.3"/>
    <row r="11" spans="2:17" x14ac:dyDescent="0.3"/>
    <row r="12" spans="2:17" x14ac:dyDescent="0.3">
      <c r="B12" s="286"/>
      <c r="C12" s="287"/>
      <c r="D12" s="287"/>
      <c r="E12" s="287"/>
      <c r="F12" s="287"/>
      <c r="G12" s="287"/>
      <c r="H12" s="287"/>
      <c r="I12" s="287"/>
    </row>
    <row r="13" spans="2:17" ht="23.4" x14ac:dyDescent="0.45">
      <c r="B13" s="288"/>
      <c r="C13" s="219"/>
      <c r="D13" s="219"/>
      <c r="E13" s="219"/>
      <c r="F13" s="219"/>
      <c r="G13" s="219"/>
      <c r="H13" s="219"/>
      <c r="I13" s="221"/>
      <c r="M13" s="214"/>
      <c r="N13" s="214"/>
      <c r="O13" s="214"/>
      <c r="P13" s="214"/>
    </row>
    <row r="14" spans="2:17" ht="23.4" x14ac:dyDescent="0.45">
      <c r="B14" s="209"/>
      <c r="C14" s="219"/>
      <c r="D14" s="219"/>
      <c r="E14" s="219"/>
      <c r="F14" s="219"/>
      <c r="G14" s="219"/>
      <c r="H14" s="219"/>
      <c r="I14" s="221"/>
      <c r="M14" s="214"/>
      <c r="N14" s="214"/>
      <c r="O14" s="214"/>
      <c r="P14" s="214"/>
    </row>
    <row r="15" spans="2:17" ht="23.4" x14ac:dyDescent="0.45">
      <c r="B15" s="214" t="s">
        <v>331</v>
      </c>
      <c r="C15" s="218"/>
      <c r="D15" s="219"/>
      <c r="E15" s="219"/>
      <c r="F15" s="214"/>
      <c r="G15" s="218"/>
      <c r="H15" s="220"/>
      <c r="I15" s="221"/>
      <c r="M15" s="209"/>
      <c r="N15" s="214"/>
      <c r="O15" s="214"/>
      <c r="P15" s="209"/>
      <c r="Q15" s="2"/>
    </row>
    <row r="16" spans="2:17" ht="23.4" x14ac:dyDescent="0.45">
      <c r="B16" s="540" t="s">
        <v>170</v>
      </c>
      <c r="C16" s="222" t="s">
        <v>166</v>
      </c>
      <c r="D16" s="222" t="s">
        <v>185</v>
      </c>
      <c r="E16" s="222" t="s">
        <v>20</v>
      </c>
      <c r="F16" s="222" t="s">
        <v>167</v>
      </c>
      <c r="G16" s="222" t="s">
        <v>250</v>
      </c>
      <c r="H16" s="220"/>
      <c r="I16" s="221"/>
      <c r="P16" s="219"/>
      <c r="Q16" s="49"/>
    </row>
    <row r="17" spans="1:17" ht="23.4" x14ac:dyDescent="0.45">
      <c r="B17" s="223" t="s">
        <v>265</v>
      </c>
      <c r="C17" s="558">
        <f>INDEX('BD Costos'!$U$41:$AD$41,
MATCH('m3 Madereo'!$B$16,
'BD Costos'!$U$37:$AD$37, 0))</f>
        <v>229976845.07147747</v>
      </c>
      <c r="D17" s="558">
        <f xml:space="preserve"> INDEX('BD Costos'!$U$44:$AD$44,
MATCH('m3 Madereo'!$B$16,
'BD Costos'!$U$37:$AD$37, 0))</f>
        <v>302661813.00999182</v>
      </c>
      <c r="E17" s="558">
        <f>INDEX('BD Costos'!$U$47:$AD$47,
MATCH('m3 Madereo'!$B$16,
'BD Costos'!$U$37:$AD$37, 0))</f>
        <v>342920110.04009342</v>
      </c>
      <c r="F17" s="558">
        <f>INDEX('BD Costos'!$U$38:$AD$38,
MATCH('m3 Madereo'!$B$16,
'BD Costos'!$U$37:$AD$37, 0))</f>
        <v>241525038.52059594</v>
      </c>
      <c r="G17" s="448" t="e">
        <f>INDEX('BD Costos'!$U$50:$AD$50,
MATCH('m3 Madereo'!$B$16,
'BD Costos'!$U$37:$AD$37, 0))</f>
        <v>#DIV/0!</v>
      </c>
      <c r="H17" s="289"/>
      <c r="I17" s="289"/>
      <c r="P17" s="219"/>
      <c r="Q17" s="49"/>
    </row>
    <row r="18" spans="1:17" ht="23.4" x14ac:dyDescent="0.45">
      <c r="A18" s="48">
        <v>6</v>
      </c>
      <c r="B18" s="223" t="s">
        <v>266</v>
      </c>
      <c r="C18" s="558">
        <f>INDEX('BD Costos'!$U$42:$AD$42,
MATCH('m3 Madereo'!$B$16,
'BD Costos'!$U$37:$AD$37, 0))</f>
        <v>105180016.76190487</v>
      </c>
      <c r="D18" s="558">
        <f>INDEX('BD Costos'!$U$45:$AD$45,
MATCH('m3 Madereo'!$B$16,
'BD Costos'!$U$37:$AD$37, 0))</f>
        <v>65737510.47619053</v>
      </c>
      <c r="E18" s="558">
        <f>INDEX('BD Costos'!$U$48:$AD$48,
MATCH('m3 Madereo'!$B$16,
'BD Costos'!$U$37:$AD$37, 0))</f>
        <v>233917859.58265066</v>
      </c>
      <c r="F18" s="558">
        <f>INDEX('BD Costos'!$U$39:$AD$39,
MATCH('m3 Madereo'!$B$16,
'BD Costos'!$U$37:$AD$37, 0))</f>
        <v>165938566.00140569</v>
      </c>
      <c r="G18" s="448">
        <f>INDEX('BD Costos'!$U$51:$AD$51,
MATCH('m3 Madereo'!$B$16,
'BD Costos'!$U$37:$AD$37, 0))</f>
        <v>0</v>
      </c>
      <c r="H18" s="219"/>
      <c r="I18" s="221"/>
      <c r="P18" s="214"/>
      <c r="Q18" s="49"/>
    </row>
    <row r="19" spans="1:17" ht="23.4" x14ac:dyDescent="0.45">
      <c r="B19" s="223" t="s">
        <v>267</v>
      </c>
      <c r="C19" s="558">
        <f xml:space="preserve"> INDEX('BD Costos'!$U$43:$AD$43,
MATCH('m3 Madereo'!$B$16,
'BD Costos'!$U$37:$AD$37, 0))</f>
        <v>369181848.8815065</v>
      </c>
      <c r="D19" s="558">
        <f>INDEX('BD Costos'!$U$46:$AD$46,
MATCH('m3 Madereo'!$B$16,
'BD Costos'!$U$37:$AD$37, 0))</f>
        <v>712580909</v>
      </c>
      <c r="E19" s="558">
        <f xml:space="preserve"> INDEX('BD Costos'!$U$49:$AD$49,
MATCH('m3 Madereo'!$B$16,
'BD Costos'!$U$37:$AD$37, 0))</f>
        <v>517375475.14463544</v>
      </c>
      <c r="F19" s="558">
        <f xml:space="preserve"> INDEX('BD Costos'!$U$40:$AD$40,
MATCH('m3 Madereo'!$B$16,
'BD Costos'!$U$37:$AD$37, 0))</f>
        <v>346498231.97071213</v>
      </c>
      <c r="G19" s="448">
        <f xml:space="preserve"> INDEX('BD Costos'!$U$52:$AD$52,
MATCH('m3 Madereo'!$B$16,
'BD Costos'!$U$37:$AD$37, 0))</f>
        <v>0</v>
      </c>
      <c r="H19" s="225"/>
      <c r="I19" s="225"/>
      <c r="P19" s="214"/>
      <c r="Q19" s="49"/>
    </row>
    <row r="20" spans="1:17" ht="23.4" x14ac:dyDescent="0.45">
      <c r="B20" s="219"/>
      <c r="C20" s="221"/>
      <c r="D20" s="290"/>
      <c r="E20" s="221"/>
      <c r="F20" s="290"/>
      <c r="G20" s="221"/>
      <c r="H20" s="290"/>
      <c r="I20" s="221"/>
      <c r="P20" s="214"/>
      <c r="Q20" s="49"/>
    </row>
    <row r="21" spans="1:17" ht="23.4" x14ac:dyDescent="0.45">
      <c r="I21" s="221"/>
      <c r="J21" s="214"/>
      <c r="K21" s="214"/>
      <c r="L21" s="214"/>
      <c r="M21" s="214"/>
      <c r="N21" s="214"/>
      <c r="O21" s="214"/>
      <c r="P21" s="214"/>
      <c r="Q21" s="49"/>
    </row>
    <row r="22" spans="1:17" ht="23.4" x14ac:dyDescent="0.45">
      <c r="I22" s="289"/>
      <c r="J22" s="214"/>
      <c r="K22" s="219"/>
      <c r="L22" s="214"/>
      <c r="M22" s="219"/>
      <c r="N22" s="219"/>
      <c r="O22" s="219"/>
      <c r="P22" s="219"/>
      <c r="Q22" s="49"/>
    </row>
    <row r="23" spans="1:17" ht="23.4" x14ac:dyDescent="0.45">
      <c r="I23" s="225"/>
      <c r="J23" s="214"/>
      <c r="K23" s="214"/>
      <c r="L23" s="214"/>
      <c r="M23" s="214"/>
      <c r="N23" s="214"/>
      <c r="O23" s="214"/>
      <c r="P23" s="214"/>
    </row>
    <row r="24" spans="1:17" ht="24" thickBot="1" x14ac:dyDescent="0.5">
      <c r="B24" s="428" t="s">
        <v>303</v>
      </c>
      <c r="C24" s="428" t="s">
        <v>166</v>
      </c>
      <c r="D24" s="428" t="s">
        <v>185</v>
      </c>
      <c r="E24" s="428" t="s">
        <v>20</v>
      </c>
      <c r="F24" s="428" t="s">
        <v>383</v>
      </c>
      <c r="G24" s="428" t="s">
        <v>130</v>
      </c>
      <c r="H24" s="289"/>
      <c r="I24" s="343"/>
      <c r="J24" s="343"/>
      <c r="K24" s="320"/>
      <c r="L24" s="320"/>
    </row>
    <row r="25" spans="1:17" ht="23.4" x14ac:dyDescent="0.45">
      <c r="B25" s="429" t="s">
        <v>323</v>
      </c>
      <c r="C25" s="541" t="s">
        <v>166</v>
      </c>
      <c r="D25" s="541" t="s">
        <v>185</v>
      </c>
      <c r="E25" s="541" t="s">
        <v>20</v>
      </c>
      <c r="F25" s="541" t="s">
        <v>166</v>
      </c>
      <c r="G25" s="542" t="s">
        <v>130</v>
      </c>
      <c r="H25" s="289"/>
      <c r="I25" s="353"/>
      <c r="J25" s="344"/>
      <c r="K25" s="456"/>
      <c r="L25" s="456"/>
    </row>
    <row r="26" spans="1:17" ht="24" thickBot="1" x14ac:dyDescent="0.5">
      <c r="B26" s="430" t="s">
        <v>305</v>
      </c>
      <c r="C26" s="459">
        <f>IF(C25= "Skidder-Garra",
                      INDEX(m2.Madereo_funciones[Rxv, m3/hrpr],
                      MATCH(m2.Madereo_id_madereo[Skidder Garra],  m2.Madereo_funciones[id_madereo], 0)),
IF(C25= "Skidder-Cable",
                      INDEX(m2.Madereo_funciones[Rxv, m3/hrpr],
                      MATCH(m2.Madereo_id_madereo[Skidder Cable],  m2.Madereo_funciones[id_madereo], 0)),
IF(C25= "Forwarder",
                      INDEX(m2.Madereo_funciones[Rxv, m3/hrpr],
                      MATCH(m2.Madereo_id_madereo[Forwarder],  m2.Madereo_funciones[id_madereo], 0)),
IF(C25= "Tractor",
                      INDEX(m2.Madereo_funciones[Rxv, m3/hrpr],
                      MATCH(m2.Madereo_id_madereo[Tractor],  m2.Madereo_funciones[id_madereo], 0)),
0))))</f>
        <v>40</v>
      </c>
      <c r="D26" s="459">
        <f>IF(D25= "Skidder-Garra",
                      INDEX(m2.Madereo_funciones[Rxv, m3/hrpr],
                      MATCH(m2.Madereo_id_madereo[Skidder Garra],  m2.Madereo_funciones[id_madereo], 0)),
IF(D25= "Skidder-Cable",
                      INDEX(m2.Madereo_funciones[Rxv, m3/hrpr],
                      MATCH(m2.Madereo_id_madereo[Skidder Cable],  m2.Madereo_funciones[id_madereo], 0)),
IF(D25= "Forwarder",
                      INDEX(m2.Madereo_funciones[Rxv, m3/hrpr],
                      MATCH(m2.Madereo_id_madereo[Forwarder],  m2.Madereo_funciones[id_madereo], 0)),
IF(D25= "Tractor",
                      INDEX(m2.Madereo_funciones[Rxv, m3/hrpr],
                      MATCH(m2.Madereo_id_madereo[Tractor],  m2.Madereo_funciones[id_madereo], 0)),
0))))</f>
        <v>79.153369665890878</v>
      </c>
      <c r="E26" s="459">
        <f>IF(E25= "Skidder-Garra",
                      INDEX(m2.Madereo_funciones[Rxv, m3/hrpr],
                      MATCH(m2.Madereo_id_madereo[Skidder Garra],  m2.Madereo_funciones[id_madereo], 0)),
IF(E25= "Skidder-Cable",
                      INDEX(m2.Madereo_funciones[Rxv, m3/hrpr],
                      MATCH(m2.Madereo_id_madereo[Skidder Cable],  m2.Madereo_funciones[id_madereo], 0)),
IF(E25= "Forwarder",
                      INDEX(m2.Madereo_funciones[Rxv, m3/hrpr],
                      MATCH(m2.Madereo_id_madereo[Forwarder],  m2.Madereo_funciones[id_madereo], 0)),
IF(E25= "Tractor",
                      INDEX(m2.Madereo_funciones[Rxv, m3/hrpr],
                      MATCH(m2.Madereo_id_madereo[Tractor],  m2.Madereo_funciones[id_madereo], 0)),
0))))</f>
        <v>63.819999999999993</v>
      </c>
      <c r="F26" s="459">
        <v>63.5</v>
      </c>
      <c r="G26" s="460"/>
      <c r="H26" s="289"/>
      <c r="I26" s="107"/>
      <c r="K26" s="457"/>
      <c r="L26" s="457"/>
    </row>
    <row r="27" spans="1:17" ht="23.4" x14ac:dyDescent="0.45">
      <c r="B27" s="560" t="s">
        <v>287</v>
      </c>
      <c r="C27" s="543"/>
      <c r="D27" s="543"/>
      <c r="E27" s="543"/>
      <c r="F27" s="543"/>
      <c r="G27" s="544"/>
      <c r="H27" s="226"/>
      <c r="I27" s="354"/>
      <c r="J27" s="67"/>
      <c r="K27" s="458"/>
      <c r="L27" s="458"/>
      <c r="M27" s="107"/>
    </row>
    <row r="28" spans="1:17" ht="23.4" x14ac:dyDescent="0.45">
      <c r="B28" s="431" t="s">
        <v>85</v>
      </c>
      <c r="C28" s="545">
        <v>229976845</v>
      </c>
      <c r="D28" s="545">
        <v>302661813</v>
      </c>
      <c r="E28" s="545">
        <v>342920110</v>
      </c>
      <c r="F28" s="545">
        <v>168740000</v>
      </c>
      <c r="G28" s="546"/>
      <c r="H28" s="226"/>
      <c r="I28" s="107"/>
      <c r="K28" s="289"/>
      <c r="L28" s="289"/>
      <c r="M28" s="112"/>
      <c r="N28" s="113"/>
      <c r="O28" s="113"/>
      <c r="P28" s="113"/>
    </row>
    <row r="29" spans="1:17" ht="23.4" x14ac:dyDescent="0.45">
      <c r="B29" s="431" t="s">
        <v>276</v>
      </c>
      <c r="C29" s="547">
        <v>223</v>
      </c>
      <c r="D29" s="547">
        <v>176</v>
      </c>
      <c r="E29" s="547">
        <v>164</v>
      </c>
      <c r="F29" s="547"/>
      <c r="G29" s="548"/>
      <c r="H29" s="226"/>
      <c r="I29" s="354"/>
      <c r="J29" s="232"/>
      <c r="K29" s="225"/>
      <c r="L29" s="225"/>
      <c r="M29" s="54"/>
      <c r="N29" s="67"/>
      <c r="O29" s="67"/>
      <c r="P29" s="67"/>
    </row>
    <row r="30" spans="1:17" ht="23.4" x14ac:dyDescent="0.45">
      <c r="B30" s="431" t="s">
        <v>271</v>
      </c>
      <c r="C30" s="547">
        <v>6</v>
      </c>
      <c r="D30" s="547">
        <v>6.5</v>
      </c>
      <c r="E30" s="547">
        <v>6</v>
      </c>
      <c r="F30" s="547">
        <v>4</v>
      </c>
      <c r="G30" s="548"/>
      <c r="H30" s="221"/>
      <c r="J30" s="49"/>
      <c r="K30" s="225"/>
      <c r="L30" s="225"/>
      <c r="M30" s="54"/>
      <c r="N30" s="67"/>
      <c r="O30" s="67"/>
      <c r="P30" s="67"/>
    </row>
    <row r="31" spans="1:17" ht="23.4" x14ac:dyDescent="0.45">
      <c r="B31" s="431" t="s">
        <v>282</v>
      </c>
      <c r="C31" s="549">
        <v>0.16</v>
      </c>
      <c r="D31" s="549">
        <v>0.15</v>
      </c>
      <c r="E31" s="549">
        <v>0.2</v>
      </c>
      <c r="F31" s="549">
        <v>0.2</v>
      </c>
      <c r="G31" s="550"/>
      <c r="H31" s="221"/>
      <c r="I31" s="354"/>
      <c r="J31" s="49"/>
      <c r="K31" s="321"/>
      <c r="L31" s="321"/>
      <c r="M31" s="54"/>
      <c r="N31" s="67"/>
      <c r="O31" s="67"/>
      <c r="P31" s="67"/>
    </row>
    <row r="32" spans="1:17" ht="23.4" x14ac:dyDescent="0.45">
      <c r="B32" s="431" t="s">
        <v>277</v>
      </c>
      <c r="C32" s="549">
        <v>0.68</v>
      </c>
      <c r="D32" s="549">
        <v>0.7</v>
      </c>
      <c r="E32" s="549">
        <v>0.8</v>
      </c>
      <c r="F32" s="549">
        <v>0.63</v>
      </c>
      <c r="G32" s="550"/>
      <c r="H32" s="221"/>
      <c r="J32" s="49"/>
      <c r="K32" s="298"/>
      <c r="L32" s="298"/>
    </row>
    <row r="33" spans="2:12" ht="23.4" x14ac:dyDescent="0.45">
      <c r="B33" s="433" t="s">
        <v>272</v>
      </c>
      <c r="C33" s="549">
        <v>0.18</v>
      </c>
      <c r="D33" s="549">
        <v>0.18</v>
      </c>
      <c r="E33" s="549">
        <v>0.18</v>
      </c>
      <c r="F33" s="549">
        <v>0.12</v>
      </c>
      <c r="G33" s="550"/>
      <c r="H33" s="221"/>
      <c r="I33" s="354"/>
      <c r="J33" s="49"/>
      <c r="K33" s="298"/>
      <c r="L33" s="298"/>
    </row>
    <row r="34" spans="2:12" ht="23.4" x14ac:dyDescent="0.45">
      <c r="B34" s="431" t="s">
        <v>273</v>
      </c>
      <c r="C34" s="549">
        <v>0.02</v>
      </c>
      <c r="D34" s="549">
        <v>0.02</v>
      </c>
      <c r="E34" s="549">
        <v>0.02</v>
      </c>
      <c r="F34" s="549">
        <v>0.17499999999999999</v>
      </c>
      <c r="G34" s="550"/>
      <c r="H34" s="221"/>
      <c r="J34" s="49"/>
      <c r="K34" s="298"/>
      <c r="L34" s="298"/>
    </row>
    <row r="35" spans="2:12" ht="23.4" x14ac:dyDescent="0.45">
      <c r="B35" s="431" t="s">
        <v>274</v>
      </c>
      <c r="C35" s="549">
        <v>0.02</v>
      </c>
      <c r="D35" s="549">
        <v>0.02</v>
      </c>
      <c r="E35" s="549">
        <v>0.02</v>
      </c>
      <c r="F35" s="549">
        <v>0.02</v>
      </c>
      <c r="G35" s="550"/>
      <c r="H35" s="225"/>
      <c r="I35" s="354"/>
      <c r="J35" s="49"/>
      <c r="K35" s="298"/>
      <c r="L35" s="298"/>
    </row>
    <row r="36" spans="2:12" ht="23.4" x14ac:dyDescent="0.45">
      <c r="B36" s="431" t="s">
        <v>281</v>
      </c>
      <c r="C36" s="549">
        <v>0.96</v>
      </c>
      <c r="D36" s="549">
        <v>0.7</v>
      </c>
      <c r="E36" s="549">
        <v>0.3</v>
      </c>
      <c r="F36" s="549">
        <v>0.8</v>
      </c>
      <c r="G36" s="550"/>
      <c r="H36" s="225"/>
      <c r="J36" s="49"/>
      <c r="K36" s="298"/>
      <c r="L36" s="298"/>
    </row>
    <row r="37" spans="2:12" ht="23.4" x14ac:dyDescent="0.45">
      <c r="B37" s="431" t="s">
        <v>278</v>
      </c>
      <c r="C37" s="547">
        <f>0.10599153*C29</f>
        <v>23.636111190000001</v>
      </c>
      <c r="D37" s="547">
        <f>0.10599153*D29</f>
        <v>18.654509279999999</v>
      </c>
      <c r="E37" s="547">
        <f>0.0941810452*E29</f>
        <v>15.445691412799999</v>
      </c>
      <c r="F37" s="547">
        <v>26</v>
      </c>
      <c r="G37" s="548"/>
      <c r="H37" s="225"/>
      <c r="I37" s="354"/>
      <c r="J37" s="49"/>
      <c r="K37" s="298"/>
      <c r="L37" s="298"/>
    </row>
    <row r="38" spans="2:12" ht="23.4" x14ac:dyDescent="0.45">
      <c r="B38" s="431" t="s">
        <v>279</v>
      </c>
      <c r="C38" s="551">
        <v>655</v>
      </c>
      <c r="D38" s="551">
        <v>655</v>
      </c>
      <c r="E38" s="551">
        <v>655</v>
      </c>
      <c r="F38" s="551">
        <v>659.62</v>
      </c>
      <c r="G38" s="552"/>
      <c r="H38" s="225"/>
      <c r="J38" s="49"/>
      <c r="K38" s="321"/>
      <c r="L38" s="321"/>
    </row>
    <row r="39" spans="2:12" ht="23.4" x14ac:dyDescent="0.45">
      <c r="B39" s="431" t="s">
        <v>280</v>
      </c>
      <c r="C39" s="549">
        <v>0.34513329999999998</v>
      </c>
      <c r="D39" s="549">
        <v>0.51</v>
      </c>
      <c r="E39" s="549">
        <v>0.36699999999999999</v>
      </c>
      <c r="F39" s="553">
        <v>8.4000000000000005E-2</v>
      </c>
      <c r="G39" s="550"/>
      <c r="H39" s="221"/>
      <c r="I39" s="354"/>
      <c r="J39" s="49"/>
      <c r="K39" s="293"/>
      <c r="L39" s="293"/>
    </row>
    <row r="40" spans="2:12" ht="23.4" x14ac:dyDescent="0.45">
      <c r="B40" s="431" t="s">
        <v>304</v>
      </c>
      <c r="C40" s="554">
        <v>800000</v>
      </c>
      <c r="D40" s="554">
        <v>800000</v>
      </c>
      <c r="E40" s="554">
        <v>800000</v>
      </c>
      <c r="F40" s="554"/>
      <c r="G40" s="555"/>
      <c r="H40" s="225"/>
      <c r="I40" s="49"/>
      <c r="J40" s="356"/>
      <c r="L40" s="356"/>
    </row>
    <row r="41" spans="2:12" ht="24" thickBot="1" x14ac:dyDescent="0.5">
      <c r="B41" s="434" t="s">
        <v>297</v>
      </c>
      <c r="C41" s="556">
        <v>0.3</v>
      </c>
      <c r="D41" s="556">
        <v>0.3</v>
      </c>
      <c r="E41" s="556">
        <v>0.3</v>
      </c>
      <c r="F41" s="556"/>
      <c r="G41" s="557"/>
      <c r="H41" s="221"/>
      <c r="I41" s="345"/>
      <c r="J41" s="292"/>
      <c r="L41" s="292"/>
    </row>
    <row r="42" spans="2:12" ht="23.4" x14ac:dyDescent="0.45">
      <c r="B42" s="560" t="s">
        <v>288</v>
      </c>
      <c r="C42" s="435"/>
      <c r="D42" s="435"/>
      <c r="E42" s="435"/>
      <c r="F42" s="435"/>
      <c r="G42" s="436"/>
      <c r="H42" s="226"/>
      <c r="I42" s="49"/>
      <c r="J42" s="298"/>
      <c r="L42" s="298"/>
    </row>
    <row r="43" spans="2:12" ht="23.4" x14ac:dyDescent="0.45">
      <c r="B43" s="431" t="s">
        <v>283</v>
      </c>
      <c r="C43" s="290">
        <f t="shared" ref="C43:E43" si="0">C28*C31</f>
        <v>36796295.200000003</v>
      </c>
      <c r="D43" s="290">
        <f t="shared" si="0"/>
        <v>45399271.949999996</v>
      </c>
      <c r="E43" s="290">
        <f t="shared" si="0"/>
        <v>68584022</v>
      </c>
      <c r="F43" s="290">
        <f>F28*F31</f>
        <v>33748000</v>
      </c>
      <c r="G43" s="432"/>
      <c r="H43" s="226"/>
      <c r="I43" s="353"/>
      <c r="J43" s="345"/>
      <c r="K43" s="219"/>
      <c r="L43" s="219"/>
    </row>
    <row r="44" spans="2:12" ht="23.4" x14ac:dyDescent="0.45">
      <c r="B44" s="431" t="s">
        <v>284</v>
      </c>
      <c r="C44" s="290">
        <f t="shared" ref="C44:E44" si="1">(C28-C43)/C30</f>
        <v>32196758.300000001</v>
      </c>
      <c r="D44" s="290">
        <f t="shared" si="1"/>
        <v>39578852.469230771</v>
      </c>
      <c r="E44" s="290">
        <f t="shared" si="1"/>
        <v>45722681.333333336</v>
      </c>
      <c r="F44" s="290">
        <f>(F28-F43)/F30</f>
        <v>33748000</v>
      </c>
      <c r="G44" s="432"/>
      <c r="H44" s="226"/>
      <c r="J44" s="267"/>
      <c r="K44" s="226"/>
      <c r="L44" s="226"/>
    </row>
    <row r="45" spans="2:12" ht="23.4" x14ac:dyDescent="0.45">
      <c r="B45" s="433" t="s">
        <v>285</v>
      </c>
      <c r="C45" s="290">
        <f t="shared" ref="C45:E45" si="2">((((C28-C43)*(C30+1))/(2*C30))+C43)</f>
        <v>149484949.25</v>
      </c>
      <c r="D45" s="290">
        <f t="shared" si="2"/>
        <v>193819968.70961538</v>
      </c>
      <c r="E45" s="290">
        <f t="shared" si="2"/>
        <v>228613406.66666666</v>
      </c>
      <c r="F45" s="290">
        <f>((((F28-F43)*(F30+1))/(2*F30))+F43)</f>
        <v>118118000</v>
      </c>
      <c r="G45" s="432"/>
      <c r="H45" s="214"/>
      <c r="I45" s="354"/>
      <c r="J45" s="346"/>
      <c r="K45" s="226"/>
      <c r="L45" s="226"/>
    </row>
    <row r="46" spans="2:12" ht="24" thickBot="1" x14ac:dyDescent="0.5">
      <c r="B46" s="437" t="s">
        <v>286</v>
      </c>
      <c r="C46" s="469">
        <f>'m1 Fac_oper'!$C$27*C32</f>
        <v>2448</v>
      </c>
      <c r="D46" s="469">
        <f>'m1 Fac_oper'!$C$27*D32</f>
        <v>2520</v>
      </c>
      <c r="E46" s="469">
        <f>'m1 Fac_oper'!$C$27*E32</f>
        <v>2880</v>
      </c>
      <c r="F46" s="469">
        <f>'m1 Fac_oper'!$C$27*F32</f>
        <v>2268</v>
      </c>
      <c r="G46" s="462"/>
      <c r="J46" s="267"/>
      <c r="K46" s="226"/>
      <c r="L46" s="226"/>
    </row>
    <row r="47" spans="2:12" ht="23.4" x14ac:dyDescent="0.45">
      <c r="B47" s="560" t="s">
        <v>275</v>
      </c>
      <c r="C47" s="470"/>
      <c r="D47" s="470"/>
      <c r="E47" s="470"/>
      <c r="F47" s="470"/>
      <c r="G47" s="463"/>
      <c r="I47" s="354"/>
      <c r="J47" s="345"/>
      <c r="K47" s="214"/>
      <c r="L47" s="214"/>
    </row>
    <row r="48" spans="2:12" ht="23.4" x14ac:dyDescent="0.45">
      <c r="B48" s="438" t="s">
        <v>302</v>
      </c>
      <c r="C48" s="471">
        <f t="shared" ref="C48:E48" si="3">C45*(C33+C35+C34)</f>
        <v>32886688.834999997</v>
      </c>
      <c r="D48" s="471">
        <f t="shared" si="3"/>
        <v>42640393.116115376</v>
      </c>
      <c r="E48" s="471">
        <f t="shared" si="3"/>
        <v>50294949.466666661</v>
      </c>
      <c r="F48" s="471">
        <f>F45*(F33+F35+F34)</f>
        <v>37207169.999999993</v>
      </c>
      <c r="G48" s="464"/>
      <c r="I48" s="482"/>
      <c r="J48" s="282"/>
      <c r="K48" s="214"/>
      <c r="L48" s="214"/>
    </row>
    <row r="49" spans="2:13" ht="23.4" x14ac:dyDescent="0.45">
      <c r="B49" s="438" t="s">
        <v>293</v>
      </c>
      <c r="C49" s="471">
        <f t="shared" ref="C49:E49" si="4">C48+C44</f>
        <v>65083447.134999998</v>
      </c>
      <c r="D49" s="471">
        <f t="shared" si="4"/>
        <v>82219245.585346147</v>
      </c>
      <c r="E49" s="471">
        <f t="shared" si="4"/>
        <v>96017630.799999997</v>
      </c>
      <c r="F49" s="471">
        <f>F48+F44</f>
        <v>70955170</v>
      </c>
      <c r="G49" s="464"/>
      <c r="I49" s="354"/>
      <c r="J49" s="347"/>
      <c r="K49" s="322"/>
      <c r="L49" s="322"/>
    </row>
    <row r="50" spans="2:13" ht="23.4" x14ac:dyDescent="0.45">
      <c r="B50" s="438" t="s">
        <v>289</v>
      </c>
      <c r="C50" s="471">
        <f t="shared" ref="C50:E50" si="5">C49/C46</f>
        <v>26586.375463643792</v>
      </c>
      <c r="D50" s="471">
        <f t="shared" si="5"/>
        <v>32626.68475608974</v>
      </c>
      <c r="E50" s="471">
        <f t="shared" si="5"/>
        <v>33339.455138888887</v>
      </c>
      <c r="F50" s="471">
        <f>F49/F46</f>
        <v>31285.348324514991</v>
      </c>
      <c r="G50" s="464"/>
      <c r="J50" s="232"/>
      <c r="K50" s="322"/>
      <c r="L50" s="322"/>
    </row>
    <row r="51" spans="2:13" ht="24" thickBot="1" x14ac:dyDescent="0.5">
      <c r="B51" s="437" t="s">
        <v>290</v>
      </c>
      <c r="C51" s="469">
        <f>C49/'m1 Fac_oper'!$C$27</f>
        <v>18078.735315277776</v>
      </c>
      <c r="D51" s="469">
        <f>D49/'m1 Fac_oper'!$C$27</f>
        <v>22838.679329262817</v>
      </c>
      <c r="E51" s="469">
        <f>E49/'m1 Fac_oper'!$C$27</f>
        <v>26671.564111111111</v>
      </c>
      <c r="F51" s="469">
        <f>F49/'m1 Fac_oper'!$C$27</f>
        <v>19709.769444444446</v>
      </c>
      <c r="G51" s="465"/>
      <c r="I51" s="354"/>
      <c r="J51" s="347"/>
      <c r="K51" s="322"/>
      <c r="L51" s="322"/>
    </row>
    <row r="52" spans="2:13" ht="23.4" x14ac:dyDescent="0.45">
      <c r="B52" s="560" t="s">
        <v>379</v>
      </c>
      <c r="C52" s="470"/>
      <c r="D52" s="470"/>
      <c r="E52" s="470"/>
      <c r="F52" s="470"/>
      <c r="G52" s="463"/>
      <c r="J52" s="348"/>
      <c r="K52" s="322"/>
      <c r="L52" s="322"/>
    </row>
    <row r="53" spans="2:13" ht="23.4" x14ac:dyDescent="0.45">
      <c r="B53" s="438" t="s">
        <v>292</v>
      </c>
      <c r="C53" s="472">
        <f t="shared" ref="C53:E53" si="6">C37*C38</f>
        <v>15481.65282945</v>
      </c>
      <c r="D53" s="472">
        <f t="shared" si="6"/>
        <v>12218.7035784</v>
      </c>
      <c r="E53" s="472">
        <f t="shared" si="6"/>
        <v>10116.927875383999</v>
      </c>
      <c r="F53" s="472">
        <f>F37*F38</f>
        <v>17150.12</v>
      </c>
      <c r="G53" s="461"/>
      <c r="I53" s="355"/>
      <c r="J53" s="347"/>
      <c r="K53" s="214"/>
      <c r="L53" s="214"/>
    </row>
    <row r="54" spans="2:13" ht="23.4" x14ac:dyDescent="0.45">
      <c r="B54" s="438" t="s">
        <v>294</v>
      </c>
      <c r="C54" s="472">
        <f t="shared" ref="C54:E54" si="7">C53*C39</f>
        <v>5343.2339304824154</v>
      </c>
      <c r="D54" s="472">
        <f t="shared" si="7"/>
        <v>6231.5388249839998</v>
      </c>
      <c r="E54" s="472">
        <f t="shared" si="7"/>
        <v>3712.9125302659277</v>
      </c>
      <c r="F54" s="472">
        <f>F53*F39</f>
        <v>1440.6100799999999</v>
      </c>
      <c r="G54" s="461"/>
      <c r="J54" s="232"/>
      <c r="K54" s="317"/>
      <c r="L54" s="317"/>
    </row>
    <row r="55" spans="2:13" ht="23.4" x14ac:dyDescent="0.45">
      <c r="B55" s="438" t="s">
        <v>295</v>
      </c>
      <c r="C55" s="472">
        <f t="shared" ref="C55:E55" si="8">(C44/C46)*C36</f>
        <v>12626.179725490196</v>
      </c>
      <c r="D55" s="472">
        <f t="shared" si="8"/>
        <v>10994.125685897436</v>
      </c>
      <c r="E55" s="472">
        <f t="shared" si="8"/>
        <v>4762.7793055555558</v>
      </c>
      <c r="F55" s="472">
        <f>(F44/F46)*F36</f>
        <v>11904.056437389772</v>
      </c>
      <c r="G55" s="466"/>
      <c r="I55" s="354"/>
      <c r="J55" s="347"/>
      <c r="K55" s="318"/>
      <c r="L55" s="318"/>
    </row>
    <row r="56" spans="2:13" ht="23.4" x14ac:dyDescent="0.45">
      <c r="B56" s="438" t="s">
        <v>299</v>
      </c>
      <c r="C56" s="472">
        <f t="shared" ref="C56:E56" si="9">SUM(C53:C55)</f>
        <v>33451.066485422612</v>
      </c>
      <c r="D56" s="472">
        <f t="shared" si="9"/>
        <v>29444.368089281437</v>
      </c>
      <c r="E56" s="472">
        <f t="shared" si="9"/>
        <v>18592.619711205483</v>
      </c>
      <c r="F56" s="472">
        <f>SUM(F53:F55)</f>
        <v>30494.78651738977</v>
      </c>
      <c r="G56" s="461"/>
      <c r="J56" s="232"/>
      <c r="K56" s="319"/>
      <c r="L56" s="319"/>
    </row>
    <row r="57" spans="2:13" ht="24" thickBot="1" x14ac:dyDescent="0.5">
      <c r="B57" s="437" t="s">
        <v>300</v>
      </c>
      <c r="C57" s="473">
        <f t="shared" ref="C57:E57" si="10">C56*C32</f>
        <v>22746.725210087377</v>
      </c>
      <c r="D57" s="473">
        <f t="shared" si="10"/>
        <v>20611.057662497005</v>
      </c>
      <c r="E57" s="473">
        <f t="shared" si="10"/>
        <v>14874.095768964387</v>
      </c>
      <c r="F57" s="473">
        <f>F56*F32</f>
        <v>19211.715505955555</v>
      </c>
      <c r="G57" s="462"/>
      <c r="I57" s="354"/>
      <c r="J57" s="347"/>
      <c r="K57" s="319"/>
      <c r="L57" s="319"/>
    </row>
    <row r="58" spans="2:13" ht="23.4" x14ac:dyDescent="0.45">
      <c r="B58" s="560" t="s">
        <v>296</v>
      </c>
      <c r="C58" s="470"/>
      <c r="D58" s="470"/>
      <c r="E58" s="470"/>
      <c r="F58" s="470"/>
      <c r="G58" s="463"/>
      <c r="J58" s="348"/>
      <c r="K58" s="318"/>
      <c r="L58" s="318"/>
    </row>
    <row r="59" spans="2:13" ht="23.4" x14ac:dyDescent="0.45">
      <c r="B59" s="438" t="s">
        <v>301</v>
      </c>
      <c r="C59" s="472">
        <f>(C40+(1*C41))/('m1 Fac_oper'!$C$26*C32)</f>
        <v>3921.5700980392153</v>
      </c>
      <c r="D59" s="472">
        <f>(D40+(1*D41))/('m1 Fac_oper'!$C$26*D32)</f>
        <v>3809.5252380952384</v>
      </c>
      <c r="E59" s="472">
        <f>(E40+(1*E41))/('m1 Fac_oper'!$C$26*E32)</f>
        <v>3333.3345833333337</v>
      </c>
      <c r="F59" s="472">
        <f>F60/F32</f>
        <v>8553.5714285714294</v>
      </c>
      <c r="G59" s="467"/>
      <c r="I59" s="355"/>
      <c r="J59" s="345"/>
      <c r="K59" s="214"/>
      <c r="L59" s="214"/>
    </row>
    <row r="60" spans="2:13" ht="24" thickBot="1" x14ac:dyDescent="0.5">
      <c r="B60" s="437" t="s">
        <v>298</v>
      </c>
      <c r="C60" s="473">
        <f>(C40+(1*C41))/'m1 Fac_oper'!$C$26</f>
        <v>2666.6676666666667</v>
      </c>
      <c r="D60" s="473">
        <f>(D40+(1*D41))/'m1 Fac_oper'!$C$26</f>
        <v>2666.6676666666667</v>
      </c>
      <c r="E60" s="473">
        <f>(E40+(1*E41))/'m1 Fac_oper'!$C$26</f>
        <v>2666.6676666666667</v>
      </c>
      <c r="F60" s="473">
        <v>5388.75</v>
      </c>
      <c r="G60" s="468"/>
      <c r="J60" s="31"/>
      <c r="K60" s="261"/>
      <c r="L60" s="261"/>
    </row>
    <row r="61" spans="2:13" ht="23.4" x14ac:dyDescent="0.45">
      <c r="E61" s="147"/>
      <c r="J61" s="354"/>
      <c r="K61" s="31"/>
      <c r="L61" s="261"/>
      <c r="M61" s="261"/>
    </row>
    <row r="62" spans="2:13" x14ac:dyDescent="0.3"/>
    <row r="63" spans="2:13" x14ac:dyDescent="0.3"/>
    <row r="64" spans="2:13" x14ac:dyDescent="0.3"/>
    <row r="66" spans="4:9" hidden="1" x14ac:dyDescent="0.3">
      <c r="E66" s="73"/>
    </row>
    <row r="67" spans="4:9" hidden="1" x14ac:dyDescent="0.3">
      <c r="D67" s="107"/>
    </row>
    <row r="68" spans="4:9" hidden="1" x14ac:dyDescent="0.3">
      <c r="E68" s="285"/>
      <c r="F68" s="73"/>
      <c r="G68" s="73"/>
      <c r="H68" s="73"/>
    </row>
    <row r="69" spans="4:9" hidden="1" x14ac:dyDescent="0.3">
      <c r="E69" s="285"/>
      <c r="F69" s="73"/>
      <c r="G69" s="73"/>
      <c r="H69" s="73"/>
    </row>
    <row r="70" spans="4:9" hidden="1" x14ac:dyDescent="0.3">
      <c r="E70" s="285"/>
      <c r="F70" s="73"/>
      <c r="G70" s="73"/>
      <c r="H70" s="73"/>
    </row>
    <row r="71" spans="4:9" hidden="1" x14ac:dyDescent="0.3">
      <c r="E71" s="285"/>
      <c r="F71" s="73"/>
      <c r="G71" s="73"/>
      <c r="H71" s="73"/>
    </row>
    <row r="72" spans="4:9" hidden="1" x14ac:dyDescent="0.3">
      <c r="D72" s="107"/>
      <c r="E72" s="285"/>
      <c r="F72" s="73"/>
      <c r="G72" s="73"/>
      <c r="H72" s="73"/>
      <c r="I72" s="73"/>
    </row>
    <row r="73" spans="4:9" hidden="1" x14ac:dyDescent="0.3">
      <c r="E73" s="285"/>
      <c r="F73" s="73"/>
      <c r="G73" s="73"/>
      <c r="H73" s="73"/>
      <c r="I73" s="73"/>
    </row>
    <row r="74" spans="4:9" hidden="1" x14ac:dyDescent="0.3">
      <c r="E74" s="285"/>
      <c r="F74" s="73"/>
      <c r="G74" s="73"/>
      <c r="H74" s="73"/>
      <c r="I74" s="73"/>
    </row>
    <row r="75" spans="4:9" hidden="1" x14ac:dyDescent="0.3">
      <c r="E75" s="285"/>
      <c r="F75" s="73"/>
      <c r="G75" s="73"/>
      <c r="H75" s="73"/>
      <c r="I75" s="73"/>
    </row>
    <row r="76" spans="4:9" hidden="1" x14ac:dyDescent="0.3">
      <c r="D76" s="316"/>
      <c r="E76" s="285"/>
      <c r="F76" s="73"/>
      <c r="G76" s="73"/>
      <c r="H76" s="73"/>
      <c r="I76" s="73"/>
    </row>
    <row r="77" spans="4:9" hidden="1" x14ac:dyDescent="0.3">
      <c r="D77" s="107"/>
      <c r="E77" s="285"/>
      <c r="F77" s="73"/>
      <c r="G77" s="73"/>
      <c r="H77" s="73"/>
      <c r="I77" s="73"/>
    </row>
    <row r="78" spans="4:9" hidden="1" x14ac:dyDescent="0.3">
      <c r="E78" s="285"/>
      <c r="F78" s="73"/>
      <c r="G78" s="73"/>
      <c r="H78" s="73"/>
      <c r="I78" s="73"/>
    </row>
    <row r="79" spans="4:9" hidden="1" x14ac:dyDescent="0.3">
      <c r="E79" s="285"/>
      <c r="F79" s="73"/>
      <c r="G79" s="73"/>
      <c r="H79" s="73"/>
      <c r="I79" s="73"/>
    </row>
    <row r="80" spans="4:9" hidden="1" x14ac:dyDescent="0.3">
      <c r="E80" s="285"/>
      <c r="F80" s="73"/>
      <c r="G80" s="73"/>
      <c r="H80" s="73"/>
      <c r="I80" s="73"/>
    </row>
    <row r="81" spans="4:9" hidden="1" x14ac:dyDescent="0.3">
      <c r="E81" s="285"/>
      <c r="F81" s="73"/>
      <c r="G81" s="73"/>
      <c r="H81" s="73"/>
      <c r="I81" s="73"/>
    </row>
    <row r="82" spans="4:9" hidden="1" x14ac:dyDescent="0.3">
      <c r="E82" s="285"/>
      <c r="F82" s="73"/>
      <c r="G82" s="73"/>
      <c r="H82" s="73"/>
      <c r="I82" s="73"/>
    </row>
    <row r="83" spans="4:9" hidden="1" x14ac:dyDescent="0.3">
      <c r="D83" s="107"/>
      <c r="E83" s="285"/>
      <c r="F83" s="73"/>
      <c r="G83" s="73"/>
      <c r="H83" s="73"/>
      <c r="I83" s="73"/>
    </row>
    <row r="84" spans="4:9" hidden="1" x14ac:dyDescent="0.3">
      <c r="E84" s="285"/>
      <c r="F84" s="73"/>
      <c r="G84" s="73"/>
      <c r="H84" s="73"/>
      <c r="I84" s="73"/>
    </row>
    <row r="85" spans="4:9" hidden="1" x14ac:dyDescent="0.3">
      <c r="E85" s="285"/>
      <c r="F85" s="73"/>
      <c r="G85" s="73"/>
      <c r="H85" s="73"/>
      <c r="I85" s="73"/>
    </row>
    <row r="86" spans="4:9" hidden="1" x14ac:dyDescent="0.3">
      <c r="D86" s="107"/>
      <c r="E86" s="285"/>
      <c r="F86" s="73"/>
      <c r="G86" s="73"/>
      <c r="H86" s="73"/>
      <c r="I86" s="73"/>
    </row>
    <row r="87" spans="4:9" hidden="1" x14ac:dyDescent="0.3">
      <c r="E87" s="285"/>
      <c r="F87" s="73"/>
      <c r="G87" s="73"/>
      <c r="H87" s="73"/>
      <c r="I87" s="73"/>
    </row>
    <row r="88" spans="4:9" hidden="1" x14ac:dyDescent="0.3">
      <c r="E88" s="285"/>
      <c r="F88" s="73"/>
      <c r="G88" s="73"/>
      <c r="H88" s="73"/>
      <c r="I88" s="73"/>
    </row>
    <row r="89" spans="4:9" hidden="1" x14ac:dyDescent="0.3">
      <c r="I89" s="73"/>
    </row>
    <row r="90" spans="4:9" hidden="1" x14ac:dyDescent="0.3">
      <c r="I90" s="73"/>
    </row>
    <row r="91" spans="4:9" hidden="1" x14ac:dyDescent="0.3">
      <c r="I91" s="73"/>
    </row>
    <row r="92" spans="4:9" hidden="1" x14ac:dyDescent="0.3">
      <c r="I92" s="73"/>
    </row>
  </sheetData>
  <sheetProtection sheet="1" objects="1" scenarios="1"/>
  <phoneticPr fontId="6" type="noConversion"/>
  <dataValidations count="3">
    <dataValidation showInputMessage="1" showErrorMessage="1" sqref="M28" xr:uid="{61A20340-42CF-4A2A-BFB8-9FEB2DAD06B1}"/>
    <dataValidation type="list" allowBlank="1" showInputMessage="1" showErrorMessage="1" sqref="K25:L25 C25:G25" xr:uid="{7723EE6E-0241-4DC7-997E-B792485D4BDC}">
      <formula1>"Skidder,Skidder-Garra,Skidder-Cable,Forwarder,Tractor"</formula1>
    </dataValidation>
    <dataValidation type="list" allowBlank="1" showInputMessage="1" showErrorMessage="1" sqref="J25" xr:uid="{00883D12-607B-4F32-813F-12FD891E1386}">
      <formula1>"Harvester,Fellerbuncher,Motosierra,NULO,"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AADB8E-5F96-4C03-97EF-002231CCABC1}">
          <x14:formula1>
            <xm:f>'BD Costos'!$U$37:$AD$37</xm:f>
          </x14:formula1>
          <xm:sqref>B16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FA016-3012-488C-87E9-2EFEFDA50BE2}">
  <sheetPr codeName="Hoja13"/>
  <dimension ref="A1:W65"/>
  <sheetViews>
    <sheetView showRowColHeaders="0" zoomScale="70" zoomScaleNormal="70" workbookViewId="0"/>
  </sheetViews>
  <sheetFormatPr baseColWidth="10" defaultColWidth="0" defaultRowHeight="14.4" zeroHeight="1" x14ac:dyDescent="0.3"/>
  <cols>
    <col min="1" max="1" width="24.88671875" style="48" customWidth="1"/>
    <col min="2" max="2" width="78.5546875" style="48" bestFit="1" customWidth="1"/>
    <col min="3" max="3" width="22.5546875" style="48" customWidth="1"/>
    <col min="4" max="4" width="30.109375" style="48" customWidth="1"/>
    <col min="5" max="5" width="23.88671875" style="48" customWidth="1"/>
    <col min="6" max="6" width="12.33203125" style="48" customWidth="1"/>
    <col min="7" max="7" width="8.109375" style="48" customWidth="1"/>
    <col min="8" max="8" width="11.5546875" style="48" customWidth="1"/>
    <col min="9" max="10" width="6.109375" style="48" customWidth="1"/>
    <col min="11" max="11" width="12.5546875" style="48" customWidth="1"/>
    <col min="12" max="12" width="12.88671875" style="48" customWidth="1"/>
    <col min="13" max="13" width="16.44140625" style="48" customWidth="1"/>
    <col min="14" max="14" width="30.5546875" style="48" hidden="1" customWidth="1"/>
    <col min="15" max="15" width="48.44140625" style="48" hidden="1" customWidth="1"/>
    <col min="16" max="16" width="26.88671875" style="48" hidden="1" customWidth="1"/>
    <col min="17" max="17" width="37.44140625" style="48" hidden="1" customWidth="1"/>
    <col min="18" max="23" width="0" style="48" hidden="1" customWidth="1"/>
    <col min="24" max="16384" width="11.44140625" style="48" hidden="1"/>
  </cols>
  <sheetData>
    <row r="1" spans="1:22" x14ac:dyDescent="0.3">
      <c r="A1" s="49"/>
    </row>
    <row r="2" spans="1:22" x14ac:dyDescent="0.3"/>
    <row r="3" spans="1:22" x14ac:dyDescent="0.3">
      <c r="K3" s="107"/>
    </row>
    <row r="4" spans="1:22" x14ac:dyDescent="0.3">
      <c r="L4" s="49"/>
      <c r="M4" s="49"/>
      <c r="N4" s="49"/>
      <c r="O4" s="49"/>
    </row>
    <row r="5" spans="1:22" x14ac:dyDescent="0.3">
      <c r="K5" s="107"/>
      <c r="L5" s="49"/>
      <c r="M5" s="49"/>
      <c r="N5" s="49"/>
      <c r="O5" s="49"/>
    </row>
    <row r="6" spans="1:22" x14ac:dyDescent="0.3">
      <c r="L6" s="49"/>
      <c r="M6" s="49"/>
      <c r="N6" s="49"/>
      <c r="O6" s="49"/>
    </row>
    <row r="7" spans="1:22" x14ac:dyDescent="0.3">
      <c r="L7" s="49"/>
      <c r="M7" s="49"/>
      <c r="N7" s="49"/>
      <c r="O7" s="49"/>
    </row>
    <row r="8" spans="1:22" x14ac:dyDescent="0.3">
      <c r="L8" s="49"/>
      <c r="M8" s="49"/>
      <c r="N8" s="49"/>
      <c r="O8" s="49"/>
    </row>
    <row r="9" spans="1:22" x14ac:dyDescent="0.3">
      <c r="L9" s="49"/>
      <c r="M9" s="49"/>
      <c r="N9" s="49"/>
      <c r="O9" s="49"/>
    </row>
    <row r="10" spans="1:22" ht="23.4" x14ac:dyDescent="0.45">
      <c r="B10" s="214"/>
      <c r="C10" s="214"/>
      <c r="D10" s="214"/>
      <c r="E10" s="214"/>
      <c r="F10" s="214"/>
      <c r="G10" s="214"/>
      <c r="H10" s="214"/>
      <c r="I10" s="214"/>
      <c r="J10" s="214"/>
      <c r="L10" s="49"/>
      <c r="M10" s="49"/>
      <c r="N10" s="49"/>
      <c r="O10" s="49"/>
    </row>
    <row r="11" spans="1:22" ht="23.4" x14ac:dyDescent="0.45">
      <c r="B11" s="218"/>
      <c r="C11" s="214"/>
      <c r="D11" s="214"/>
      <c r="E11" s="254"/>
      <c r="F11" s="214"/>
      <c r="G11" s="214"/>
      <c r="H11" s="214"/>
      <c r="I11" s="214"/>
      <c r="J11" s="214"/>
      <c r="L11" s="49"/>
      <c r="M11" s="49"/>
      <c r="N11" s="49"/>
      <c r="O11" s="49"/>
    </row>
    <row r="12" spans="1:22" ht="23.4" x14ac:dyDescent="0.45">
      <c r="H12" s="214"/>
      <c r="I12" s="214"/>
      <c r="J12" s="214"/>
      <c r="L12" s="49"/>
      <c r="M12" s="2"/>
      <c r="N12" s="49"/>
      <c r="O12" s="49"/>
      <c r="R12" s="270"/>
    </row>
    <row r="13" spans="1:22" ht="23.4" x14ac:dyDescent="0.45">
      <c r="H13" s="214"/>
      <c r="I13" s="214"/>
      <c r="J13" s="214"/>
      <c r="L13" s="49"/>
      <c r="M13" s="49"/>
      <c r="N13" s="49"/>
      <c r="O13" s="49"/>
      <c r="R13" s="320"/>
      <c r="S13" s="270"/>
      <c r="T13" s="270"/>
      <c r="U13" s="270"/>
      <c r="V13" s="270"/>
    </row>
    <row r="14" spans="1:22" ht="23.4" x14ac:dyDescent="0.45">
      <c r="B14" s="214" t="s">
        <v>268</v>
      </c>
      <c r="C14" s="214"/>
      <c r="D14" s="214"/>
      <c r="E14" s="214"/>
      <c r="F14" s="214"/>
      <c r="G14" s="214"/>
      <c r="H14" s="214"/>
      <c r="L14" s="49"/>
      <c r="M14" s="49"/>
      <c r="N14" s="51"/>
      <c r="O14" s="49"/>
      <c r="P14" s="219"/>
      <c r="Q14" s="219"/>
      <c r="R14" s="214"/>
      <c r="S14" s="167"/>
    </row>
    <row r="15" spans="1:22" ht="23.4" x14ac:dyDescent="0.45">
      <c r="B15" s="207" t="s">
        <v>170</v>
      </c>
      <c r="C15" s="303" t="s">
        <v>8</v>
      </c>
      <c r="D15" s="303" t="s">
        <v>11</v>
      </c>
      <c r="E15" s="303" t="s">
        <v>186</v>
      </c>
      <c r="H15" s="214"/>
      <c r="L15" s="49"/>
      <c r="M15" s="49"/>
      <c r="N15" s="49"/>
      <c r="O15" s="49"/>
      <c r="P15" s="219"/>
      <c r="Q15" s="219"/>
      <c r="R15" s="219"/>
      <c r="S15" s="167"/>
    </row>
    <row r="16" spans="1:22" ht="23.4" x14ac:dyDescent="0.45">
      <c r="B16" s="258" t="s">
        <v>182</v>
      </c>
      <c r="C16" s="259">
        <f>INDEX( 'BD Costos'!U60:AD60,
 MATCH('m3 Procesado'!$B$15, 'BD Costos'!$U$59:$AD$59, 0 ))</f>
        <v>519524657.16675025</v>
      </c>
      <c r="D16" s="259">
        <f>INDEX( 'BD Costos'!U63:AD63, MATCH('m3 Procesado'!$B$15, 'BD Costos'!$U$59:$AD$59, 0 ))</f>
        <v>1017272.6060317461</v>
      </c>
      <c r="E16" s="49"/>
      <c r="H16" s="214"/>
      <c r="L16" s="49"/>
      <c r="M16" s="49"/>
      <c r="N16" s="49"/>
      <c r="O16" s="67"/>
      <c r="P16" s="220"/>
      <c r="Q16" s="221"/>
      <c r="R16" s="221"/>
      <c r="S16" s="167"/>
    </row>
    <row r="17" spans="2:19" ht="23.4" x14ac:dyDescent="0.45">
      <c r="B17" s="258" t="s">
        <v>183</v>
      </c>
      <c r="C17" s="259">
        <f>INDEX( 'BD Costos'!U61:AD61,
 MATCH('m3 Procesado'!$B$15, 'BD Costos'!$U$59:$AD$59, 0 ))</f>
        <v>394798075.24498004</v>
      </c>
      <c r="D17" s="259">
        <f>INDEX( 'BD Costos'!U64:AD64, MATCH('m3 Procesado'!$B$15, 'BD Costos'!$U$59:$AD$59, 0 ))</f>
        <v>427293.81809523841</v>
      </c>
      <c r="E17" s="49"/>
      <c r="H17" s="214"/>
      <c r="L17" s="49"/>
      <c r="M17" s="49"/>
      <c r="N17" s="49"/>
      <c r="O17" s="54"/>
      <c r="P17" s="221"/>
      <c r="Q17" s="221"/>
      <c r="R17" s="221"/>
      <c r="S17" s="167"/>
    </row>
    <row r="18" spans="2:19" ht="23.4" x14ac:dyDescent="0.45">
      <c r="B18" s="258" t="s">
        <v>184</v>
      </c>
      <c r="C18" s="259">
        <f>INDEX( 'BD Costos'!U62:AD62,
 MATCH('m3 Procesado'!$B$15, 'BD Costos'!$U$59:$AD$59, 0 ))</f>
        <v>594349996.12154031</v>
      </c>
      <c r="D18" s="259">
        <f>INDEX( 'BD Costos'!U65:AD65,
 MATCH('m3 Procesado'!$B$15, 'BD Costos'!$U$59:$AD$59, 0 ))</f>
        <v>1995468</v>
      </c>
      <c r="E18" s="49"/>
      <c r="H18" s="214"/>
      <c r="K18" s="219"/>
      <c r="L18" s="219"/>
      <c r="M18" s="219"/>
      <c r="N18" s="221"/>
      <c r="O18" s="219"/>
      <c r="P18" s="167"/>
    </row>
    <row r="19" spans="2:19" ht="23.4" x14ac:dyDescent="0.45">
      <c r="D19" s="214"/>
      <c r="H19" s="214"/>
      <c r="K19" s="224"/>
      <c r="L19" s="219"/>
      <c r="M19" s="219"/>
      <c r="N19" s="219"/>
      <c r="O19" s="214"/>
      <c r="P19" s="167"/>
    </row>
    <row r="20" spans="2:19" ht="23.4" x14ac:dyDescent="0.45">
      <c r="D20" s="214"/>
      <c r="E20" s="214"/>
      <c r="F20" s="214"/>
      <c r="G20" s="214"/>
      <c r="H20" s="214"/>
      <c r="K20" s="209"/>
      <c r="L20" s="260"/>
      <c r="M20" s="260"/>
      <c r="N20" s="260"/>
      <c r="O20" s="260"/>
      <c r="P20" s="255"/>
    </row>
    <row r="21" spans="2:19" ht="23.4" x14ac:dyDescent="0.45">
      <c r="D21" s="214"/>
      <c r="E21" s="214"/>
      <c r="F21" s="214"/>
      <c r="G21" s="214"/>
      <c r="H21" s="214"/>
      <c r="K21" s="219"/>
      <c r="L21" s="219"/>
      <c r="M21" s="219"/>
      <c r="N21" s="219"/>
      <c r="O21" s="167"/>
    </row>
    <row r="22" spans="2:19" ht="23.4" x14ac:dyDescent="0.45">
      <c r="B22" s="300"/>
      <c r="C22" s="300"/>
      <c r="D22" s="300"/>
      <c r="E22" s="300"/>
      <c r="H22" s="219"/>
      <c r="I22" s="219"/>
      <c r="J22" s="219"/>
      <c r="K22" s="219"/>
      <c r="L22" s="219"/>
      <c r="M22" s="167"/>
    </row>
    <row r="23" spans="2:19" ht="23.4" x14ac:dyDescent="0.45">
      <c r="B23" s="301" t="s">
        <v>303</v>
      </c>
      <c r="C23" s="447" t="s">
        <v>405</v>
      </c>
      <c r="D23" s="447" t="s">
        <v>384</v>
      </c>
      <c r="E23" s="302" t="s">
        <v>130</v>
      </c>
      <c r="F23" s="219"/>
      <c r="G23" s="343"/>
      <c r="H23" s="343"/>
      <c r="I23" s="320"/>
      <c r="J23" s="320"/>
      <c r="K23" s="112"/>
      <c r="L23" s="112"/>
    </row>
    <row r="24" spans="2:19" ht="23.4" x14ac:dyDescent="0.45">
      <c r="B24" s="304" t="s">
        <v>323</v>
      </c>
      <c r="C24" s="562" t="s">
        <v>11</v>
      </c>
      <c r="D24" s="563" t="s">
        <v>186</v>
      </c>
      <c r="E24" s="562"/>
      <c r="F24" s="219"/>
      <c r="G24" s="353"/>
      <c r="H24" s="344"/>
      <c r="I24" s="456"/>
      <c r="J24" s="456"/>
      <c r="K24" s="349"/>
      <c r="L24" s="349"/>
    </row>
    <row r="25" spans="2:19" ht="24" thickBot="1" x14ac:dyDescent="0.5">
      <c r="B25" s="307" t="s">
        <v>305</v>
      </c>
      <c r="C25" s="309">
        <f>IF(C24= "Procesador",
                      INDEX(m2.Procesado_resumen[Rxv, m3/hrpr],
                      MATCH(m2.Procesado_id_procesado[Procesador],  m2.Procesado_resumen[id_procesado], 0)),
IF(C24= "Motosierra",
                      INDEX(m2.Procesado_resumen[Rxv, m3/hrpr],
                      MATCH(m2.Procesado_id_procesado[Motosierra],  m2.Procesado_resumen[id_procesado], 0)),
0))</f>
        <v>40.535357774964901</v>
      </c>
      <c r="D25" s="309">
        <v>48.1</v>
      </c>
      <c r="E25" s="308"/>
      <c r="F25" s="256"/>
      <c r="G25" s="107"/>
      <c r="I25" s="457"/>
      <c r="J25" s="457"/>
      <c r="K25" s="349"/>
      <c r="L25" s="349"/>
    </row>
    <row r="26" spans="2:19" ht="23.4" x14ac:dyDescent="0.45">
      <c r="B26" s="299" t="s">
        <v>287</v>
      </c>
      <c r="C26" s="306"/>
      <c r="D26" s="306"/>
      <c r="E26" s="306"/>
      <c r="F26" s="256"/>
      <c r="G26" s="354"/>
      <c r="H26" s="67"/>
      <c r="I26" s="293"/>
      <c r="J26" s="483"/>
      <c r="K26" s="351"/>
      <c r="L26" s="351"/>
    </row>
    <row r="27" spans="2:19" ht="23.4" x14ac:dyDescent="0.45">
      <c r="B27" s="305" t="s">
        <v>85</v>
      </c>
      <c r="C27" s="562">
        <v>1017272</v>
      </c>
      <c r="D27" s="564">
        <v>184080000</v>
      </c>
      <c r="E27" s="565"/>
      <c r="F27" s="256"/>
      <c r="G27" s="107"/>
      <c r="H27" s="484"/>
      <c r="I27" s="484"/>
      <c r="J27" s="484"/>
      <c r="K27" s="485"/>
      <c r="L27" s="485"/>
    </row>
    <row r="28" spans="2:19" ht="23.4" x14ac:dyDescent="0.45">
      <c r="B28" s="305" t="s">
        <v>276</v>
      </c>
      <c r="C28" s="562">
        <v>5</v>
      </c>
      <c r="D28" s="564"/>
      <c r="E28" s="562"/>
      <c r="F28" s="256"/>
      <c r="G28" s="354"/>
      <c r="H28" s="365"/>
      <c r="I28" s="488"/>
      <c r="J28" s="488"/>
      <c r="K28" s="369"/>
      <c r="L28" s="369"/>
      <c r="M28" s="486"/>
    </row>
    <row r="29" spans="2:19" ht="23.4" x14ac:dyDescent="0.45">
      <c r="B29" s="305" t="s">
        <v>271</v>
      </c>
      <c r="C29" s="562">
        <v>2</v>
      </c>
      <c r="D29" s="564">
        <v>4</v>
      </c>
      <c r="E29" s="562"/>
      <c r="F29" s="219"/>
      <c r="H29" s="498"/>
      <c r="I29" s="487"/>
      <c r="J29" s="487"/>
      <c r="K29" s="487"/>
      <c r="L29" s="487"/>
      <c r="M29" s="486"/>
    </row>
    <row r="30" spans="2:19" ht="23.4" x14ac:dyDescent="0.45">
      <c r="B30" s="305" t="s">
        <v>282</v>
      </c>
      <c r="C30" s="562">
        <v>0.05</v>
      </c>
      <c r="D30" s="564">
        <v>0.2</v>
      </c>
      <c r="E30" s="562"/>
      <c r="F30" s="219"/>
      <c r="G30" s="354"/>
      <c r="H30" s="487"/>
      <c r="I30" s="487"/>
      <c r="J30" s="488"/>
      <c r="K30" s="369"/>
      <c r="L30" s="369"/>
      <c r="M30" s="486"/>
    </row>
    <row r="31" spans="2:19" ht="23.4" x14ac:dyDescent="0.45">
      <c r="B31" s="349" t="s">
        <v>369</v>
      </c>
      <c r="C31" s="562">
        <v>0.56699999999999995</v>
      </c>
      <c r="D31" s="564">
        <v>0.77</v>
      </c>
      <c r="E31" s="562"/>
      <c r="F31" s="219"/>
      <c r="H31" s="487"/>
      <c r="I31" s="489"/>
      <c r="J31" s="489"/>
      <c r="K31" s="369"/>
      <c r="L31" s="369"/>
      <c r="M31" s="486"/>
    </row>
    <row r="32" spans="2:19" ht="23.4" x14ac:dyDescent="0.45">
      <c r="B32" s="305" t="s">
        <v>272</v>
      </c>
      <c r="C32" s="562">
        <v>0.12</v>
      </c>
      <c r="D32" s="564">
        <v>0.12</v>
      </c>
      <c r="E32" s="562"/>
      <c r="F32" s="205"/>
      <c r="G32" s="354"/>
      <c r="H32" s="487"/>
      <c r="I32" s="490"/>
      <c r="J32" s="490"/>
      <c r="K32" s="369"/>
      <c r="L32" s="369"/>
      <c r="M32" s="486"/>
    </row>
    <row r="33" spans="1:13" ht="23.4" x14ac:dyDescent="0.45">
      <c r="B33" s="305" t="s">
        <v>273</v>
      </c>
      <c r="C33" s="562">
        <v>0.17499999999999999</v>
      </c>
      <c r="D33" s="564">
        <v>0.17499999999999999</v>
      </c>
      <c r="E33" s="562"/>
      <c r="F33" s="256"/>
      <c r="H33" s="487"/>
      <c r="I33" s="490"/>
      <c r="J33" s="490"/>
      <c r="K33" s="369"/>
      <c r="L33" s="369"/>
      <c r="M33" s="486"/>
    </row>
    <row r="34" spans="1:13" ht="23.4" x14ac:dyDescent="0.45">
      <c r="B34" s="305" t="s">
        <v>274</v>
      </c>
      <c r="C34" s="562">
        <v>0.02</v>
      </c>
      <c r="D34" s="564">
        <v>0.02</v>
      </c>
      <c r="E34" s="562"/>
      <c r="F34" s="256"/>
      <c r="G34" s="354"/>
      <c r="H34" s="487"/>
      <c r="I34" s="490"/>
      <c r="J34" s="490"/>
      <c r="K34" s="369"/>
      <c r="L34" s="369"/>
      <c r="M34" s="486"/>
    </row>
    <row r="35" spans="1:13" ht="23.4" x14ac:dyDescent="0.45">
      <c r="B35" s="305" t="s">
        <v>281</v>
      </c>
      <c r="C35" s="562">
        <v>0.95</v>
      </c>
      <c r="D35" s="564">
        <v>0.8</v>
      </c>
      <c r="E35" s="565"/>
      <c r="F35" s="256"/>
      <c r="H35" s="487"/>
      <c r="I35" s="491"/>
      <c r="J35" s="491"/>
      <c r="K35" s="491"/>
      <c r="L35" s="491"/>
      <c r="M35" s="486"/>
    </row>
    <row r="36" spans="1:13" ht="23.4" x14ac:dyDescent="0.45">
      <c r="B36" s="305" t="s">
        <v>278</v>
      </c>
      <c r="C36" s="562">
        <v>0.74</v>
      </c>
      <c r="D36" s="564">
        <v>27</v>
      </c>
      <c r="E36" s="562"/>
      <c r="F36" s="219"/>
      <c r="G36" s="354"/>
      <c r="H36" s="499"/>
      <c r="I36" s="500"/>
      <c r="J36" s="500"/>
      <c r="K36" s="369"/>
      <c r="L36" s="369"/>
      <c r="M36" s="486"/>
    </row>
    <row r="37" spans="1:13" ht="23.4" x14ac:dyDescent="0.45">
      <c r="B37" s="305" t="s">
        <v>279</v>
      </c>
      <c r="C37" s="562">
        <v>660</v>
      </c>
      <c r="D37" s="564">
        <v>660</v>
      </c>
      <c r="E37" s="565"/>
      <c r="F37" s="219"/>
      <c r="H37" s="487"/>
      <c r="I37" s="489"/>
      <c r="J37" s="489"/>
      <c r="K37" s="369"/>
      <c r="L37" s="369"/>
      <c r="M37" s="486"/>
    </row>
    <row r="38" spans="1:13" ht="23.4" x14ac:dyDescent="0.45">
      <c r="B38" s="305" t="s">
        <v>280</v>
      </c>
      <c r="C38" s="562">
        <v>0.36799999999999999</v>
      </c>
      <c r="D38" s="564">
        <v>8.4000000000000005E-2</v>
      </c>
      <c r="E38" s="562"/>
      <c r="F38" s="261"/>
      <c r="G38" s="354"/>
      <c r="H38" s="487"/>
      <c r="I38" s="489"/>
      <c r="J38" s="489"/>
      <c r="K38" s="369"/>
      <c r="L38" s="369"/>
      <c r="M38" s="486"/>
    </row>
    <row r="39" spans="1:13" ht="23.4" x14ac:dyDescent="0.45">
      <c r="B39" s="305" t="s">
        <v>304</v>
      </c>
      <c r="C39" s="562">
        <v>850000</v>
      </c>
      <c r="D39" s="562"/>
      <c r="E39" s="562"/>
      <c r="F39" s="219"/>
      <c r="H39" s="487"/>
      <c r="I39" s="490"/>
      <c r="J39" s="490"/>
      <c r="K39" s="490"/>
      <c r="L39" s="490"/>
      <c r="M39" s="486"/>
    </row>
    <row r="40" spans="1:13" ht="24" thickBot="1" x14ac:dyDescent="0.5">
      <c r="B40" s="307" t="s">
        <v>297</v>
      </c>
      <c r="C40" s="566">
        <v>0.25</v>
      </c>
      <c r="D40" s="566"/>
      <c r="E40" s="566"/>
      <c r="F40" s="256"/>
      <c r="G40" s="354"/>
      <c r="H40" s="492"/>
      <c r="I40" s="489"/>
      <c r="J40" s="489"/>
      <c r="K40" s="487"/>
      <c r="L40" s="487"/>
      <c r="M40" s="486"/>
    </row>
    <row r="41" spans="1:13" ht="23.4" x14ac:dyDescent="0.45">
      <c r="B41" s="299" t="s">
        <v>288</v>
      </c>
      <c r="C41" s="305"/>
      <c r="D41" s="305"/>
      <c r="E41" s="305"/>
      <c r="F41" s="256"/>
      <c r="H41" s="487"/>
      <c r="I41" s="490"/>
      <c r="J41" s="490"/>
      <c r="K41" s="487"/>
      <c r="L41" s="487"/>
      <c r="M41" s="486"/>
    </row>
    <row r="42" spans="1:13" ht="23.4" x14ac:dyDescent="0.45">
      <c r="B42" s="305" t="s">
        <v>283</v>
      </c>
      <c r="C42" s="445">
        <f>C27*C30</f>
        <v>50863.600000000006</v>
      </c>
      <c r="D42" s="445">
        <f>D27*D30</f>
        <v>36816000</v>
      </c>
      <c r="E42" s="445"/>
      <c r="F42" s="256"/>
      <c r="G42" s="353"/>
      <c r="H42" s="492"/>
      <c r="I42" s="366"/>
      <c r="J42" s="366"/>
      <c r="K42" s="487"/>
      <c r="L42" s="487"/>
      <c r="M42" s="486"/>
    </row>
    <row r="43" spans="1:13" ht="21" x14ac:dyDescent="0.4">
      <c r="B43" s="305" t="s">
        <v>284</v>
      </c>
      <c r="C43" s="445">
        <f>(C27-C42)/C29</f>
        <v>483204.2</v>
      </c>
      <c r="D43" s="445">
        <f>(D27-D42)/D29</f>
        <v>36816000</v>
      </c>
      <c r="E43" s="445"/>
      <c r="H43" s="493"/>
      <c r="I43" s="494"/>
      <c r="J43" s="494"/>
      <c r="K43" s="495"/>
      <c r="L43" s="495"/>
      <c r="M43" s="486"/>
    </row>
    <row r="44" spans="1:13" ht="21" x14ac:dyDescent="0.4">
      <c r="A44" s="339"/>
      <c r="B44" s="305" t="s">
        <v>285</v>
      </c>
      <c r="C44" s="445">
        <f>((((C27-C42)*(C29+1))/(2*C29))+C42)</f>
        <v>775669.9</v>
      </c>
      <c r="D44" s="445">
        <f>((((D27-D42)*(D29+1))/(2*D29))+D42)</f>
        <v>128856000</v>
      </c>
      <c r="E44" s="445"/>
      <c r="G44" s="354"/>
      <c r="H44" s="496"/>
      <c r="I44" s="494"/>
      <c r="J44" s="494"/>
      <c r="K44" s="495"/>
      <c r="L44" s="495"/>
      <c r="M44" s="486"/>
    </row>
    <row r="45" spans="1:13" ht="21.6" thickBot="1" x14ac:dyDescent="0.45">
      <c r="B45" s="307" t="s">
        <v>286</v>
      </c>
      <c r="C45" s="446">
        <f>'m1 Fac_oper'!$C$27*C31</f>
        <v>2041.1999999999998</v>
      </c>
      <c r="D45" s="446">
        <f>'m1 Fac_oper'!$C$27*D31</f>
        <v>2772</v>
      </c>
      <c r="E45" s="446"/>
      <c r="H45" s="493"/>
      <c r="I45" s="494"/>
      <c r="J45" s="494"/>
      <c r="K45" s="495"/>
      <c r="L45" s="495"/>
      <c r="M45" s="486"/>
    </row>
    <row r="46" spans="1:13" ht="21" x14ac:dyDescent="0.4">
      <c r="B46" s="299" t="s">
        <v>275</v>
      </c>
      <c r="C46" s="445"/>
      <c r="D46" s="445"/>
      <c r="E46" s="445"/>
      <c r="G46" s="354"/>
      <c r="H46" s="492"/>
      <c r="I46" s="487"/>
      <c r="J46" s="487"/>
      <c r="K46" s="487"/>
      <c r="L46" s="487"/>
      <c r="M46" s="486"/>
    </row>
    <row r="47" spans="1:13" ht="21" x14ac:dyDescent="0.4">
      <c r="B47" s="305" t="s">
        <v>302</v>
      </c>
      <c r="C47" s="445">
        <f>C44*(C32+C34+C33)</f>
        <v>244336.01849999998</v>
      </c>
      <c r="D47" s="440">
        <f>D44*(D32+D34+D33)</f>
        <v>40589639.999999993</v>
      </c>
      <c r="E47" s="445"/>
      <c r="G47" s="352"/>
      <c r="H47" s="497"/>
      <c r="I47" s="497"/>
      <c r="J47" s="497"/>
      <c r="K47" s="497"/>
      <c r="L47" s="497"/>
      <c r="M47" s="486"/>
    </row>
    <row r="48" spans="1:13" ht="23.4" x14ac:dyDescent="0.45">
      <c r="B48" s="305" t="s">
        <v>293</v>
      </c>
      <c r="C48" s="445">
        <f>C47+C43</f>
        <v>727540.21849999996</v>
      </c>
      <c r="D48" s="440">
        <f>D47+D43</f>
        <v>77405640</v>
      </c>
      <c r="E48" s="445"/>
      <c r="G48" s="354"/>
      <c r="H48" s="347"/>
      <c r="I48" s="322"/>
      <c r="J48" s="322"/>
      <c r="K48" s="350"/>
      <c r="L48" s="350"/>
    </row>
    <row r="49" spans="2:12" ht="23.4" x14ac:dyDescent="0.45">
      <c r="B49" s="305" t="s">
        <v>289</v>
      </c>
      <c r="C49" s="440">
        <f>C48/C45</f>
        <v>356.4276986576524</v>
      </c>
      <c r="D49" s="440">
        <f>D48/D45</f>
        <v>27924.112554112555</v>
      </c>
      <c r="E49" s="445"/>
      <c r="H49" s="232"/>
      <c r="I49" s="322"/>
      <c r="J49" s="322"/>
      <c r="K49" s="350"/>
      <c r="L49" s="350"/>
    </row>
    <row r="50" spans="2:12" ht="24" thickBot="1" x14ac:dyDescent="0.5">
      <c r="B50" s="307" t="s">
        <v>290</v>
      </c>
      <c r="C50" s="441">
        <f>C48/'m1 Fac_oper'!$C$27</f>
        <v>202.09450513888888</v>
      </c>
      <c r="D50" s="441">
        <f>D48/'m1 Fac_oper'!$C$27</f>
        <v>21501.566666666666</v>
      </c>
      <c r="E50" s="446"/>
      <c r="G50" s="354"/>
      <c r="H50" s="347"/>
      <c r="I50" s="322"/>
      <c r="J50" s="322"/>
      <c r="K50" s="350"/>
      <c r="L50" s="350"/>
    </row>
    <row r="51" spans="2:12" ht="23.4" x14ac:dyDescent="0.45">
      <c r="B51" s="299" t="s">
        <v>291</v>
      </c>
      <c r="C51" s="445"/>
      <c r="D51" s="440"/>
      <c r="E51" s="445"/>
      <c r="H51" s="348"/>
      <c r="I51" s="322"/>
      <c r="J51" s="322"/>
      <c r="K51" s="350"/>
      <c r="L51" s="350"/>
    </row>
    <row r="52" spans="2:12" ht="23.4" x14ac:dyDescent="0.45">
      <c r="B52" s="305" t="s">
        <v>292</v>
      </c>
      <c r="C52" s="445">
        <f>C36*C37</f>
        <v>488.4</v>
      </c>
      <c r="D52" s="440">
        <f>D36*D37</f>
        <v>17820</v>
      </c>
      <c r="E52" s="445"/>
      <c r="G52" s="355"/>
      <c r="H52" s="347"/>
      <c r="I52" s="214"/>
      <c r="J52" s="214"/>
      <c r="K52" s="412"/>
      <c r="L52" s="349"/>
    </row>
    <row r="53" spans="2:12" ht="23.4" x14ac:dyDescent="0.45">
      <c r="B53" s="305" t="s">
        <v>294</v>
      </c>
      <c r="C53" s="445">
        <f>C52*C38</f>
        <v>179.7312</v>
      </c>
      <c r="D53" s="440">
        <f>D52*D38</f>
        <v>1496.88</v>
      </c>
      <c r="E53" s="445"/>
      <c r="H53" s="232"/>
      <c r="I53" s="476"/>
      <c r="J53" s="476"/>
      <c r="K53" s="350"/>
      <c r="L53" s="350"/>
    </row>
    <row r="54" spans="2:12" ht="23.4" x14ac:dyDescent="0.45">
      <c r="B54" s="305" t="s">
        <v>295</v>
      </c>
      <c r="C54" s="445">
        <f>(C43/C45)*C35</f>
        <v>224.88927591612779</v>
      </c>
      <c r="D54" s="440">
        <f>(D43/D45)*D35</f>
        <v>10625.108225108226</v>
      </c>
      <c r="E54" s="445"/>
      <c r="G54" s="354"/>
      <c r="H54" s="347"/>
      <c r="I54" s="477"/>
      <c r="J54" s="477"/>
      <c r="K54" s="350"/>
      <c r="L54" s="350"/>
    </row>
    <row r="55" spans="2:12" ht="23.4" x14ac:dyDescent="0.45">
      <c r="B55" s="305" t="s">
        <v>299</v>
      </c>
      <c r="C55" s="440">
        <f>SUM(C52:C54)</f>
        <v>893.02047591612779</v>
      </c>
      <c r="D55" s="440">
        <f>SUM(D52:D54)</f>
        <v>29941.988225108227</v>
      </c>
      <c r="E55" s="445"/>
      <c r="H55" s="232"/>
      <c r="I55" s="261"/>
      <c r="J55" s="261"/>
      <c r="K55" s="350"/>
      <c r="L55" s="350"/>
    </row>
    <row r="56" spans="2:12" ht="24" thickBot="1" x14ac:dyDescent="0.5">
      <c r="B56" s="307" t="s">
        <v>300</v>
      </c>
      <c r="C56" s="441">
        <f>C55*C31</f>
        <v>506.34260984444444</v>
      </c>
      <c r="D56" s="441">
        <f>D55*D31</f>
        <v>23055.330933333335</v>
      </c>
      <c r="E56" s="446"/>
      <c r="G56" s="354"/>
      <c r="H56" s="347"/>
      <c r="I56" s="261"/>
      <c r="J56" s="261"/>
      <c r="K56" s="350"/>
      <c r="L56" s="350"/>
    </row>
    <row r="57" spans="2:12" ht="23.4" x14ac:dyDescent="0.45">
      <c r="B57" s="299" t="s">
        <v>296</v>
      </c>
      <c r="C57" s="445"/>
      <c r="D57" s="445"/>
      <c r="E57" s="445"/>
      <c r="H57" s="348"/>
      <c r="I57" s="477"/>
      <c r="J57" s="477"/>
      <c r="K57" s="350"/>
      <c r="L57" s="350"/>
    </row>
    <row r="58" spans="2:12" ht="23.4" x14ac:dyDescent="0.45">
      <c r="B58" s="305" t="s">
        <v>301</v>
      </c>
      <c r="C58" s="440">
        <f>(C39*(1+C40))/('m1 Fac_oper'!$C$26*C31)</f>
        <v>6246.3256907701352</v>
      </c>
      <c r="D58" s="440">
        <f>D59/D31</f>
        <v>7992.0779220779214</v>
      </c>
      <c r="E58" s="445"/>
      <c r="G58" s="355"/>
      <c r="H58" s="345"/>
      <c r="I58" s="214"/>
      <c r="J58" s="214"/>
      <c r="K58" s="349"/>
      <c r="L58" s="349"/>
    </row>
    <row r="59" spans="2:12" ht="24" thickBot="1" x14ac:dyDescent="0.5">
      <c r="B59" s="307" t="s">
        <v>298</v>
      </c>
      <c r="C59" s="441">
        <f>(C39*(1+C40))/'m1 Fac_oper'!$C$26</f>
        <v>3541.6666666666665</v>
      </c>
      <c r="D59" s="561">
        <v>6153.9</v>
      </c>
      <c r="E59" s="446"/>
      <c r="H59" s="31"/>
      <c r="I59" s="261"/>
      <c r="J59" s="261"/>
      <c r="K59" s="350"/>
      <c r="L59" s="350"/>
    </row>
    <row r="60" spans="2:12" ht="23.4" x14ac:dyDescent="0.45">
      <c r="G60" s="354"/>
      <c r="H60" s="31"/>
      <c r="I60" s="261"/>
      <c r="J60" s="261"/>
      <c r="K60" s="350"/>
      <c r="L60" s="350"/>
    </row>
    <row r="61" spans="2:12" x14ac:dyDescent="0.3"/>
    <row r="62" spans="2:12" x14ac:dyDescent="0.3"/>
    <row r="63" spans="2:12" x14ac:dyDescent="0.3"/>
    <row r="64" spans="2:12" x14ac:dyDescent="0.3"/>
    <row r="65" x14ac:dyDescent="0.3"/>
  </sheetData>
  <sheetProtection sheet="1" objects="1" scenarios="1"/>
  <dataValidations count="1">
    <dataValidation type="list" allowBlank="1" showInputMessage="1" showErrorMessage="1" sqref="I24:J24" xr:uid="{5C325523-C2C9-4CEC-A1B6-C80635549ADA}">
      <formula1>"Skidder,Skidder-Garra,Skidder-Cable,Forwarder,Tractor"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9A66E2-6916-4275-B975-56F71A682FFF}">
          <x14:formula1>
            <xm:f>'BD Costos'!$U$59:$AD$59</xm:f>
          </x14:formula1>
          <xm:sqref>B15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0A4A-0508-4EFA-94C3-86D59F3EC865}">
  <sheetPr codeName="Hoja18"/>
  <dimension ref="A1:Q65"/>
  <sheetViews>
    <sheetView showGridLines="0" showRowColHeaders="0" zoomScale="55" zoomScaleNormal="55" workbookViewId="0"/>
  </sheetViews>
  <sheetFormatPr baseColWidth="10" defaultColWidth="0" defaultRowHeight="14.4" zeroHeight="1" x14ac:dyDescent="0.3"/>
  <cols>
    <col min="1" max="1" width="24.88671875" style="48" customWidth="1"/>
    <col min="2" max="2" width="83.33203125" style="48" bestFit="1" customWidth="1"/>
    <col min="3" max="3" width="26.44140625" style="48" bestFit="1" customWidth="1"/>
    <col min="4" max="4" width="25.6640625" style="48" bestFit="1" customWidth="1"/>
    <col min="5" max="5" width="29.44140625" style="48" bestFit="1" customWidth="1"/>
    <col min="6" max="6" width="8.6640625" style="48" bestFit="1" customWidth="1"/>
    <col min="7" max="7" width="11.88671875" style="48" bestFit="1" customWidth="1"/>
    <col min="8" max="8" width="7.88671875" style="48" customWidth="1"/>
    <col min="9" max="9" width="8.5546875" style="48" customWidth="1"/>
    <col min="10" max="10" width="10" style="48" customWidth="1"/>
    <col min="11" max="11" width="12.33203125" style="48" customWidth="1"/>
    <col min="12" max="12" width="11.33203125" style="48" customWidth="1"/>
    <col min="13" max="13" width="20.88671875" style="48" customWidth="1"/>
    <col min="14" max="14" width="19" style="48" bestFit="1" customWidth="1"/>
    <col min="15" max="15" width="35.109375" style="48" hidden="1" customWidth="1"/>
    <col min="16" max="17" width="32.44140625" style="48" hidden="1" customWidth="1"/>
    <col min="18" max="16384" width="11.44140625" style="48" hidden="1"/>
  </cols>
  <sheetData>
    <row r="1" spans="2:4" x14ac:dyDescent="0.3"/>
    <row r="2" spans="2:4" x14ac:dyDescent="0.3"/>
    <row r="3" spans="2:4" x14ac:dyDescent="0.3"/>
    <row r="4" spans="2:4" x14ac:dyDescent="0.3"/>
    <row r="5" spans="2:4" x14ac:dyDescent="0.3"/>
    <row r="6" spans="2:4" x14ac:dyDescent="0.3"/>
    <row r="7" spans="2:4" x14ac:dyDescent="0.3"/>
    <row r="8" spans="2:4" x14ac:dyDescent="0.3"/>
    <row r="9" spans="2:4" x14ac:dyDescent="0.3"/>
    <row r="10" spans="2:4" x14ac:dyDescent="0.3"/>
    <row r="11" spans="2:4" x14ac:dyDescent="0.3">
      <c r="B11" s="129"/>
    </row>
    <row r="12" spans="2:4" x14ac:dyDescent="0.3"/>
    <row r="13" spans="2:4" x14ac:dyDescent="0.3"/>
    <row r="14" spans="2:4" ht="23.4" x14ac:dyDescent="0.45">
      <c r="B14" s="169" t="s">
        <v>307</v>
      </c>
      <c r="C14" s="257" t="s">
        <v>36</v>
      </c>
      <c r="D14" s="257" t="s">
        <v>324</v>
      </c>
    </row>
    <row r="15" spans="2:4" ht="23.4" x14ac:dyDescent="0.45">
      <c r="B15" s="258" t="s">
        <v>182</v>
      </c>
      <c r="C15" s="220">
        <f>INDEX( 'BD Costos'!U75:AD75,
 MATCH($B$14,
BD_Costos_CARGUÍO[[#Headers],[Potencia motor, hp]:[Productividad, %]], 0 ))</f>
        <v>0.1914285714285715</v>
      </c>
      <c r="D15" s="220" t="e">
        <f>INDEX( 'BD Costos'!U78:AD78,
 MATCH($B$14,
BD_Costos_CARGUÍO[[#Headers],[Potencia motor, hp]:[Productividad, %]], 0 ))</f>
        <v>#DIV/0!</v>
      </c>
    </row>
    <row r="16" spans="2:4" ht="23.4" x14ac:dyDescent="0.45">
      <c r="B16" s="258" t="s">
        <v>183</v>
      </c>
      <c r="C16" s="220">
        <f>INDEX( 'BD Costos'!U76:AD76,
 MATCH($B$14,
BD_Costos_CARGUÍO[[#Headers],[Potencia motor, hp]:[Productividad, %]], 0 ))</f>
        <v>2.0000000000000004E-2</v>
      </c>
      <c r="D16" s="220">
        <f>INDEX( 'BD Costos'!U79:AD79,
 MATCH($B$14,
BD_Costos_CARGUÍO[[#Headers],[Potencia motor, hp]:[Productividad, %]], 0 ))</f>
        <v>0</v>
      </c>
    </row>
    <row r="17" spans="2:15" ht="23.4" x14ac:dyDescent="0.45">
      <c r="B17" s="258" t="s">
        <v>184</v>
      </c>
      <c r="C17" s="220">
        <f>INDEX( 'BD Costos'!U77:AD77,
 MATCH($B$14,
BD_Costos_CARGUÍO[[#Headers],[Potencia motor, hp]:[Productividad, %]], 0 ))</f>
        <v>0.20000000000000004</v>
      </c>
      <c r="D17" s="220">
        <f>INDEX( 'BD Costos'!U80:AD80,
 MATCH($B$14,
BD_Costos_CARGUÍO[[#Headers],[Potencia motor, hp]:[Productividad, %]], 0 ))</f>
        <v>0</v>
      </c>
    </row>
    <row r="18" spans="2:15" x14ac:dyDescent="0.3"/>
    <row r="19" spans="2:15" x14ac:dyDescent="0.3"/>
    <row r="20" spans="2:15" x14ac:dyDescent="0.3"/>
    <row r="21" spans="2:15" x14ac:dyDescent="0.3"/>
    <row r="22" spans="2:15" x14ac:dyDescent="0.3"/>
    <row r="23" spans="2:15" x14ac:dyDescent="0.3"/>
    <row r="24" spans="2:15" ht="23.4" x14ac:dyDescent="0.45">
      <c r="I24" s="270"/>
    </row>
    <row r="25" spans="2:15" ht="16.649999999999999" customHeight="1" x14ac:dyDescent="0.45">
      <c r="I25" s="269"/>
    </row>
    <row r="26" spans="2:15" ht="21" x14ac:dyDescent="0.4">
      <c r="B26" s="299" t="s">
        <v>303</v>
      </c>
      <c r="C26" s="299" t="s">
        <v>337</v>
      </c>
      <c r="D26" s="299" t="s">
        <v>338</v>
      </c>
      <c r="E26" s="299" t="s">
        <v>130</v>
      </c>
      <c r="F26" s="349"/>
      <c r="G26" s="383"/>
      <c r="H26" s="383"/>
      <c r="I26" s="343"/>
      <c r="J26" s="384"/>
      <c r="K26" s="384"/>
      <c r="L26" s="300"/>
      <c r="M26" s="300"/>
      <c r="N26" s="300"/>
      <c r="O26" s="300"/>
    </row>
    <row r="27" spans="2:15" ht="21" x14ac:dyDescent="0.4">
      <c r="B27" s="304" t="s">
        <v>323</v>
      </c>
      <c r="C27" s="442" t="s">
        <v>74</v>
      </c>
      <c r="D27" s="442" t="s">
        <v>75</v>
      </c>
      <c r="E27" s="442" t="s">
        <v>130</v>
      </c>
      <c r="F27" s="304"/>
      <c r="G27" s="385"/>
      <c r="H27" s="386"/>
      <c r="I27" s="344"/>
      <c r="J27" s="387"/>
      <c r="K27" s="387"/>
      <c r="L27" s="349"/>
      <c r="M27" s="349"/>
      <c r="N27" s="304"/>
      <c r="O27" s="304"/>
    </row>
    <row r="28" spans="2:15" ht="21.6" thickBot="1" x14ac:dyDescent="0.45">
      <c r="B28" s="336" t="s">
        <v>305</v>
      </c>
      <c r="C28" s="443">
        <f>IF(C27= "Hidráulico",
  INDEX(m2.Carguío_funciones[Rxv, m3/hrpr],
  MATCH(m2.Carguío_id_carguío[Hidráulico],  m2.Carguío_funciones[id_carguío])),
IF(C27= "Grúa",
  INDEX(m2.Carguío_funciones[Rxv, m3/hrpr],
  MATCH(m2.Carguío_id_carguío[Grúa],  m2.Carguío_funciones[id_carguío])),
IF(C27= "Cable",
  INDEX(m2.Carguío_funciones[Rxv, m3/hrpr],
  MATCH(m2.Carguío_id_carguío[Cable],m2.Carguío_funciones[id_carguío])))))</f>
        <v>22.293486674776069</v>
      </c>
      <c r="D28" s="443">
        <f>IF(D27= "Hidráulico",
  INDEX(m2.Carguío_funciones[Rxv, m3/hrpr],
  MATCH(m2.Carguío_id_carguío[Hidráulico],  m2.Carguío_funciones[id_carguío])),
IF(D27= "Grúa",
  INDEX(m2.Carguío_funciones[Rxv, m3/hrpr],
  MATCH(m2.Carguío_id_carguío[Grúa],  m2.Carguío_funciones[id_carguío])),
IF(D27= "Cable",
  INDEX(m2.Carguío_funciones[Rxv, m3/hrpr],
  MATCH(m2.Carguío_id_carguío[Cable],m2.Carguío_funciones[id_carguío])))))</f>
        <v>19.847676955429364</v>
      </c>
      <c r="E28" s="444"/>
      <c r="F28" s="349"/>
      <c r="G28" s="304"/>
      <c r="H28" s="349"/>
      <c r="J28" s="388"/>
      <c r="K28" s="388"/>
      <c r="L28" s="349"/>
      <c r="M28" s="349"/>
      <c r="N28" s="349"/>
      <c r="O28" s="349"/>
    </row>
    <row r="29" spans="2:15" ht="21" x14ac:dyDescent="0.4">
      <c r="B29" s="299" t="s">
        <v>287</v>
      </c>
      <c r="C29" s="567"/>
      <c r="D29" s="567"/>
      <c r="E29" s="567"/>
      <c r="F29" s="349"/>
      <c r="G29" s="389"/>
      <c r="H29" s="390"/>
      <c r="I29" s="67"/>
      <c r="J29" s="391"/>
      <c r="K29" s="391"/>
      <c r="L29" s="390"/>
      <c r="M29" s="390"/>
      <c r="N29" s="392"/>
      <c r="O29" s="392"/>
    </row>
    <row r="30" spans="2:15" ht="21" x14ac:dyDescent="0.4">
      <c r="B30" s="349" t="s">
        <v>85</v>
      </c>
      <c r="C30" s="568">
        <v>185515380</v>
      </c>
      <c r="D30" s="568">
        <v>170000000</v>
      </c>
      <c r="E30" s="568"/>
      <c r="F30" s="349"/>
      <c r="G30" s="304"/>
      <c r="H30" s="349"/>
      <c r="J30" s="393"/>
      <c r="K30" s="393"/>
      <c r="L30" s="349"/>
      <c r="M30" s="349"/>
      <c r="N30" s="349"/>
      <c r="O30" s="349"/>
    </row>
    <row r="31" spans="2:15" ht="21" x14ac:dyDescent="0.4">
      <c r="B31" s="349" t="s">
        <v>276</v>
      </c>
      <c r="C31" s="567">
        <v>220</v>
      </c>
      <c r="D31" s="567">
        <v>163</v>
      </c>
      <c r="E31" s="567"/>
      <c r="F31" s="349"/>
      <c r="G31" s="389"/>
      <c r="H31" s="394"/>
      <c r="I31" s="232"/>
      <c r="J31" s="395"/>
      <c r="K31" s="395"/>
      <c r="L31" s="396"/>
      <c r="M31" s="396"/>
      <c r="N31" s="350"/>
      <c r="O31" s="350"/>
    </row>
    <row r="32" spans="2:15" ht="21" x14ac:dyDescent="0.4">
      <c r="B32" s="349" t="s">
        <v>271</v>
      </c>
      <c r="C32" s="567">
        <v>5</v>
      </c>
      <c r="D32" s="567">
        <v>5</v>
      </c>
      <c r="E32" s="567"/>
      <c r="F32" s="349"/>
      <c r="G32" s="349"/>
      <c r="H32" s="397"/>
      <c r="I32" s="49"/>
      <c r="J32" s="395"/>
      <c r="K32" s="395"/>
      <c r="L32" s="396"/>
      <c r="M32" s="396"/>
      <c r="N32" s="349"/>
      <c r="O32" s="349"/>
    </row>
    <row r="33" spans="2:15" ht="21" x14ac:dyDescent="0.4">
      <c r="B33" s="349" t="s">
        <v>282</v>
      </c>
      <c r="C33" s="567">
        <v>0.2</v>
      </c>
      <c r="D33" s="567">
        <v>0.2</v>
      </c>
      <c r="E33" s="567"/>
      <c r="F33" s="349"/>
      <c r="G33" s="389"/>
      <c r="H33" s="397"/>
      <c r="I33" s="49"/>
      <c r="J33" s="398"/>
      <c r="K33" s="398"/>
      <c r="L33" s="396"/>
      <c r="M33" s="396"/>
      <c r="N33" s="349"/>
      <c r="O33" s="349"/>
    </row>
    <row r="34" spans="2:15" ht="21" x14ac:dyDescent="0.4">
      <c r="B34" s="349" t="s">
        <v>277</v>
      </c>
      <c r="C34" s="567">
        <v>0.65</v>
      </c>
      <c r="D34" s="567">
        <v>0.65</v>
      </c>
      <c r="E34" s="567"/>
      <c r="F34" s="349"/>
      <c r="G34" s="349"/>
      <c r="H34" s="397"/>
      <c r="I34" s="49"/>
      <c r="J34" s="399"/>
      <c r="K34" s="399"/>
      <c r="L34" s="396"/>
      <c r="M34" s="396"/>
      <c r="N34" s="349"/>
      <c r="O34" s="349"/>
    </row>
    <row r="35" spans="2:15" ht="21" x14ac:dyDescent="0.4">
      <c r="B35" s="349" t="s">
        <v>272</v>
      </c>
      <c r="C35" s="567">
        <v>0.12</v>
      </c>
      <c r="D35" s="567">
        <v>0.12</v>
      </c>
      <c r="E35" s="567"/>
      <c r="F35" s="349"/>
      <c r="G35" s="389"/>
      <c r="H35" s="397"/>
      <c r="I35" s="49"/>
      <c r="J35" s="399"/>
      <c r="K35" s="399"/>
      <c r="L35" s="396"/>
      <c r="M35" s="396"/>
      <c r="N35" s="349"/>
      <c r="O35" s="349"/>
    </row>
    <row r="36" spans="2:15" ht="21" x14ac:dyDescent="0.4">
      <c r="B36" s="349" t="s">
        <v>274</v>
      </c>
      <c r="C36" s="567">
        <v>0.02</v>
      </c>
      <c r="D36" s="567">
        <v>0.02</v>
      </c>
      <c r="E36" s="567"/>
      <c r="F36" s="349"/>
      <c r="G36" s="349"/>
      <c r="H36" s="397"/>
      <c r="I36" s="49"/>
      <c r="J36" s="399"/>
      <c r="K36" s="399"/>
      <c r="L36" s="396"/>
      <c r="M36" s="396"/>
      <c r="N36" s="349"/>
      <c r="O36" s="349"/>
    </row>
    <row r="37" spans="2:15" ht="21" x14ac:dyDescent="0.4">
      <c r="B37" s="349" t="s">
        <v>273</v>
      </c>
      <c r="C37" s="567">
        <v>0.02</v>
      </c>
      <c r="D37" s="567">
        <v>0.02</v>
      </c>
      <c r="E37" s="567"/>
      <c r="F37" s="349"/>
      <c r="G37" s="389"/>
      <c r="H37" s="397"/>
      <c r="I37" s="49"/>
      <c r="J37" s="399"/>
      <c r="K37" s="399"/>
      <c r="L37" s="396"/>
      <c r="M37" s="396"/>
      <c r="N37" s="349"/>
      <c r="O37" s="349"/>
    </row>
    <row r="38" spans="2:15" ht="21" x14ac:dyDescent="0.4">
      <c r="B38" s="349" t="s">
        <v>281</v>
      </c>
      <c r="C38" s="567">
        <v>0.9</v>
      </c>
      <c r="D38" s="567">
        <v>0.9</v>
      </c>
      <c r="E38" s="567"/>
      <c r="F38" s="349"/>
      <c r="G38" s="349"/>
      <c r="H38" s="397"/>
      <c r="I38" s="49"/>
      <c r="J38" s="399"/>
      <c r="K38" s="399"/>
      <c r="L38" s="396"/>
      <c r="M38" s="396"/>
      <c r="N38" s="349"/>
      <c r="O38" s="349"/>
    </row>
    <row r="39" spans="2:15" ht="21" x14ac:dyDescent="0.4">
      <c r="B39" s="349" t="s">
        <v>278</v>
      </c>
      <c r="C39" s="567">
        <v>13.5</v>
      </c>
      <c r="D39" s="567">
        <v>13.5</v>
      </c>
      <c r="E39" s="567"/>
      <c r="F39" s="349"/>
      <c r="G39" s="389"/>
      <c r="H39" s="397"/>
      <c r="I39" s="49"/>
      <c r="J39" s="399"/>
      <c r="K39" s="399"/>
      <c r="L39" s="396"/>
      <c r="M39" s="396"/>
      <c r="N39" s="349"/>
      <c r="O39" s="349"/>
    </row>
    <row r="40" spans="2:15" ht="21" x14ac:dyDescent="0.4">
      <c r="B40" s="349" t="s">
        <v>279</v>
      </c>
      <c r="C40" s="567">
        <v>659</v>
      </c>
      <c r="D40" s="567">
        <v>659</v>
      </c>
      <c r="E40" s="567"/>
      <c r="F40" s="349"/>
      <c r="G40" s="349"/>
      <c r="H40" s="397"/>
      <c r="I40" s="49"/>
      <c r="J40" s="398"/>
      <c r="K40" s="398"/>
      <c r="L40" s="396"/>
      <c r="M40" s="396"/>
      <c r="N40" s="349"/>
      <c r="O40" s="349"/>
    </row>
    <row r="41" spans="2:15" ht="21" x14ac:dyDescent="0.4">
      <c r="B41" s="349" t="s">
        <v>280</v>
      </c>
      <c r="C41" s="567">
        <v>0.37</v>
      </c>
      <c r="D41" s="567">
        <v>0.37</v>
      </c>
      <c r="E41" s="567"/>
      <c r="F41" s="349"/>
      <c r="G41" s="389"/>
      <c r="H41" s="397"/>
      <c r="I41" s="49"/>
      <c r="J41" s="400"/>
      <c r="K41" s="400"/>
      <c r="L41" s="396"/>
      <c r="M41" s="396"/>
      <c r="N41" s="349"/>
      <c r="O41" s="349"/>
    </row>
    <row r="42" spans="2:15" ht="21" x14ac:dyDescent="0.4">
      <c r="B42" s="349" t="s">
        <v>304</v>
      </c>
      <c r="C42" s="567">
        <v>800000</v>
      </c>
      <c r="D42" s="567">
        <v>800000</v>
      </c>
      <c r="E42" s="567"/>
      <c r="F42" s="349"/>
      <c r="G42" s="349"/>
      <c r="H42" s="397"/>
      <c r="I42" s="49"/>
      <c r="J42" s="401"/>
      <c r="K42" s="401"/>
      <c r="L42" s="396"/>
      <c r="M42" s="396"/>
      <c r="N42" s="349"/>
      <c r="O42" s="349"/>
    </row>
    <row r="43" spans="2:15" ht="21.6" thickBot="1" x14ac:dyDescent="0.45">
      <c r="B43" s="336" t="s">
        <v>297</v>
      </c>
      <c r="C43" s="569">
        <v>0.3</v>
      </c>
      <c r="D43" s="569">
        <v>0.3</v>
      </c>
      <c r="E43" s="569"/>
      <c r="F43" s="349"/>
      <c r="G43" s="389"/>
      <c r="H43" s="402"/>
      <c r="I43" s="345"/>
      <c r="J43" s="403"/>
      <c r="K43" s="403"/>
      <c r="L43" s="349"/>
      <c r="M43" s="349"/>
      <c r="N43" s="349"/>
      <c r="O43" s="349"/>
    </row>
    <row r="44" spans="2:15" ht="21" x14ac:dyDescent="0.4">
      <c r="B44" s="299" t="s">
        <v>288</v>
      </c>
      <c r="C44" s="445"/>
      <c r="D44" s="445"/>
      <c r="E44" s="445"/>
      <c r="F44" s="349"/>
      <c r="G44" s="349"/>
      <c r="H44" s="397"/>
      <c r="I44" s="49"/>
      <c r="J44" s="399"/>
      <c r="K44" s="399"/>
      <c r="L44" s="349"/>
      <c r="M44" s="349"/>
      <c r="N44" s="349"/>
      <c r="O44" s="349"/>
    </row>
    <row r="45" spans="2:15" ht="21" x14ac:dyDescent="0.4">
      <c r="B45" s="349" t="s">
        <v>283</v>
      </c>
      <c r="C45" s="440">
        <f>C30*C33</f>
        <v>37103076</v>
      </c>
      <c r="D45" s="440">
        <f>D30*D33</f>
        <v>34000000</v>
      </c>
      <c r="E45" s="440"/>
      <c r="F45" s="349"/>
      <c r="G45" s="385"/>
      <c r="H45" s="402"/>
      <c r="I45" s="345"/>
      <c r="J45" s="397"/>
      <c r="K45" s="397"/>
      <c r="L45" s="349"/>
      <c r="M45" s="349"/>
      <c r="N45" s="349"/>
      <c r="O45" s="349"/>
    </row>
    <row r="46" spans="2:15" ht="21" x14ac:dyDescent="0.4">
      <c r="B46" s="349" t="s">
        <v>284</v>
      </c>
      <c r="C46" s="440">
        <f>(C30-C45)/C32</f>
        <v>29682460.800000001</v>
      </c>
      <c r="D46" s="440">
        <f>(D30-D45)/D32</f>
        <v>27200000</v>
      </c>
      <c r="E46" s="440"/>
      <c r="F46" s="349"/>
      <c r="G46" s="349"/>
      <c r="H46" s="404"/>
      <c r="I46" s="267"/>
      <c r="J46" s="405"/>
      <c r="K46" s="405"/>
      <c r="L46" s="350"/>
      <c r="M46" s="350"/>
      <c r="N46" s="350"/>
      <c r="O46" s="350"/>
    </row>
    <row r="47" spans="2:15" ht="21" x14ac:dyDescent="0.4">
      <c r="B47" s="349" t="s">
        <v>285</v>
      </c>
      <c r="C47" s="440">
        <f>((((C30-C45)*(C32+1))/(2*C32))+C45)</f>
        <v>126150458.40000001</v>
      </c>
      <c r="D47" s="440">
        <f>((((D30-D45)*(D32+1))/(2*D32))+D45)</f>
        <v>115600000</v>
      </c>
      <c r="E47" s="440"/>
      <c r="F47" s="349"/>
      <c r="G47" s="389"/>
      <c r="H47" s="406"/>
      <c r="I47" s="346"/>
      <c r="J47" s="405"/>
      <c r="K47" s="405"/>
      <c r="L47" s="350"/>
      <c r="M47" s="350"/>
      <c r="N47" s="350"/>
      <c r="O47" s="350"/>
    </row>
    <row r="48" spans="2:15" ht="21.6" thickBot="1" x14ac:dyDescent="0.45">
      <c r="B48" s="336" t="s">
        <v>286</v>
      </c>
      <c r="C48" s="441">
        <f>'m1 Fac_oper'!$C$27*C34</f>
        <v>2340</v>
      </c>
      <c r="D48" s="441">
        <f>'m1 Fac_oper'!$C$27*D34</f>
        <v>2340</v>
      </c>
      <c r="E48" s="441"/>
      <c r="F48" s="349"/>
      <c r="G48" s="349"/>
      <c r="H48" s="404"/>
      <c r="I48" s="267"/>
      <c r="J48" s="405"/>
      <c r="K48" s="405"/>
      <c r="L48" s="350"/>
      <c r="M48" s="350"/>
      <c r="N48" s="350"/>
      <c r="O48" s="350"/>
    </row>
    <row r="49" spans="2:15" ht="21" x14ac:dyDescent="0.4">
      <c r="B49" s="299" t="s">
        <v>275</v>
      </c>
      <c r="C49" s="440"/>
      <c r="D49" s="440"/>
      <c r="E49" s="440"/>
      <c r="F49" s="349"/>
      <c r="G49" s="389"/>
      <c r="H49" s="402"/>
      <c r="I49" s="345"/>
      <c r="J49" s="349"/>
      <c r="K49" s="349"/>
      <c r="L49" s="349"/>
      <c r="M49" s="349"/>
      <c r="N49" s="350"/>
      <c r="O49" s="350"/>
    </row>
    <row r="50" spans="2:15" ht="21" x14ac:dyDescent="0.4">
      <c r="B50" s="349" t="s">
        <v>302</v>
      </c>
      <c r="C50" s="440">
        <f>C47*(C35+C36+C37)</f>
        <v>20184073.343999997</v>
      </c>
      <c r="D50" s="440">
        <f>D47*(D35+D36+D37)</f>
        <v>18495999.999999996</v>
      </c>
      <c r="E50" s="440"/>
      <c r="F50" s="349"/>
      <c r="G50" s="407"/>
      <c r="H50" s="397"/>
      <c r="I50" s="49"/>
      <c r="J50" s="349"/>
      <c r="K50" s="349"/>
      <c r="L50" s="349"/>
      <c r="M50" s="349"/>
      <c r="N50" s="349"/>
      <c r="O50" s="349"/>
    </row>
    <row r="51" spans="2:15" ht="21" x14ac:dyDescent="0.4">
      <c r="B51" s="349" t="s">
        <v>293</v>
      </c>
      <c r="C51" s="440">
        <f>C50+C46</f>
        <v>49866534.143999994</v>
      </c>
      <c r="D51" s="440">
        <f>D50+D46</f>
        <v>45696000</v>
      </c>
      <c r="E51" s="440"/>
      <c r="F51" s="349"/>
      <c r="G51" s="389"/>
      <c r="H51" s="408"/>
      <c r="I51" s="347"/>
      <c r="J51" s="409"/>
      <c r="K51" s="409"/>
      <c r="L51" s="350"/>
      <c r="M51" s="350"/>
      <c r="N51" s="349"/>
      <c r="O51" s="349"/>
    </row>
    <row r="52" spans="2:15" ht="21" x14ac:dyDescent="0.4">
      <c r="B52" s="349" t="s">
        <v>289</v>
      </c>
      <c r="C52" s="440">
        <f>C51/C48</f>
        <v>21310.484676923075</v>
      </c>
      <c r="D52" s="440">
        <f>D51/D48</f>
        <v>19528.205128205129</v>
      </c>
      <c r="E52" s="440"/>
      <c r="F52" s="349"/>
      <c r="G52" s="349"/>
      <c r="H52" s="394"/>
      <c r="I52" s="232"/>
      <c r="J52" s="409"/>
      <c r="K52" s="409"/>
      <c r="L52" s="350"/>
      <c r="M52" s="350"/>
      <c r="N52" s="349"/>
      <c r="O52" s="349"/>
    </row>
    <row r="53" spans="2:15" ht="21.6" thickBot="1" x14ac:dyDescent="0.45">
      <c r="B53" s="336" t="s">
        <v>290</v>
      </c>
      <c r="C53" s="441">
        <f>C51/'m1 Fac_oper'!$C$27</f>
        <v>13851.815039999998</v>
      </c>
      <c r="D53" s="441">
        <f>D51/'m1 Fac_oper'!$C$27</f>
        <v>12693.333333333334</v>
      </c>
      <c r="E53" s="441"/>
      <c r="F53" s="349"/>
      <c r="G53" s="389"/>
      <c r="H53" s="408"/>
      <c r="I53" s="347"/>
      <c r="J53" s="409"/>
      <c r="K53" s="409"/>
      <c r="L53" s="350"/>
      <c r="M53" s="350"/>
      <c r="N53" s="349"/>
      <c r="O53" s="349"/>
    </row>
    <row r="54" spans="2:15" ht="21" x14ac:dyDescent="0.4">
      <c r="B54" s="299" t="s">
        <v>339</v>
      </c>
      <c r="C54" s="440"/>
      <c r="D54" s="440"/>
      <c r="E54" s="440"/>
      <c r="F54" s="349"/>
      <c r="G54" s="349"/>
      <c r="H54" s="410"/>
      <c r="I54" s="348"/>
      <c r="J54" s="409"/>
      <c r="K54" s="409"/>
      <c r="L54" s="350"/>
      <c r="M54" s="350"/>
      <c r="N54" s="349"/>
      <c r="O54" s="349"/>
    </row>
    <row r="55" spans="2:15" ht="21" x14ac:dyDescent="0.4">
      <c r="B55" s="349" t="s">
        <v>292</v>
      </c>
      <c r="C55" s="440">
        <f>C39*C40</f>
        <v>8896.5</v>
      </c>
      <c r="D55" s="440">
        <f>D39*D40</f>
        <v>8896.5</v>
      </c>
      <c r="E55" s="440"/>
      <c r="F55" s="349"/>
      <c r="G55" s="411"/>
      <c r="H55" s="408"/>
      <c r="I55" s="347"/>
      <c r="J55" s="349"/>
      <c r="K55" s="349"/>
      <c r="L55" s="412"/>
      <c r="M55" s="349"/>
      <c r="N55" s="349"/>
      <c r="O55" s="349"/>
    </row>
    <row r="56" spans="2:15" ht="21" x14ac:dyDescent="0.4">
      <c r="B56" s="349" t="s">
        <v>294</v>
      </c>
      <c r="C56" s="440">
        <f>C55*C41</f>
        <v>3291.7049999999999</v>
      </c>
      <c r="D56" s="440">
        <f>D55*D41</f>
        <v>3291.7049999999999</v>
      </c>
      <c r="E56" s="440"/>
      <c r="F56" s="349"/>
      <c r="G56" s="349"/>
      <c r="H56" s="394"/>
      <c r="I56" s="232"/>
      <c r="J56" s="413"/>
      <c r="K56" s="413"/>
      <c r="L56" s="350"/>
      <c r="M56" s="350"/>
      <c r="N56" s="351"/>
      <c r="O56" s="351"/>
    </row>
    <row r="57" spans="2:15" ht="21" x14ac:dyDescent="0.4">
      <c r="B57" s="349" t="s">
        <v>295</v>
      </c>
      <c r="C57" s="440">
        <f>(C46/C48)*C38</f>
        <v>11416.331076923077</v>
      </c>
      <c r="D57" s="440">
        <f>(D46/D48)*D38</f>
        <v>10461.538461538461</v>
      </c>
      <c r="E57" s="440"/>
      <c r="F57" s="349"/>
      <c r="G57" s="389"/>
      <c r="H57" s="408"/>
      <c r="I57" s="347"/>
      <c r="J57" s="410"/>
      <c r="K57" s="410"/>
      <c r="L57" s="350"/>
      <c r="M57" s="350"/>
      <c r="N57" s="351"/>
      <c r="O57" s="351"/>
    </row>
    <row r="58" spans="2:15" ht="21" x14ac:dyDescent="0.4">
      <c r="B58" s="381" t="s">
        <v>376</v>
      </c>
      <c r="C58" s="440">
        <f>SUM(C55:C57)</f>
        <v>23604.536076923076</v>
      </c>
      <c r="D58" s="440">
        <f>SUM(D55:D57)</f>
        <v>22649.743461538463</v>
      </c>
      <c r="E58" s="440"/>
      <c r="F58" s="349"/>
      <c r="G58" s="349"/>
      <c r="H58" s="394"/>
      <c r="I58" s="232"/>
      <c r="J58" s="394"/>
      <c r="K58" s="394"/>
      <c r="L58" s="350"/>
      <c r="M58" s="350"/>
      <c r="N58" s="351"/>
      <c r="O58" s="351"/>
    </row>
    <row r="59" spans="2:15" ht="21.6" thickBot="1" x14ac:dyDescent="0.45">
      <c r="B59" s="382" t="s">
        <v>377</v>
      </c>
      <c r="C59" s="441">
        <f>C58*C34</f>
        <v>15342.94845</v>
      </c>
      <c r="D59" s="441">
        <f>D58*D34</f>
        <v>14722.333250000001</v>
      </c>
      <c r="E59" s="441"/>
      <c r="F59" s="349"/>
      <c r="G59" s="389"/>
      <c r="H59" s="408"/>
      <c r="I59" s="347"/>
      <c r="J59" s="394"/>
      <c r="K59" s="394"/>
      <c r="L59" s="350"/>
      <c r="M59" s="350"/>
      <c r="N59" s="351"/>
      <c r="O59" s="351"/>
    </row>
    <row r="60" spans="2:15" ht="21" x14ac:dyDescent="0.4">
      <c r="B60" s="299" t="s">
        <v>296</v>
      </c>
      <c r="C60" s="440"/>
      <c r="D60" s="440"/>
      <c r="E60" s="440"/>
      <c r="F60" s="349"/>
      <c r="G60" s="349"/>
      <c r="H60" s="410"/>
      <c r="I60" s="348"/>
      <c r="J60" s="410"/>
      <c r="K60" s="410"/>
      <c r="L60" s="350"/>
      <c r="M60" s="350"/>
      <c r="N60" s="351"/>
      <c r="O60" s="351"/>
    </row>
    <row r="61" spans="2:15" ht="21" x14ac:dyDescent="0.4">
      <c r="B61" s="349" t="s">
        <v>301</v>
      </c>
      <c r="C61" s="440">
        <f>(C42+(1*C43))/('m1 Fac_oper'!$C$26*C34)</f>
        <v>4102.5656410256415</v>
      </c>
      <c r="D61" s="440">
        <f>(D42+(1*D43))/('m1 Fac_oper'!$C$26*D34)</f>
        <v>4102.5656410256415</v>
      </c>
      <c r="E61" s="440"/>
      <c r="F61" s="349"/>
      <c r="G61" s="411"/>
      <c r="H61" s="402"/>
      <c r="I61" s="345"/>
      <c r="J61" s="349"/>
      <c r="K61" s="349"/>
      <c r="L61" s="349"/>
      <c r="M61" s="349"/>
      <c r="N61" s="351"/>
      <c r="O61" s="351"/>
    </row>
    <row r="62" spans="2:15" ht="21.6" thickBot="1" x14ac:dyDescent="0.45">
      <c r="B62" s="336" t="s">
        <v>298</v>
      </c>
      <c r="C62" s="441">
        <f>(C42+(1*C43))/'m1 Fac_oper'!$C$26</f>
        <v>2666.6676666666667</v>
      </c>
      <c r="D62" s="441">
        <f>(D42+(1*D43))/'m1 Fac_oper'!$C$26</f>
        <v>2666.6676666666667</v>
      </c>
      <c r="E62" s="441"/>
      <c r="F62" s="349"/>
      <c r="G62" s="349"/>
      <c r="H62" s="351"/>
      <c r="I62" s="31"/>
      <c r="J62" s="394"/>
      <c r="K62" s="394"/>
      <c r="L62" s="350"/>
      <c r="M62" s="350"/>
      <c r="N62" s="351"/>
      <c r="O62" s="351"/>
    </row>
    <row r="63" spans="2:15" ht="21" x14ac:dyDescent="0.4">
      <c r="B63" s="349"/>
      <c r="C63" s="349"/>
      <c r="D63" s="351"/>
      <c r="E63" s="351"/>
      <c r="F63" s="349"/>
      <c r="G63" s="389"/>
      <c r="H63" s="351"/>
      <c r="I63" s="31"/>
      <c r="J63" s="394"/>
      <c r="K63" s="394"/>
      <c r="L63" s="350"/>
      <c r="M63" s="350"/>
      <c r="N63" s="351"/>
      <c r="O63" s="351"/>
    </row>
    <row r="64" spans="2:15" ht="21" x14ac:dyDescent="0.4">
      <c r="F64" s="349"/>
      <c r="G64" s="349"/>
      <c r="H64" s="349"/>
      <c r="I64" s="349"/>
      <c r="J64" s="349"/>
      <c r="K64" s="349"/>
      <c r="L64" s="349"/>
      <c r="M64" s="349"/>
      <c r="N64" s="349"/>
    </row>
    <row r="65" spans="8:14" ht="21" x14ac:dyDescent="0.4">
      <c r="H65" s="349"/>
      <c r="I65" s="349"/>
      <c r="J65" s="349"/>
      <c r="K65" s="349"/>
      <c r="L65" s="349"/>
      <c r="M65" s="349"/>
      <c r="N65" s="349"/>
    </row>
  </sheetData>
  <sheetProtection sheet="1" objects="1" scenarios="1"/>
  <phoneticPr fontId="6" type="noConversion"/>
  <dataValidations count="2">
    <dataValidation type="list" allowBlank="1" showInputMessage="1" showErrorMessage="1" sqref="J27:K27" xr:uid="{269E2446-0E03-4CB6-905B-B4682B0E839D}">
      <formula1>"Skidder,Skidder-Garra,Skidder-Cable,Forwarder,Tractor"</formula1>
    </dataValidation>
    <dataValidation type="list" allowBlank="1" showInputMessage="1" showErrorMessage="1" sqref="H27:I27" xr:uid="{FE8268D0-96C1-42E2-82B7-A76705B1A13D}">
      <formula1>"Harvester,Fellerbuncher,Motosierra,NULO,"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A0A169-AE38-41F4-9D55-42599C472475}">
          <x14:formula1>
            <xm:f>'BD Costos'!$U$74:$AD$74</xm:f>
          </x14:formula1>
          <xm:sqref>B14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ADBF-F6D1-4587-9DEB-089D86ECC3C6}">
  <sheetPr codeName="Hoja12"/>
  <dimension ref="A1:M70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60.5546875" style="48" bestFit="1" customWidth="1"/>
    <col min="3" max="3" width="30.33203125" style="48" bestFit="1" customWidth="1"/>
    <col min="4" max="4" width="13.109375" style="48" bestFit="1" customWidth="1"/>
    <col min="5" max="5" width="15" style="48" customWidth="1"/>
    <col min="6" max="6" width="33.109375" style="48" bestFit="1" customWidth="1"/>
    <col min="7" max="7" width="14.109375" style="48" bestFit="1" customWidth="1"/>
    <col min="8" max="8" width="7" style="48" bestFit="1" customWidth="1"/>
    <col min="9" max="9" width="29.44140625" style="48" bestFit="1" customWidth="1"/>
    <col min="10" max="10" width="18.88671875" style="48" bestFit="1" customWidth="1"/>
    <col min="11" max="11" width="33.109375" style="48" bestFit="1" customWidth="1"/>
    <col min="12" max="12" width="18.88671875" style="48" bestFit="1" customWidth="1"/>
    <col min="13" max="13" width="11.44140625" style="48" customWidth="1"/>
    <col min="14" max="16384" width="11.44140625" style="48" hidden="1"/>
  </cols>
  <sheetData>
    <row r="1" spans="2:5" x14ac:dyDescent="0.3"/>
    <row r="2" spans="2:5" x14ac:dyDescent="0.3"/>
    <row r="3" spans="2:5" x14ac:dyDescent="0.3"/>
    <row r="4" spans="2:5" x14ac:dyDescent="0.3"/>
    <row r="5" spans="2:5" x14ac:dyDescent="0.3"/>
    <row r="6" spans="2:5" x14ac:dyDescent="0.3"/>
    <row r="7" spans="2:5" x14ac:dyDescent="0.3"/>
    <row r="8" spans="2:5" x14ac:dyDescent="0.3"/>
    <row r="9" spans="2:5" x14ac:dyDescent="0.3"/>
    <row r="10" spans="2:5" x14ac:dyDescent="0.3"/>
    <row r="11" spans="2:5" x14ac:dyDescent="0.3"/>
    <row r="12" spans="2:5" x14ac:dyDescent="0.3"/>
    <row r="13" spans="2:5" x14ac:dyDescent="0.3">
      <c r="B13" s="3"/>
      <c r="C13" s="3"/>
      <c r="D13" s="3"/>
      <c r="E13" s="3"/>
    </row>
    <row r="14" spans="2:5" x14ac:dyDescent="0.3"/>
    <row r="15" spans="2:5" x14ac:dyDescent="0.3"/>
    <row r="16" spans="2:5" x14ac:dyDescent="0.3">
      <c r="B16" s="48" t="s">
        <v>262</v>
      </c>
    </row>
    <row r="17" spans="2:8" ht="21" x14ac:dyDescent="0.4">
      <c r="B17" s="570" t="s">
        <v>307</v>
      </c>
      <c r="C17" s="299" t="s">
        <v>40</v>
      </c>
    </row>
    <row r="18" spans="2:8" ht="21" x14ac:dyDescent="0.4">
      <c r="B18" s="310" t="s">
        <v>182</v>
      </c>
      <c r="C18" s="305">
        <f>INDEX( 'BD Costos'!U87:AD87,
 MATCH(m3.Transp_parámetros[[#Headers],[Factor de Reventa]],BD_Costos_TRANSPORTE[[#Headers],[Potencia motor, hp]:[Productividad, %]], 0 ))</f>
        <v>0</v>
      </c>
    </row>
    <row r="19" spans="2:8" ht="21" x14ac:dyDescent="0.4">
      <c r="B19" s="310" t="s">
        <v>183</v>
      </c>
      <c r="C19" s="305">
        <f>INDEX( 'BD Costos'!U88:AD88,
 MATCH(m3.Transp_parámetros[[#Headers],[Factor de Reventa]],BD_Costos_TRANSPORTE[[#Headers],[Potencia motor, hp]:[Productividad, %]], 0 ))</f>
        <v>0</v>
      </c>
    </row>
    <row r="20" spans="2:8" ht="21" x14ac:dyDescent="0.4">
      <c r="B20" s="310" t="s">
        <v>184</v>
      </c>
      <c r="C20" s="305">
        <f>INDEX( 'BD Costos'!U89:AD89,
 MATCH(m3.Transp_parámetros[[#Headers],[Factor de Reventa]],BD_Costos_TRANSPORTE[[#Headers],[Potencia motor, hp]:[Productividad, %]], 0 ))</f>
        <v>0</v>
      </c>
    </row>
    <row r="21" spans="2:8" x14ac:dyDescent="0.3"/>
    <row r="22" spans="2:8" x14ac:dyDescent="0.3"/>
    <row r="23" spans="2:8" x14ac:dyDescent="0.3"/>
    <row r="24" spans="2:8" x14ac:dyDescent="0.3"/>
    <row r="25" spans="2:8" x14ac:dyDescent="0.3"/>
    <row r="26" spans="2:8" x14ac:dyDescent="0.3"/>
    <row r="27" spans="2:8" x14ac:dyDescent="0.3"/>
    <row r="28" spans="2:8" x14ac:dyDescent="0.3"/>
    <row r="29" spans="2:8" ht="21" x14ac:dyDescent="0.4">
      <c r="B29" s="439" t="s">
        <v>303</v>
      </c>
      <c r="C29" s="439" t="s">
        <v>378</v>
      </c>
      <c r="D29" s="439" t="s">
        <v>130</v>
      </c>
      <c r="F29" s="113"/>
      <c r="G29" s="49"/>
      <c r="H29" s="49"/>
    </row>
    <row r="30" spans="2:8" ht="21" x14ac:dyDescent="0.4">
      <c r="B30" s="442" t="s">
        <v>323</v>
      </c>
      <c r="C30" s="562" t="s">
        <v>40</v>
      </c>
      <c r="D30" s="306" t="s">
        <v>130</v>
      </c>
      <c r="F30" s="51"/>
      <c r="G30" s="61"/>
      <c r="H30" s="128"/>
    </row>
    <row r="31" spans="2:8" ht="24" thickBot="1" x14ac:dyDescent="0.45">
      <c r="B31" s="336" t="s">
        <v>366</v>
      </c>
      <c r="C31" s="309">
        <f>IF(C30= "Camión",
  INDEX(m2.Transporte_funciones[Rxv, m3/hrpr],
  MATCH(m2.Transporte_id_transporte[Camión],  m2.Transporte_funciones[id_transporte])),
0)</f>
        <v>21.999051220387727</v>
      </c>
      <c r="D31" s="308"/>
      <c r="F31" s="49"/>
      <c r="G31" s="61"/>
      <c r="H31" s="128"/>
    </row>
    <row r="32" spans="2:8" ht="21" x14ac:dyDescent="0.4">
      <c r="B32" s="299" t="s">
        <v>287</v>
      </c>
      <c r="C32" s="306"/>
      <c r="D32" s="306"/>
      <c r="F32" s="49"/>
      <c r="G32" s="128"/>
      <c r="H32" s="128"/>
    </row>
    <row r="33" spans="2:8" ht="21" x14ac:dyDescent="0.4">
      <c r="B33" s="305" t="s">
        <v>85</v>
      </c>
      <c r="C33" s="562">
        <v>85000000</v>
      </c>
      <c r="D33" s="306"/>
      <c r="F33" s="49"/>
      <c r="G33" s="128"/>
      <c r="H33" s="128"/>
    </row>
    <row r="34" spans="2:8" ht="21" x14ac:dyDescent="0.4">
      <c r="B34" s="305" t="s">
        <v>276</v>
      </c>
      <c r="C34" s="562">
        <v>220</v>
      </c>
      <c r="D34" s="306"/>
      <c r="F34" s="49"/>
      <c r="G34" s="128"/>
      <c r="H34" s="128"/>
    </row>
    <row r="35" spans="2:8" ht="21" x14ac:dyDescent="0.4">
      <c r="B35" s="305" t="s">
        <v>271</v>
      </c>
      <c r="C35" s="562">
        <v>4</v>
      </c>
      <c r="D35" s="306"/>
      <c r="F35" s="51"/>
      <c r="G35" s="61"/>
      <c r="H35" s="128"/>
    </row>
    <row r="36" spans="2:8" ht="21" x14ac:dyDescent="0.4">
      <c r="B36" s="305" t="s">
        <v>282</v>
      </c>
      <c r="C36" s="562">
        <v>0.2</v>
      </c>
      <c r="D36" s="306"/>
      <c r="F36" s="2"/>
      <c r="G36" s="232"/>
      <c r="H36" s="128"/>
    </row>
    <row r="37" spans="2:8" ht="21" x14ac:dyDescent="0.4">
      <c r="B37" s="305" t="s">
        <v>277</v>
      </c>
      <c r="C37" s="562">
        <v>0.8</v>
      </c>
      <c r="D37" s="306"/>
      <c r="F37" s="49"/>
      <c r="G37" s="61"/>
      <c r="H37" s="128"/>
    </row>
    <row r="38" spans="2:8" ht="21" x14ac:dyDescent="0.4">
      <c r="B38" s="305" t="s">
        <v>272</v>
      </c>
      <c r="C38" s="562">
        <v>0.12</v>
      </c>
      <c r="D38" s="306"/>
      <c r="F38" s="49"/>
      <c r="G38" s="61"/>
      <c r="H38" s="128"/>
    </row>
    <row r="39" spans="2:8" ht="21" x14ac:dyDescent="0.4">
      <c r="B39" s="305" t="s">
        <v>274</v>
      </c>
      <c r="C39" s="562">
        <v>0.02</v>
      </c>
      <c r="D39" s="306"/>
      <c r="F39" s="49"/>
      <c r="G39" s="61"/>
      <c r="H39" s="128"/>
    </row>
    <row r="40" spans="2:8" ht="21" x14ac:dyDescent="0.4">
      <c r="B40" s="305" t="s">
        <v>273</v>
      </c>
      <c r="C40" s="562">
        <v>0.17499999999999999</v>
      </c>
      <c r="D40" s="306"/>
      <c r="F40" s="49"/>
      <c r="G40" s="61"/>
      <c r="H40" s="128"/>
    </row>
    <row r="41" spans="2:8" ht="21" x14ac:dyDescent="0.4">
      <c r="B41" s="305" t="s">
        <v>281</v>
      </c>
      <c r="C41" s="562">
        <v>1</v>
      </c>
      <c r="D41" s="306"/>
      <c r="F41" s="49"/>
      <c r="G41" s="126"/>
      <c r="H41" s="128"/>
    </row>
    <row r="42" spans="2:8" ht="21" x14ac:dyDescent="0.4">
      <c r="B42" s="305" t="s">
        <v>278</v>
      </c>
      <c r="C42" s="562">
        <v>36.61</v>
      </c>
      <c r="D42" s="306"/>
      <c r="F42" s="49"/>
      <c r="G42" s="128"/>
      <c r="H42" s="128"/>
    </row>
    <row r="43" spans="2:8" ht="21" x14ac:dyDescent="0.4">
      <c r="B43" s="305" t="s">
        <v>279</v>
      </c>
      <c r="C43" s="562">
        <v>659</v>
      </c>
      <c r="D43" s="306"/>
      <c r="F43" s="49"/>
      <c r="G43" s="128"/>
      <c r="H43" s="128"/>
    </row>
    <row r="44" spans="2:8" ht="21" x14ac:dyDescent="0.4">
      <c r="B44" s="305" t="s">
        <v>280</v>
      </c>
      <c r="C44" s="562">
        <v>8.4000000000000005E-2</v>
      </c>
      <c r="D44" s="306"/>
      <c r="F44" s="49"/>
      <c r="G44" s="126"/>
      <c r="H44" s="128"/>
    </row>
    <row r="45" spans="2:8" ht="21" x14ac:dyDescent="0.4">
      <c r="B45" s="305" t="s">
        <v>304</v>
      </c>
      <c r="C45" s="562">
        <v>800000</v>
      </c>
      <c r="D45" s="306"/>
      <c r="F45" s="51"/>
      <c r="G45" s="61"/>
      <c r="H45" s="128"/>
    </row>
    <row r="46" spans="2:8" ht="21.6" thickBot="1" x14ac:dyDescent="0.45">
      <c r="B46" s="307" t="s">
        <v>297</v>
      </c>
      <c r="C46" s="566">
        <f>'m1 Fac_oper'!$G$31</f>
        <v>0</v>
      </c>
      <c r="D46" s="308"/>
      <c r="F46" s="49"/>
      <c r="G46" s="61"/>
      <c r="H46" s="128"/>
    </row>
    <row r="47" spans="2:8" ht="21" x14ac:dyDescent="0.4">
      <c r="B47" s="299" t="s">
        <v>288</v>
      </c>
      <c r="C47" s="306"/>
      <c r="D47" s="306"/>
      <c r="F47" s="49"/>
      <c r="G47" s="61"/>
      <c r="H47" s="128"/>
    </row>
    <row r="48" spans="2:8" ht="21" x14ac:dyDescent="0.4">
      <c r="B48" s="305" t="s">
        <v>283</v>
      </c>
      <c r="C48" s="440">
        <f>C33*C36</f>
        <v>17000000</v>
      </c>
      <c r="D48" s="440"/>
      <c r="F48" s="49"/>
      <c r="G48" s="232"/>
      <c r="H48" s="128"/>
    </row>
    <row r="49" spans="2:8" ht="21" x14ac:dyDescent="0.4">
      <c r="B49" s="305" t="s">
        <v>284</v>
      </c>
      <c r="C49" s="440">
        <f>(C33-C48)/C35</f>
        <v>17000000</v>
      </c>
      <c r="D49" s="440"/>
      <c r="F49" s="49"/>
      <c r="G49" s="128"/>
      <c r="H49" s="128"/>
    </row>
    <row r="50" spans="2:8" ht="21" x14ac:dyDescent="0.4">
      <c r="B50" s="305" t="s">
        <v>285</v>
      </c>
      <c r="C50" s="440">
        <f>((((C33-C48)*(C35+1))/(2*C35))+C48)</f>
        <v>59500000</v>
      </c>
      <c r="D50" s="440"/>
      <c r="F50" s="49"/>
      <c r="G50" s="126"/>
      <c r="H50" s="128"/>
    </row>
    <row r="51" spans="2:8" ht="21.6" thickBot="1" x14ac:dyDescent="0.45">
      <c r="B51" s="307" t="s">
        <v>286</v>
      </c>
      <c r="C51" s="441">
        <f>'m1 Fac_oper'!$C$27*C37</f>
        <v>2880</v>
      </c>
      <c r="D51" s="441"/>
      <c r="F51" s="49"/>
      <c r="G51" s="126"/>
      <c r="H51" s="128"/>
    </row>
    <row r="52" spans="2:8" ht="21" x14ac:dyDescent="0.4">
      <c r="B52" s="299" t="s">
        <v>275</v>
      </c>
      <c r="C52" s="440"/>
      <c r="D52" s="440"/>
      <c r="F52" s="49"/>
      <c r="G52" s="126"/>
      <c r="H52" s="128"/>
    </row>
    <row r="53" spans="2:8" ht="21" x14ac:dyDescent="0.4">
      <c r="B53" s="305" t="s">
        <v>302</v>
      </c>
      <c r="C53" s="440">
        <f>C50*(C38+C39+C40)</f>
        <v>18742499.999999996</v>
      </c>
      <c r="D53" s="440"/>
      <c r="F53" s="51"/>
      <c r="G53" s="61"/>
      <c r="H53" s="128"/>
    </row>
    <row r="54" spans="2:8" ht="21" x14ac:dyDescent="0.4">
      <c r="B54" s="305" t="s">
        <v>293</v>
      </c>
      <c r="C54" s="440">
        <f>C53+C49</f>
        <v>35742500</v>
      </c>
      <c r="D54" s="440"/>
      <c r="F54" s="49"/>
      <c r="G54" s="111"/>
      <c r="H54" s="128"/>
    </row>
    <row r="55" spans="2:8" ht="21" x14ac:dyDescent="0.4">
      <c r="B55" s="305" t="s">
        <v>289</v>
      </c>
      <c r="C55" s="440">
        <f>C54/C51</f>
        <v>12410.590277777777</v>
      </c>
      <c r="D55" s="440"/>
      <c r="F55" s="51"/>
      <c r="G55" s="61"/>
      <c r="H55" s="128"/>
    </row>
    <row r="56" spans="2:8" ht="21.6" thickBot="1" x14ac:dyDescent="0.45">
      <c r="B56" s="307" t="s">
        <v>290</v>
      </c>
      <c r="C56" s="441">
        <f>C54/'m1 Fac_oper'!$C$27</f>
        <v>9928.4722222222226</v>
      </c>
      <c r="D56" s="441"/>
      <c r="F56" s="49"/>
      <c r="G56" s="126"/>
      <c r="H56" s="128"/>
    </row>
    <row r="57" spans="2:8" ht="21" x14ac:dyDescent="0.4">
      <c r="B57" s="299" t="s">
        <v>291</v>
      </c>
      <c r="C57" s="440"/>
      <c r="D57" s="440"/>
      <c r="F57" s="49"/>
      <c r="G57" s="126"/>
      <c r="H57" s="128"/>
    </row>
    <row r="58" spans="2:8" ht="21" x14ac:dyDescent="0.4">
      <c r="B58" s="305" t="s">
        <v>292</v>
      </c>
      <c r="C58" s="440">
        <f>C42*C43</f>
        <v>24125.989999999998</v>
      </c>
      <c r="D58" s="440"/>
      <c r="F58" s="49"/>
      <c r="G58" s="126"/>
      <c r="H58" s="128"/>
    </row>
    <row r="59" spans="2:8" ht="21" x14ac:dyDescent="0.4">
      <c r="B59" s="305" t="s">
        <v>294</v>
      </c>
      <c r="C59" s="440">
        <f>C58*C44</f>
        <v>2026.5831599999999</v>
      </c>
      <c r="D59" s="440"/>
    </row>
    <row r="60" spans="2:8" ht="21" x14ac:dyDescent="0.4">
      <c r="B60" s="305" t="s">
        <v>295</v>
      </c>
      <c r="C60" s="440">
        <f>(C49/C51)*C41</f>
        <v>5902.7777777777774</v>
      </c>
      <c r="D60" s="440"/>
    </row>
    <row r="61" spans="2:8" ht="21" x14ac:dyDescent="0.4">
      <c r="B61" s="305" t="s">
        <v>299</v>
      </c>
      <c r="C61" s="440">
        <f>SUM(C58:C60)</f>
        <v>32055.350937777774</v>
      </c>
      <c r="D61" s="440"/>
    </row>
    <row r="62" spans="2:8" ht="21.6" thickBot="1" x14ac:dyDescent="0.45">
      <c r="B62" s="307" t="s">
        <v>300</v>
      </c>
      <c r="C62" s="441">
        <f>C61*C37</f>
        <v>25644.28075022222</v>
      </c>
      <c r="D62" s="441"/>
    </row>
    <row r="63" spans="2:8" ht="21" x14ac:dyDescent="0.4">
      <c r="B63" s="299" t="s">
        <v>296</v>
      </c>
      <c r="C63" s="440"/>
      <c r="D63" s="440"/>
    </row>
    <row r="64" spans="2:8" ht="21" x14ac:dyDescent="0.4">
      <c r="B64" s="305" t="s">
        <v>301</v>
      </c>
      <c r="C64" s="440">
        <f>(C45+(1*C46))/('m1 Fac_oper'!$C$26*C37)</f>
        <v>3333.3333333333335</v>
      </c>
      <c r="D64" s="440"/>
    </row>
    <row r="65" spans="2:4" ht="21.6" thickBot="1" x14ac:dyDescent="0.45">
      <c r="B65" s="307" t="s">
        <v>298</v>
      </c>
      <c r="C65" s="441">
        <f>(C45*(1+C46))/'m1 Fac_oper'!$C$26</f>
        <v>2666.6666666666665</v>
      </c>
      <c r="D65" s="441"/>
    </row>
    <row r="66" spans="2:4" x14ac:dyDescent="0.3"/>
    <row r="67" spans="2:4" x14ac:dyDescent="0.3"/>
    <row r="68" spans="2:4" x14ac:dyDescent="0.3"/>
    <row r="69" spans="2:4" x14ac:dyDescent="0.3"/>
    <row r="70" spans="2:4" x14ac:dyDescent="0.3"/>
  </sheetData>
  <sheetProtection sheet="1" objects="1" scenarios="1"/>
  <phoneticPr fontId="6" type="noConversion"/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A0E873-A57C-490D-B120-50252221FB31}">
          <x14:formula1>
            <xm:f>'BD Costos'!$S$86:$AD$86</xm:f>
          </x14:formula1>
          <xm:sqref>B17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9D92A-A67A-4ECA-B661-E0DC38157E38}">
  <sheetPr codeName="Hoja15"/>
  <dimension ref="B13:AD218"/>
  <sheetViews>
    <sheetView showGridLines="0" showRowColHeaders="0" zoomScale="70" zoomScaleNormal="70" workbookViewId="0">
      <selection activeCell="A127" sqref="A127"/>
    </sheetView>
  </sheetViews>
  <sheetFormatPr baseColWidth="10" defaultColWidth="11.44140625" defaultRowHeight="14.4" x14ac:dyDescent="0.3"/>
  <cols>
    <col min="1" max="1" width="26.44140625" style="48" bestFit="1" customWidth="1"/>
    <col min="2" max="2" width="22.88671875" style="48" bestFit="1" customWidth="1"/>
    <col min="3" max="3" width="10.5546875" style="48" bestFit="1" customWidth="1"/>
    <col min="4" max="4" width="21.44140625" style="48" bestFit="1" customWidth="1"/>
    <col min="5" max="5" width="20.109375" style="48" bestFit="1" customWidth="1"/>
    <col min="6" max="6" width="16.88671875" style="48" bestFit="1" customWidth="1"/>
    <col min="7" max="7" width="23" style="48" bestFit="1" customWidth="1"/>
    <col min="8" max="8" width="20.109375" style="48" bestFit="1" customWidth="1"/>
    <col min="9" max="9" width="24.88671875" style="48" bestFit="1" customWidth="1"/>
    <col min="10" max="10" width="19.109375" style="48" bestFit="1" customWidth="1"/>
    <col min="11" max="11" width="21.44140625" style="48" bestFit="1" customWidth="1"/>
    <col min="12" max="12" width="24.5546875" style="48" bestFit="1" customWidth="1"/>
    <col min="13" max="13" width="42.5546875" style="48" bestFit="1" customWidth="1"/>
    <col min="14" max="14" width="38.44140625" style="48" bestFit="1" customWidth="1"/>
    <col min="15" max="15" width="31.109375" style="48" customWidth="1"/>
    <col min="16" max="16" width="29" style="48" bestFit="1" customWidth="1"/>
    <col min="17" max="17" width="24.5546875" style="48" bestFit="1" customWidth="1"/>
    <col min="18" max="18" width="34.88671875" style="48" bestFit="1" customWidth="1"/>
    <col min="19" max="19" width="16" style="48" bestFit="1" customWidth="1"/>
    <col min="20" max="20" width="33.109375" style="48" customWidth="1"/>
    <col min="21" max="21" width="13.5546875" style="48" bestFit="1" customWidth="1"/>
    <col min="22" max="22" width="23.44140625" style="48" bestFit="1" customWidth="1"/>
    <col min="23" max="23" width="17.109375" style="48" bestFit="1" customWidth="1"/>
    <col min="24" max="24" width="17.44140625" style="48" bestFit="1" customWidth="1"/>
    <col min="25" max="25" width="18.109375" style="48" bestFit="1" customWidth="1"/>
    <col min="26" max="26" width="36.109375" style="48" customWidth="1"/>
    <col min="27" max="27" width="33.88671875" style="48" bestFit="1" customWidth="1"/>
    <col min="28" max="28" width="25" style="48" bestFit="1" customWidth="1"/>
    <col min="29" max="29" width="21.44140625" style="48" bestFit="1" customWidth="1"/>
    <col min="30" max="30" width="22.109375" style="48" bestFit="1" customWidth="1"/>
    <col min="31" max="31" width="29.44140625" style="48" bestFit="1" customWidth="1"/>
    <col min="32" max="32" width="21" style="48" bestFit="1" customWidth="1"/>
    <col min="33" max="33" width="12" style="48" bestFit="1" customWidth="1"/>
    <col min="34" max="16384" width="11.44140625" style="48"/>
  </cols>
  <sheetData>
    <row r="13" spans="23:29" x14ac:dyDescent="0.3">
      <c r="W13" s="146"/>
      <c r="AB13" s="49"/>
      <c r="AC13" s="49"/>
    </row>
    <row r="14" spans="23:29" x14ac:dyDescent="0.3">
      <c r="AB14" s="49"/>
      <c r="AC14" s="49"/>
    </row>
    <row r="19" spans="2:30" x14ac:dyDescent="0.3">
      <c r="B19" s="29" t="s">
        <v>168</v>
      </c>
      <c r="C19" s="29" t="s">
        <v>103</v>
      </c>
      <c r="D19" s="29" t="s">
        <v>4</v>
      </c>
      <c r="E19" s="29" t="s">
        <v>169</v>
      </c>
      <c r="F19" s="29" t="s">
        <v>3</v>
      </c>
      <c r="G19" s="29" t="s">
        <v>165</v>
      </c>
      <c r="H19" s="29" t="s">
        <v>170</v>
      </c>
      <c r="I19" s="29" t="s">
        <v>171</v>
      </c>
      <c r="J19" s="29" t="s">
        <v>306</v>
      </c>
      <c r="K19" s="29" t="s">
        <v>102</v>
      </c>
      <c r="L19" s="29" t="s">
        <v>173</v>
      </c>
      <c r="M19" s="177" t="s">
        <v>174</v>
      </c>
      <c r="N19" s="29" t="s">
        <v>391</v>
      </c>
      <c r="O19" s="29" t="s">
        <v>57</v>
      </c>
      <c r="P19" s="60" t="s">
        <v>176</v>
      </c>
      <c r="Q19" s="29" t="s">
        <v>175</v>
      </c>
    </row>
    <row r="20" spans="2:30" x14ac:dyDescent="0.3">
      <c r="B20" s="178" t="s">
        <v>177</v>
      </c>
      <c r="C20" s="178">
        <v>2009</v>
      </c>
      <c r="D20" s="178" t="s">
        <v>37</v>
      </c>
      <c r="E20" s="178" t="s">
        <v>178</v>
      </c>
      <c r="F20" s="178" t="s">
        <v>0</v>
      </c>
      <c r="G20" s="179"/>
      <c r="H20" s="180">
        <v>230023268.52000001</v>
      </c>
      <c r="I20" s="180">
        <v>46004653.704000011</v>
      </c>
      <c r="J20" s="193">
        <f>BD_Costos[[#This Row],[Valor Reventa (VR), $]]/BD_Costos[[#This Row],[Inv. Inicial (II), $]]</f>
        <v>0.20000000000000004</v>
      </c>
      <c r="K20" s="179">
        <v>4</v>
      </c>
      <c r="L20" s="180">
        <f t="shared" ref="L20:L51" si="0">(H20-I20)/K20</f>
        <v>46004653.703999996</v>
      </c>
      <c r="M20" s="181"/>
      <c r="N20" s="193"/>
      <c r="O20" s="193"/>
      <c r="P20" s="193"/>
      <c r="Q20" s="193"/>
      <c r="V20" s="182"/>
      <c r="Z20" s="49"/>
      <c r="AA20" s="49"/>
      <c r="AB20" s="49"/>
    </row>
    <row r="21" spans="2:30" x14ac:dyDescent="0.3">
      <c r="B21" s="178" t="s">
        <v>177</v>
      </c>
      <c r="C21" s="178">
        <v>2009</v>
      </c>
      <c r="D21" s="178" t="s">
        <v>166</v>
      </c>
      <c r="E21" s="178" t="s">
        <v>178</v>
      </c>
      <c r="F21" s="178" t="s">
        <v>1</v>
      </c>
      <c r="G21" s="179">
        <v>200</v>
      </c>
      <c r="H21" s="180">
        <v>168683730.24800003</v>
      </c>
      <c r="I21" s="180">
        <v>33736746.049600013</v>
      </c>
      <c r="J21" s="193">
        <f>BD_Costos[[#This Row],[Valor Reventa (VR), $]]/BD_Costos[[#This Row],[Inv. Inicial (II), $]]</f>
        <v>0.20000000000000004</v>
      </c>
      <c r="K21" s="179">
        <v>4</v>
      </c>
      <c r="L21" s="180">
        <f t="shared" si="0"/>
        <v>33736746.049600005</v>
      </c>
      <c r="M21" s="181"/>
      <c r="N21" s="193"/>
      <c r="O21" s="193"/>
      <c r="P21" s="193"/>
      <c r="Q21" s="193"/>
    </row>
    <row r="22" spans="2:30" ht="15" thickBot="1" x14ac:dyDescent="0.35">
      <c r="B22" s="178" t="s">
        <v>177</v>
      </c>
      <c r="C22" s="178">
        <v>2009</v>
      </c>
      <c r="D22" s="178" t="s">
        <v>179</v>
      </c>
      <c r="E22" s="178" t="s">
        <v>178</v>
      </c>
      <c r="F22" s="178" t="s">
        <v>16</v>
      </c>
      <c r="G22" s="179"/>
      <c r="H22" s="180">
        <v>184018614.81600004</v>
      </c>
      <c r="I22" s="180">
        <v>36803722.963199995</v>
      </c>
      <c r="J22" s="193">
        <f>BD_Costos[[#This Row],[Valor Reventa (VR), $]]/BD_Costos[[#This Row],[Inv. Inicial (II), $]]</f>
        <v>0.19999999999999993</v>
      </c>
      <c r="K22" s="179">
        <v>4</v>
      </c>
      <c r="L22" s="180">
        <f t="shared" si="0"/>
        <v>36803722.96320001</v>
      </c>
      <c r="M22" s="181"/>
      <c r="N22" s="193"/>
      <c r="O22" s="193"/>
      <c r="P22" s="193"/>
      <c r="Q22" s="193"/>
    </row>
    <row r="23" spans="2:30" ht="15" thickBot="1" x14ac:dyDescent="0.35">
      <c r="B23" s="178" t="s">
        <v>177</v>
      </c>
      <c r="C23" s="178">
        <v>2009</v>
      </c>
      <c r="D23" s="178" t="s">
        <v>36</v>
      </c>
      <c r="E23" s="178" t="s">
        <v>178</v>
      </c>
      <c r="F23" s="178" t="s">
        <v>38</v>
      </c>
      <c r="G23" s="179"/>
      <c r="H23" s="180">
        <v>138013961.11200002</v>
      </c>
      <c r="I23" s="180">
        <v>2760279.222240001</v>
      </c>
      <c r="J23" s="193">
        <f>BD_Costos[[#This Row],[Valor Reventa (VR), $]]/BD_Costos[[#This Row],[Inv. Inicial (II), $]]</f>
        <v>2.0000000000000004E-2</v>
      </c>
      <c r="K23" s="179">
        <v>4</v>
      </c>
      <c r="L23" s="180">
        <f t="shared" si="0"/>
        <v>33813420.472440004</v>
      </c>
      <c r="M23" s="181"/>
      <c r="N23" s="193"/>
      <c r="O23" s="193"/>
      <c r="P23" s="193"/>
      <c r="Q23" s="193"/>
      <c r="S23" s="183" t="s">
        <v>4</v>
      </c>
      <c r="T23" s="183" t="s">
        <v>317</v>
      </c>
      <c r="U23" s="183" t="s">
        <v>165</v>
      </c>
      <c r="V23" s="183" t="s">
        <v>170</v>
      </c>
      <c r="W23" s="183" t="s">
        <v>172</v>
      </c>
      <c r="X23" s="184" t="s">
        <v>173</v>
      </c>
      <c r="Y23" s="185" t="s">
        <v>309</v>
      </c>
      <c r="Z23" s="241" t="s">
        <v>263</v>
      </c>
      <c r="AA23" s="133" t="s">
        <v>176</v>
      </c>
      <c r="AB23" s="133" t="s">
        <v>307</v>
      </c>
      <c r="AC23" s="241" t="s">
        <v>264</v>
      </c>
      <c r="AD23" s="133" t="s">
        <v>57</v>
      </c>
    </row>
    <row r="24" spans="2:30" x14ac:dyDescent="0.3">
      <c r="B24" s="178" t="s">
        <v>180</v>
      </c>
      <c r="C24" s="178">
        <v>2011</v>
      </c>
      <c r="D24" s="178" t="s">
        <v>37</v>
      </c>
      <c r="E24" s="178" t="s">
        <v>181</v>
      </c>
      <c r="F24" s="178" t="s">
        <v>0</v>
      </c>
      <c r="G24" s="179"/>
      <c r="H24" s="180">
        <v>176176528.07619062</v>
      </c>
      <c r="I24" s="180">
        <v>35235305.61523813</v>
      </c>
      <c r="J24" s="193">
        <f>BD_Costos[[#This Row],[Valor Reventa (VR), $]]/BD_Costos[[#This Row],[Inv. Inicial (II), $]]</f>
        <v>0.20000000000000004</v>
      </c>
      <c r="K24" s="179">
        <v>5</v>
      </c>
      <c r="L24" s="180">
        <f t="shared" si="0"/>
        <v>28188244.492190499</v>
      </c>
      <c r="M24" s="181"/>
      <c r="N24" s="193"/>
      <c r="O24" s="193"/>
      <c r="P24" s="193"/>
      <c r="Q24" s="193"/>
      <c r="S24" s="119" t="s">
        <v>8</v>
      </c>
      <c r="T24" s="137" t="s">
        <v>182</v>
      </c>
      <c r="U24" s="186">
        <f>AVERAGEIFS( BD_Costos[Potencia motor, hp],  BD_Costos[Máquina],  BD_Costos_VOLTEO[[#This Row],[Máquina]])</f>
        <v>183.66666666666666</v>
      </c>
      <c r="V24" s="187">
        <f>AVERAGEIFS(  BD_Costos[Inv. Inicial (II), $],  BD_Costos[Máquina],   BD_Costos_VOLTEO[[#This Row],[Máquina]])</f>
        <v>519524657.16675025</v>
      </c>
      <c r="W24" s="186">
        <f>AVERAGEIFS(  BD_Costos[Vida Útil, años],  BD_Costos[Máquina],    BD_Costos_VOLTEO[[#This Row],[Máquina]])</f>
        <v>6</v>
      </c>
      <c r="X24" s="187">
        <f>AVERAGEIFS(  BD_Costos[Depreciación ($/año)],
  BD_Costos[Máquina],     BD_Costos_VOLTEO[[#This Row],[Máquina]],
BD_Costos[Depreciación ($/año)], "&gt;0" )</f>
        <v>69269954.288900033</v>
      </c>
      <c r="Y24" s="188">
        <f>AVERAGEIFS(BD_Costos[Mantención &amp; Reparación, %], BD_Costos[Máquina],     BD_Costos_VOLTEO[[#This Row],[Máquina]])</f>
        <v>0.3</v>
      </c>
      <c r="Z24" s="245">
        <f>AVERAGEIFS(   BD_Costos[Factor Cons comb, lt/hrpr/hp],   BD_Costos[Máquina],       BD_Costos_VOLTEO[[#This Row],[Máquina]])</f>
        <v>9.9669892272719995E-2</v>
      </c>
      <c r="AA24" s="278">
        <f>AVERAGEIFS(  BD_Costos[Factor Lubricantes, %],   BD_Costos[Máquina],       BD_Costos_VOLTEO[[#This Row],[Máquina]])</f>
        <v>0.36770000000000008</v>
      </c>
      <c r="AB24" s="278">
        <f>AVERAGEIFS(  BD_Costos[Factor de Reventa, %],   BD_Costos[Máquina],       BD_Costos_VOLTEO[[#This Row],[Máquina]])</f>
        <v>0.19999999999999998</v>
      </c>
      <c r="AC24" s="245">
        <f>AVERAGEIFS(   BD_Costos[Cons comb, lt/hrpr],   BD_Costos[Máquina],       BD_Costos_VOLTEO[[#This Row],[Máquina]])</f>
        <v>18.306036880756238</v>
      </c>
      <c r="AD24" s="253">
        <f>AVERAGEIFS(  BD_Costos[Productividad, %],   BD_Costos[Máquina],       BD_Costos_VOLTEO[[#This Row],[Máquina]])</f>
        <v>0.79999999999999993</v>
      </c>
    </row>
    <row r="25" spans="2:30" x14ac:dyDescent="0.3">
      <c r="B25" s="178" t="s">
        <v>180</v>
      </c>
      <c r="C25" s="178">
        <v>2011</v>
      </c>
      <c r="D25" s="178" t="s">
        <v>11</v>
      </c>
      <c r="E25" s="178" t="s">
        <v>181</v>
      </c>
      <c r="F25" s="178" t="s">
        <v>0</v>
      </c>
      <c r="G25" s="179"/>
      <c r="H25" s="180">
        <v>427293.81809523841</v>
      </c>
      <c r="I25" s="180">
        <v>85458.763619047691</v>
      </c>
      <c r="J25" s="193">
        <f>BD_Costos[[#This Row],[Valor Reventa (VR), $]]/BD_Costos[[#This Row],[Inv. Inicial (II), $]]</f>
        <v>0.2</v>
      </c>
      <c r="K25" s="179">
        <v>1</v>
      </c>
      <c r="L25" s="180">
        <f t="shared" si="0"/>
        <v>341835.05447619071</v>
      </c>
      <c r="M25" s="181"/>
      <c r="N25" s="193"/>
      <c r="O25" s="193"/>
      <c r="P25" s="193"/>
      <c r="Q25" s="193"/>
      <c r="S25" s="121" t="s">
        <v>8</v>
      </c>
      <c r="T25" s="48" t="s">
        <v>183</v>
      </c>
      <c r="U25" s="49">
        <f>_xlfn.MINIFS(  BD_Costos[Potencia motor, hp],  BD_Costos[Máquina],    BD_Costos_VOLTEO[[#This Row],[Máquina]])</f>
        <v>120</v>
      </c>
      <c r="V25" s="232">
        <f>_xlfn.MINIFS(BD_Costos[Inv. Inicial (II), $],  BD_Costos[Máquina],   BD_Costos_VOLTEO[[#This Row],[Máquina]])</f>
        <v>394798075.24498004</v>
      </c>
      <c r="W25" s="49">
        <f>_xlfn.MINIFS(BD_Costos[Vida Útil, años],  BD_Costos[Máquina],   BD_Costos_VOLTEO[[#This Row],[Máquina]])</f>
        <v>6</v>
      </c>
      <c r="X25" s="232">
        <f>_xlfn.MINIFS(BD_Costos[Depreciación ($/año)],
  BD_Costos[Máquina],     BD_Costos_VOLTEO[[#This Row],[Máquina]],
BD_Costos[Depreciación ($/año)], "&gt;0" )</f>
        <v>52639743.365997337</v>
      </c>
      <c r="Y25" s="67">
        <f>_xlfn.MINIFS(   BD_Costos[Mantención &amp; Reparación, %], BD_Costos[Máquina],       BD_Costos_VOLTEO[[#This Row],[Máquina]])</f>
        <v>0.3</v>
      </c>
      <c r="Z25" s="246">
        <f>_xlfn.MINIFS(  BD_Costos[Factor Cons comb, lt/hrpr/hp],   BD_Costos[Máquina],       BD_Costos_VOLTEO[[#This Row],[Máquina]])</f>
        <v>9.9669892272719995E-2</v>
      </c>
      <c r="AA25" s="279">
        <f>_xlfn.MINIFS(    BD_Costos[Factor Lubricantes, %],   BD_Costos[Máquina],           BD_Costos_VOLTEO[[#This Row],[Máquina]])</f>
        <v>0.36770000000000003</v>
      </c>
      <c r="AB25" s="279">
        <f>_xlfn.MINIFS(    BD_Costos[Factor de Reventa, %],   BD_Costos[Máquina],           BD_Costos_VOLTEO[[#This Row],[Máquina]])</f>
        <v>0.19999999999999998</v>
      </c>
      <c r="AC25" s="246">
        <f>_xlfn.MINIFS(  BD_Costos[Cons comb, lt/hrpr],   BD_Costos[Máquina],       BD_Costos_VOLTEO[[#This Row],[Máquina]])</f>
        <v>11.9603870727264</v>
      </c>
      <c r="AD25" s="152">
        <f>_xlfn.MINIFS(    BD_Costos[Productividad, %],   BD_Costos[Máquina],           BD_Costos_VOLTEO[[#This Row],[Máquina]])</f>
        <v>0.8</v>
      </c>
    </row>
    <row r="26" spans="2:30" ht="15" thickBot="1" x14ac:dyDescent="0.35">
      <c r="B26" s="178" t="s">
        <v>180</v>
      </c>
      <c r="C26" s="178">
        <v>2011</v>
      </c>
      <c r="D26" s="178" t="s">
        <v>166</v>
      </c>
      <c r="E26" s="178" t="s">
        <v>181</v>
      </c>
      <c r="F26" s="178" t="s">
        <v>1</v>
      </c>
      <c r="G26" s="179"/>
      <c r="H26" s="180">
        <v>105180016.76190487</v>
      </c>
      <c r="I26" s="180">
        <v>21036003.352380972</v>
      </c>
      <c r="J26" s="193">
        <f>BD_Costos[[#This Row],[Valor Reventa (VR), $]]/BD_Costos[[#This Row],[Inv. Inicial (II), $]]</f>
        <v>0.19999999999999998</v>
      </c>
      <c r="K26" s="179">
        <v>5</v>
      </c>
      <c r="L26" s="180">
        <f t="shared" si="0"/>
        <v>16828802.681904778</v>
      </c>
      <c r="M26" s="181"/>
      <c r="N26" s="193"/>
      <c r="O26" s="193"/>
      <c r="P26" s="193"/>
      <c r="Q26" s="193"/>
      <c r="S26" s="121" t="s">
        <v>8</v>
      </c>
      <c r="T26" s="48" t="s">
        <v>184</v>
      </c>
      <c r="U26" s="49">
        <f>_xlfn.MAXIFS( BD_Costos[Potencia motor, hp],  BD_Costos[Máquina],    BD_Costos_VOLTEO[[#This Row],[Máquina]])</f>
        <v>221</v>
      </c>
      <c r="V26" s="232">
        <f>_xlfn.MAXIFS(BD_Costos[Inv. Inicial (II), $],  BD_Costos[Máquina],   BD_Costos_VOLTEO[[#This Row],[Máquina]])</f>
        <v>594349996.12154031</v>
      </c>
      <c r="W26" s="49">
        <f>_xlfn.MAXIFS(BD_Costos[Vida Útil, años],  BD_Costos[Máquina],   BD_Costos_VOLTEO[[#This Row],[Máquina]])</f>
        <v>6</v>
      </c>
      <c r="X26" s="232">
        <f>_xlfn.MAXIFS(BD_Costos[Depreciación ($/año)],
  BD_Costos[Máquina],     BD_Costos_VOLTEO[[#This Row],[Máquina]],
BD_Costos[Depreciación ($/año)], "&gt;0" )</f>
        <v>79246666.149538711</v>
      </c>
      <c r="Y26" s="67">
        <f>_xlfn.MINIFS(   BD_Costos[Mantención &amp; Reparación, %], BD_Costos[Máquina],      BD_Costos_VOLTEO[[#This Row],[Máquina]])</f>
        <v>0.3</v>
      </c>
      <c r="Z26" s="246">
        <f>_xlfn.MAXIFS(  BD_Costos[Factor Cons comb, lt/hrpr/hp],   BD_Costos[Máquina],       BD_Costos_VOLTEO[[#This Row],[Máquina]])</f>
        <v>9.9669892272719995E-2</v>
      </c>
      <c r="AA26" s="279">
        <f>_xlfn.MAXIFS(    BD_Costos[Factor Lubricantes, %],   BD_Costos[Máquina],        BD_Costos_VOLTEO[[#This Row],[Máquina]])</f>
        <v>0.36770000000000003</v>
      </c>
      <c r="AB26" s="279">
        <f>_xlfn.MAXIFS(    BD_Costos[Factor de Reventa, %],   BD_Costos[Máquina],        BD_Costos_VOLTEO[[#This Row],[Máquina]])</f>
        <v>0.2</v>
      </c>
      <c r="AC26" s="246">
        <f>_xlfn.MAXIFS(  BD_Costos[Cons comb, lt/hrpr],   BD_Costos[Máquina],       BD_Costos_VOLTEO[[#This Row],[Máquina]])</f>
        <v>22.027046192271118</v>
      </c>
      <c r="AD26" s="152">
        <f>_xlfn.MAXIFS(    BD_Costos[Productividad, %],   BD_Costos[Máquina],        BD_Costos_VOLTEO[[#This Row],[Máquina]])</f>
        <v>0.8</v>
      </c>
    </row>
    <row r="27" spans="2:30" x14ac:dyDescent="0.3">
      <c r="B27" s="178" t="s">
        <v>180</v>
      </c>
      <c r="C27" s="178">
        <v>2011</v>
      </c>
      <c r="D27" s="178" t="s">
        <v>185</v>
      </c>
      <c r="E27" s="178" t="s">
        <v>181</v>
      </c>
      <c r="F27" s="178" t="s">
        <v>1</v>
      </c>
      <c r="G27" s="179"/>
      <c r="H27" s="180">
        <v>65737510.47619053</v>
      </c>
      <c r="I27" s="180">
        <v>13147502.095238108</v>
      </c>
      <c r="J27" s="193">
        <f>BD_Costos[[#This Row],[Valor Reventa (VR), $]]/BD_Costos[[#This Row],[Inv. Inicial (II), $]]</f>
        <v>0.20000000000000004</v>
      </c>
      <c r="K27" s="179">
        <v>5</v>
      </c>
      <c r="L27" s="180">
        <f t="shared" si="0"/>
        <v>10518001.676190484</v>
      </c>
      <c r="M27" s="181"/>
      <c r="N27" s="193"/>
      <c r="O27" s="193"/>
      <c r="P27" s="193"/>
      <c r="Q27" s="193"/>
      <c r="S27" s="119" t="s">
        <v>37</v>
      </c>
      <c r="T27" s="137" t="s">
        <v>182</v>
      </c>
      <c r="U27" s="186">
        <f>AVERAGEIFS( BD_Costos[Potencia motor, hp],  BD_Costos[Máquina], BD_Costos_VOLTEO[[#This Row],[Máquina]])</f>
        <v>231.18918918918919</v>
      </c>
      <c r="V27" s="187">
        <f>AVERAGEIFS(BD_Costos[Inv. Inicial (II), $],  BD_Costos[Máquina],   BD_Costos_VOLTEO[[#This Row],[Máquina]])</f>
        <v>316569134.82907742</v>
      </c>
      <c r="W27" s="186">
        <f>AVERAGEIFS(BD_Costos[Vida Útil, años],  BD_Costos[Máquina],   BD_Costos_VOLTEO[[#This Row],[Máquina]])</f>
        <v>4.9714285714285715</v>
      </c>
      <c r="X27" s="187">
        <f>AVERAGEIFS(BD_Costos[Depreciación ($/año)],
  BD_Costos[Máquina],     BD_Costos_VOLTEO[[#This Row],[Máquina]],
BD_Costos[Depreciación ($/año)], "&gt;0" )</f>
        <v>47869050.756937258</v>
      </c>
      <c r="Y27" s="188">
        <f>AVERAGEIFS(   BD_Costos[Mantención &amp; Reparación, %], BD_Costos[Máquina],       BD_Costos_VOLTEO[[#This Row],[Máquina]])</f>
        <v>0.86363636363636365</v>
      </c>
      <c r="Z27" s="245">
        <f>AVERAGEIFS(  BD_Costos[Factor Cons comb, lt/hrpr/hp],   BD_Costos[Máquina],      BD_Costos_VOLTEO[[#This Row],[Máquina]])</f>
        <v>9.9669892272720009E-2</v>
      </c>
      <c r="AA27" s="278">
        <f>AVERAGEIFS(    BD_Costos[Factor Lubricantes, %],   BD_Costos[Máquina],        BD_Costos_VOLTEO[[#This Row],[Máquina]])</f>
        <v>0.36769999999999992</v>
      </c>
      <c r="AB27" s="278">
        <f>AVERAGEIFS(  BD_Costos[Factor de Reventa, %],   BD_Costos[Máquina],       BD_Costos_VOLTEO[[#This Row],[Máquina]])</f>
        <v>0.19000000000000014</v>
      </c>
      <c r="AC27" s="245">
        <f>AVERAGEIFS(   BD_Costos[Cons comb, lt/hrpr],   BD_Costos[Máquina],       BD_Costos_VOLTEO[[#This Row],[Máquina]])</f>
        <v>20.624000785662833</v>
      </c>
      <c r="AD27" s="253">
        <f>AVERAGEIFS(  BD_Costos[Productividad, %],   BD_Costos[Máquina],       BD_Costos_VOLTEO[[#This Row],[Máquina]])</f>
        <v>0.61969696969696986</v>
      </c>
    </row>
    <row r="28" spans="2:30" x14ac:dyDescent="0.3">
      <c r="B28" s="178" t="s">
        <v>180</v>
      </c>
      <c r="C28" s="178">
        <v>2011</v>
      </c>
      <c r="D28" s="178" t="s">
        <v>186</v>
      </c>
      <c r="E28" s="178" t="s">
        <v>181</v>
      </c>
      <c r="F28" s="178" t="s">
        <v>187</v>
      </c>
      <c r="G28" s="179"/>
      <c r="H28" s="180">
        <v>187351904.85714301</v>
      </c>
      <c r="I28" s="180">
        <v>37470380.97142861</v>
      </c>
      <c r="J28" s="193">
        <f>BD_Costos[[#This Row],[Valor Reventa (VR), $]]/BD_Costos[[#This Row],[Inv. Inicial (II), $]]</f>
        <v>0.20000000000000004</v>
      </c>
      <c r="K28" s="179">
        <v>5</v>
      </c>
      <c r="L28" s="180">
        <f t="shared" si="0"/>
        <v>29976304.777142882</v>
      </c>
      <c r="M28" s="181"/>
      <c r="N28" s="193"/>
      <c r="O28" s="193"/>
      <c r="P28" s="193"/>
      <c r="Q28" s="193"/>
      <c r="S28" s="121" t="s">
        <v>37</v>
      </c>
      <c r="T28" s="48" t="s">
        <v>183</v>
      </c>
      <c r="U28" s="31">
        <f>_xlfn.MINIFS( BD_Costos[Potencia motor, hp],  BD_Costos[Máquina],  BD_Costos_VOLTEO[[#This Row],[Máquina]])</f>
        <v>140</v>
      </c>
      <c r="V28" s="232">
        <f>_xlfn.MINIFS(BD_Costos[Inv. Inicial (II), $],  BD_Costos[Máquina], BD_Costos_VOLTEO[[#This Row],[Máquina]])</f>
        <v>176176528.07619062</v>
      </c>
      <c r="W28" s="31">
        <f>_xlfn.MINIFS(BD_Costos[Vida Útil, años],  BD_Costos[Máquina],   BD_Costos_VOLTEO[[#This Row],[Máquina]])</f>
        <v>4</v>
      </c>
      <c r="X28" s="232">
        <f>_xlfn.MINIFS(BD_Costos[Depreciación ($/año)],
  BD_Costos[Máquina],     BD_Costos_VOLTEO[[#This Row],[Máquina]],
BD_Costos[Depreciación ($/año)], "&gt;0" )</f>
        <v>28188244.492190499</v>
      </c>
      <c r="Y28" s="67">
        <f>_xlfn.MINIFS(   BD_Costos[Mantención &amp; Reparación, %], BD_Costos[Máquina],     BD_Costos_VOLTEO[[#This Row],[Máquina]])</f>
        <v>0.75</v>
      </c>
      <c r="Z28" s="246">
        <f>_xlfn.MINIFS(  BD_Costos[Factor Cons comb, lt/hrpr/hp],   BD_Costos[Máquina],     BD_Costos_VOLTEO[[#This Row],[Máquina]])</f>
        <v>9.9669892272719995E-2</v>
      </c>
      <c r="AA28" s="279">
        <f>_xlfn.MINIFS(   BD_Costos[Factor Lubricantes, %],   BD_Costos[Máquina],      BD_Costos_VOLTEO[[#This Row],[Máquina]])</f>
        <v>0.36770000000000003</v>
      </c>
      <c r="AB28" s="279">
        <f>_xlfn.MINIFS(    BD_Costos[Factor de Reventa, %],   BD_Costos[Máquina],           BD_Costos_VOLTEO[[#This Row],[Máquina]])</f>
        <v>0.15</v>
      </c>
      <c r="AC28" s="246">
        <f>_xlfn.MINIFS(  BD_Costos[Cons comb, lt/hrpr],   BD_Costos[Máquina],       BD_Costos_VOLTEO[[#This Row],[Máquina]])</f>
        <v>13.9537849181808</v>
      </c>
      <c r="AD28" s="152">
        <f>_xlfn.MINIFS(    BD_Costos[Productividad, %],   BD_Costos[Máquina],           BD_Costos_VOLTEO[[#This Row],[Máquina]])</f>
        <v>0.6</v>
      </c>
    </row>
    <row r="29" spans="2:30" ht="15" thickBot="1" x14ac:dyDescent="0.35">
      <c r="B29" s="178" t="s">
        <v>180</v>
      </c>
      <c r="C29" s="178">
        <v>2011</v>
      </c>
      <c r="D29" s="178" t="s">
        <v>188</v>
      </c>
      <c r="E29" s="178" t="s">
        <v>181</v>
      </c>
      <c r="F29" s="178" t="s">
        <v>189</v>
      </c>
      <c r="G29" s="179"/>
      <c r="H29" s="180">
        <v>44044132.019047655</v>
      </c>
      <c r="I29" s="180">
        <v>8808826.4038095325</v>
      </c>
      <c r="J29" s="193">
        <f>BD_Costos[[#This Row],[Valor Reventa (VR), $]]/BD_Costos[[#This Row],[Inv. Inicial (II), $]]</f>
        <v>0.20000000000000004</v>
      </c>
      <c r="K29" s="179">
        <v>5</v>
      </c>
      <c r="L29" s="180">
        <f t="shared" si="0"/>
        <v>7047061.1230476247</v>
      </c>
      <c r="M29" s="181"/>
      <c r="N29" s="193"/>
      <c r="O29" s="193"/>
      <c r="P29" s="193"/>
      <c r="Q29" s="193"/>
      <c r="S29" s="121" t="s">
        <v>37</v>
      </c>
      <c r="T29" s="48" t="s">
        <v>184</v>
      </c>
      <c r="U29" s="31">
        <f>_xlfn.MAXIFS(  BD_Costos[Potencia motor, hp],  BD_Costos[Máquina], BD_Costos_VOLTEO[[#This Row],[Máquina]])</f>
        <v>308</v>
      </c>
      <c r="V29" s="232">
        <f>_xlfn.MAXIFS(BD_Costos[Inv. Inicial (II), $],  BD_Costos[Máquina],   BD_Costos_VOLTEO[[#This Row],[Máquina]])</f>
        <v>534142055.90269566</v>
      </c>
      <c r="W29" s="31">
        <f>_xlfn.MAXIFS(BD_Costos[Vida Útil, años],  BD_Costos[Máquina],   BD_Costos_VOLTEO[[#This Row],[Máquina]])</f>
        <v>5</v>
      </c>
      <c r="X29" s="232">
        <f>_xlfn.MAXIFS(BD_Costos[Depreciación ($/año)],
  BD_Costos[Máquina],     BD_Costos_VOLTEO[[#This Row],[Máquina]],
BD_Costos[Depreciación ($/año)], "&gt;0" )</f>
        <v>85462728.944431305</v>
      </c>
      <c r="Y29" s="67">
        <f>_xlfn.MAXIFS(   BD_Costos[Mantención &amp; Reparación, %], BD_Costos[Máquina],    BD_Costos_VOLTEO[[#This Row],[Máquina]])</f>
        <v>1</v>
      </c>
      <c r="Z29" s="246">
        <f>_xlfn.MAXIFS(  BD_Costos[Factor Cons comb, lt/hrpr/hp],   BD_Costos[Máquina],     BD_Costos_VOLTEO[[#This Row],[Máquina]])</f>
        <v>9.9669892272719995E-2</v>
      </c>
      <c r="AA29" s="279">
        <f>_xlfn.MAXIFS(   BD_Costos[Factor Lubricantes, %],   BD_Costos[Máquina],     BD_Costos_VOLTEO[[#This Row],[Máquina]])</f>
        <v>0.36770000000000003</v>
      </c>
      <c r="AB29" s="279">
        <f>_xlfn.MAXIFS(    BD_Costos[Factor de Reventa, %],   BD_Costos[Máquina],        BD_Costos_VOLTEO[[#This Row],[Máquina]])</f>
        <v>0.20000000000000004</v>
      </c>
      <c r="AC29" s="246">
        <f>_xlfn.MAXIFS(  BD_Costos[Cons comb, lt/hrpr],   BD_Costos[Máquina],       BD_Costos_VOLTEO[[#This Row],[Máquina]])</f>
        <v>25.914171990907199</v>
      </c>
      <c r="AD29" s="152">
        <f>_xlfn.MAXIFS(    BD_Costos[Productividad, %],   BD_Costos[Máquina],        BD_Costos_VOLTEO[[#This Row],[Máquina]])</f>
        <v>0.65</v>
      </c>
    </row>
    <row r="30" spans="2:30" x14ac:dyDescent="0.3">
      <c r="B30" s="178" t="s">
        <v>190</v>
      </c>
      <c r="C30" s="178">
        <v>2002</v>
      </c>
      <c r="D30" s="178" t="s">
        <v>37</v>
      </c>
      <c r="E30" s="178" t="s">
        <v>178</v>
      </c>
      <c r="F30" s="178" t="s">
        <v>0</v>
      </c>
      <c r="G30" s="179">
        <v>140</v>
      </c>
      <c r="H30" s="180">
        <v>227187786.14370888</v>
      </c>
      <c r="I30" s="180">
        <v>45437557.22874178</v>
      </c>
      <c r="J30" s="193">
        <f>BD_Costos[[#This Row],[Valor Reventa (VR), $]]/BD_Costos[[#This Row],[Inv. Inicial (II), $]]</f>
        <v>0.2</v>
      </c>
      <c r="K30" s="179">
        <v>5</v>
      </c>
      <c r="L30" s="180">
        <f t="shared" si="0"/>
        <v>36350045.782993421</v>
      </c>
      <c r="M30" s="181">
        <v>1</v>
      </c>
      <c r="N30" s="227">
        <v>9.9669892272719995E-2</v>
      </c>
      <c r="O30" s="193">
        <v>0.65</v>
      </c>
      <c r="P30" s="228">
        <v>0.36770000000000003</v>
      </c>
      <c r="Q30" s="193">
        <f>BD_Costos[[#This Row],[Factor Cons comb, lt/hrpr/hp]]*BD_Costos[[#This Row],[Potencia motor, hp]]</f>
        <v>13.9537849181808</v>
      </c>
      <c r="S30" s="119" t="s">
        <v>11</v>
      </c>
      <c r="T30" s="137" t="s">
        <v>182</v>
      </c>
      <c r="U30" s="186">
        <f>AVERAGEIFS( BD_Costos[Potencia motor, hp],  BD_Costos[Máquina], BD_Costos_VOLTEO[[#This Row],[Máquina]])</f>
        <v>5</v>
      </c>
      <c r="V30" s="187">
        <f>AVERAGEIFS(BD_Costos[Inv. Inicial (II), $],  BD_Costos[Máquina],  BD_Costos_VOLTEO[[#This Row],[Máquina]])</f>
        <v>1017272.6060317461</v>
      </c>
      <c r="W30" s="186">
        <f>AVERAGEIFS(BD_Costos[Vida Útil, años],  BD_Costos[Máquina],   BD_Costos_VOLTEO[[#This Row],[Máquina]])</f>
        <v>2</v>
      </c>
      <c r="X30" s="187">
        <f>AVERAGEIFS(BD_Costos[Depreciación ($/año)],
  BD_Costos[Máquina],     BD_Costos_VOLTEO[[#This Row],[Máquina]],
BD_Costos[Depreciación ($/año)], "&gt;0" )</f>
        <v>443358.48482539691</v>
      </c>
      <c r="Y30" s="130">
        <f>AVERAGEIFS(   BD_Costos[Mantención &amp; Reparación, %], BD_Costos[Máquina],      BD_Costos_VOLTEO[[#This Row],[Máquina]])</f>
        <v>0.95</v>
      </c>
      <c r="Z30" s="245">
        <f>AVERAGEIFS(  BD_Costos[Factor Cons comb, lt/hrpr/hp],   BD_Costos[Máquina],       BD_Costos_VOLTEO[[#This Row],[Máquina]])</f>
        <v>0.14884232120000002</v>
      </c>
      <c r="AA30" s="278">
        <f>AVERAGEIFS(  BD_Costos[Factor Lubricantes, %],   BD_Costos[Máquina],      BD_Costos_VOLTEO[[#This Row],[Máquina]])</f>
        <v>0.36770000000000003</v>
      </c>
      <c r="AB30" s="278">
        <f>AVERAGEIFS(  BD_Costos[Factor de Reventa, %],   BD_Costos[Máquina],       BD_Costos_VOLTEO[[#This Row],[Máquina]])</f>
        <v>9.9999866363847154E-2</v>
      </c>
      <c r="AC30" s="245">
        <f>AVERAGEIFS(   BD_Costos[Cons comb, lt/hrpr],   BD_Costos[Máquina],       BD_Costos_VOLTEO[[#This Row],[Máquina]])</f>
        <v>0.74421160600000014</v>
      </c>
      <c r="AD30" s="253">
        <f>AVERAGEIFS(  BD_Costos[Productividad, %],   BD_Costos[Máquina],       BD_Costos_VOLTEO[[#This Row],[Máquina]])</f>
        <v>0.56666666666666665</v>
      </c>
    </row>
    <row r="31" spans="2:30" x14ac:dyDescent="0.3">
      <c r="B31" s="178" t="s">
        <v>190</v>
      </c>
      <c r="C31" s="178">
        <v>2002</v>
      </c>
      <c r="D31" s="178" t="s">
        <v>37</v>
      </c>
      <c r="E31" s="178" t="s">
        <v>178</v>
      </c>
      <c r="F31" s="178" t="s">
        <v>0</v>
      </c>
      <c r="G31" s="179">
        <v>174</v>
      </c>
      <c r="H31" s="180">
        <v>245416353.52416071</v>
      </c>
      <c r="I31" s="180">
        <v>49083270.704832137</v>
      </c>
      <c r="J31" s="193">
        <f>BD_Costos[[#This Row],[Valor Reventa (VR), $]]/BD_Costos[[#This Row],[Inv. Inicial (II), $]]</f>
        <v>0.19999999999999998</v>
      </c>
      <c r="K31" s="179">
        <v>5</v>
      </c>
      <c r="L31" s="180">
        <f t="shared" si="0"/>
        <v>39266616.563865714</v>
      </c>
      <c r="M31" s="181">
        <v>1</v>
      </c>
      <c r="N31" s="227">
        <v>9.9669892272719995E-2</v>
      </c>
      <c r="O31" s="193">
        <v>0.65</v>
      </c>
      <c r="P31" s="228">
        <v>0.36770000000000003</v>
      </c>
      <c r="Q31" s="193">
        <f>BD_Costos[[#This Row],[Factor Cons comb, lt/hrpr/hp]]*BD_Costos[[#This Row],[Potencia motor, hp]]</f>
        <v>17.34256125545328</v>
      </c>
      <c r="S31" s="121" t="s">
        <v>11</v>
      </c>
      <c r="T31" s="48" t="s">
        <v>183</v>
      </c>
      <c r="U31" s="31">
        <f>_xlfn.MINIFS( BD_Costos[Potencia motor, hp],  BD_Costos[Máquina], BD_Costos_VOLTEO[[#This Row],[Máquina]])</f>
        <v>5</v>
      </c>
      <c r="V31" s="232">
        <f>_xlfn.MINIFS(BD_Costos[Inv. Inicial (II), $],  BD_Costos[Máquina],  BD_Costos_VOLTEO[[#This Row],[Máquina]])</f>
        <v>427293.81809523841</v>
      </c>
      <c r="W31" s="31">
        <f>_xlfn.MINIFS(BD_Costos[Vida Útil, años],  BD_Costos[Máquina],     BD_Costos_VOLTEO[[#This Row],[Máquina]])</f>
        <v>1</v>
      </c>
      <c r="X31" s="232">
        <f>_xlfn.MINIFS(BD_Costos[Depreciación ($/año)],
  BD_Costos[Máquina],     BD_Costos_VOLTEO[[#This Row],[Máquina]],
BD_Costos[Depreciación ($/año)], "&gt;0" )</f>
        <v>341835.05447619071</v>
      </c>
      <c r="Y31" s="49">
        <f>_xlfn.MINIFS(   BD_Costos[Mantención &amp; Reparación, %], BD_Costos[Máquina],     BD_Costos_VOLTEO[[#This Row],[Máquina]])</f>
        <v>0.9</v>
      </c>
      <c r="Z31" s="246">
        <f>_xlfn.MINIFS(  BD_Costos[Factor Cons comb, lt/hrpr/hp],   BD_Costos[Máquina],      BD_Costos_VOLTEO[[#This Row],[Máquina]])</f>
        <v>0.14884232120000002</v>
      </c>
      <c r="AA31" s="279">
        <f>_xlfn.MINIFS(  BD_Costos[Factor Lubricantes, %],   BD_Costos[Máquina],     BD_Costos_VOLTEO[[#This Row],[Máquina]])</f>
        <v>0.36770000000000003</v>
      </c>
      <c r="AB31" s="279">
        <f>_xlfn.MINIFS(    BD_Costos[Factor de Reventa, %],   BD_Costos[Máquina],           BD_Costos_VOLTEO[[#This Row],[Máquina]])</f>
        <v>0</v>
      </c>
      <c r="AC31" s="246">
        <f>_xlfn.MINIFS(  BD_Costos[Cons comb, lt/hrpr],   BD_Costos[Máquina],       BD_Costos_VOLTEO[[#This Row],[Máquina]])</f>
        <v>0.74421160600000014</v>
      </c>
      <c r="AD31" s="152">
        <f>_xlfn.MINIFS(    BD_Costos[Productividad, %],   BD_Costos[Máquina],           BD_Costos_VOLTEO[[#This Row],[Máquina]])</f>
        <v>0.5</v>
      </c>
    </row>
    <row r="32" spans="2:30" ht="15" thickBot="1" x14ac:dyDescent="0.35">
      <c r="B32" s="178" t="s">
        <v>190</v>
      </c>
      <c r="C32" s="178">
        <v>2002</v>
      </c>
      <c r="D32" s="178" t="s">
        <v>37</v>
      </c>
      <c r="E32" s="178" t="s">
        <v>178</v>
      </c>
      <c r="F32" s="178" t="s">
        <v>0</v>
      </c>
      <c r="G32" s="179">
        <v>215</v>
      </c>
      <c r="H32" s="180">
        <v>253256796.54972899</v>
      </c>
      <c r="I32" s="180">
        <v>50651359.309945792</v>
      </c>
      <c r="J32" s="193">
        <f>BD_Costos[[#This Row],[Valor Reventa (VR), $]]/BD_Costos[[#This Row],[Inv. Inicial (II), $]]</f>
        <v>0.19999999999999998</v>
      </c>
      <c r="K32" s="179">
        <v>5</v>
      </c>
      <c r="L32" s="180">
        <f t="shared" si="0"/>
        <v>40521087.447956637</v>
      </c>
      <c r="M32" s="181">
        <v>1</v>
      </c>
      <c r="N32" s="227">
        <v>9.9669892272719995E-2</v>
      </c>
      <c r="O32" s="193">
        <v>0.65</v>
      </c>
      <c r="P32" s="228">
        <v>0.36770000000000003</v>
      </c>
      <c r="Q32" s="193">
        <f>BD_Costos[[#This Row],[Factor Cons comb, lt/hrpr/hp]]*BD_Costos[[#This Row],[Potencia motor, hp]]</f>
        <v>21.429026838634798</v>
      </c>
      <c r="S32" s="123" t="s">
        <v>11</v>
      </c>
      <c r="T32" s="138" t="s">
        <v>184</v>
      </c>
      <c r="U32" s="189">
        <f>_xlfn.MAXIFS( BD_Costos[Potencia motor, hp],  BD_Costos[Máquina], BD_Costos_VOLTEO[[#This Row],[Máquina]])</f>
        <v>5</v>
      </c>
      <c r="V32" s="190">
        <f>_xlfn.MAXIFS(BD_Costos[Inv. Inicial (II), $],  BD_Costos[Máquina],  BD_Costos_VOLTEO[[#This Row],[Máquina]])</f>
        <v>1995468</v>
      </c>
      <c r="W32" s="189">
        <f>_xlfn.MAXIFS(BD_Costos[Vida Útil, años],  BD_Costos[Máquina],   BD_Costos_VOLTEO[[#This Row],[Máquina]])</f>
        <v>5</v>
      </c>
      <c r="X32" s="190">
        <f>_xlfn.MAXIFS(BD_Costos[Depreciación ($/año)],
  BD_Costos[Máquina],     BD_Costos_VOLTEO[[#This Row],[Máquina]],
BD_Costos[Depreciación ($/año)], "&gt;0" )</f>
        <v>629056</v>
      </c>
      <c r="Y32" s="131">
        <f>_xlfn.MAXIFS(   BD_Costos[Mantención &amp; Reparación, %], BD_Costos[Máquina],    BD_Costos_VOLTEO[[#This Row],[Máquina]])</f>
        <v>1</v>
      </c>
      <c r="Z32" s="247">
        <f>_xlfn.MAXIFS(  BD_Costos[Factor Cons comb, lt/hrpr/hp],   BD_Costos[Máquina],     BD_Costos_VOLTEO[[#This Row],[Máquina]])</f>
        <v>0.14884232120000002</v>
      </c>
      <c r="AA32" s="280">
        <f>_xlfn.MAXIFS(  BD_Costos[Factor Lubricantes, %],   BD_Costos[Máquina],     BD_Costos_VOLTEO[[#This Row],[Máquina]])</f>
        <v>0.36770000000000003</v>
      </c>
      <c r="AB32" s="279">
        <f>_xlfn.MAXIFS(    BD_Costos[Factor de Reventa, %],   BD_Costos[Máquina],        BD_Costos_VOLTEO[[#This Row],[Máquina]])</f>
        <v>0.2</v>
      </c>
      <c r="AC32" s="247">
        <f>_xlfn.MAXIFS(  BD_Costos[Cons comb, lt/hrpr],   BD_Costos[Máquina],       BD_Costos_VOLTEO[[#This Row],[Máquina]])</f>
        <v>0.74421160600000014</v>
      </c>
      <c r="AD32" s="152">
        <f>_xlfn.MAXIFS(    BD_Costos[Productividad, %],   BD_Costos[Máquina],        BD_Costos_VOLTEO[[#This Row],[Máquina]])</f>
        <v>0.7</v>
      </c>
    </row>
    <row r="33" spans="2:30" x14ac:dyDescent="0.3">
      <c r="B33" s="178" t="s">
        <v>190</v>
      </c>
      <c r="C33" s="178">
        <v>2002</v>
      </c>
      <c r="D33" s="178" t="s">
        <v>37</v>
      </c>
      <c r="E33" s="178" t="s">
        <v>178</v>
      </c>
      <c r="F33" s="178" t="s">
        <v>0</v>
      </c>
      <c r="G33" s="179">
        <v>152</v>
      </c>
      <c r="H33" s="180">
        <v>187035588.14730927</v>
      </c>
      <c r="I33" s="180">
        <v>37407117.629461862</v>
      </c>
      <c r="J33" s="193">
        <f>BD_Costos[[#This Row],[Valor Reventa (VR), $]]/BD_Costos[[#This Row],[Inv. Inicial (II), $]]</f>
        <v>0.20000000000000004</v>
      </c>
      <c r="K33" s="179">
        <v>5</v>
      </c>
      <c r="L33" s="180">
        <f t="shared" si="0"/>
        <v>29925694.103569485</v>
      </c>
      <c r="M33" s="181">
        <v>1</v>
      </c>
      <c r="N33" s="227">
        <v>9.9669892272719995E-2</v>
      </c>
      <c r="O33" s="193">
        <v>0.65</v>
      </c>
      <c r="P33" s="228">
        <v>0.36770000000000003</v>
      </c>
      <c r="Q33" s="193">
        <f>BD_Costos[[#This Row],[Factor Cons comb, lt/hrpr/hp]]*BD_Costos[[#This Row],[Potencia motor, hp]]</f>
        <v>15.14982362545344</v>
      </c>
    </row>
    <row r="34" spans="2:30" x14ac:dyDescent="0.3">
      <c r="B34" s="178" t="s">
        <v>190</v>
      </c>
      <c r="C34" s="178">
        <v>2002</v>
      </c>
      <c r="D34" s="178" t="s">
        <v>37</v>
      </c>
      <c r="E34" s="178" t="s">
        <v>178</v>
      </c>
      <c r="F34" s="178" t="s">
        <v>0</v>
      </c>
      <c r="G34" s="179">
        <v>152</v>
      </c>
      <c r="H34" s="180">
        <v>214794827.81297195</v>
      </c>
      <c r="I34" s="180">
        <v>42958965.562594384</v>
      </c>
      <c r="J34" s="193">
        <f>BD_Costos[[#This Row],[Valor Reventa (VR), $]]/BD_Costos[[#This Row],[Inv. Inicial (II), $]]</f>
        <v>0.19999999999999998</v>
      </c>
      <c r="K34" s="179">
        <v>5</v>
      </c>
      <c r="L34" s="180">
        <f t="shared" si="0"/>
        <v>34367172.450075515</v>
      </c>
      <c r="M34" s="181">
        <v>1</v>
      </c>
      <c r="N34" s="227">
        <v>9.9669892272719995E-2</v>
      </c>
      <c r="O34" s="193">
        <v>0.65</v>
      </c>
      <c r="P34" s="228">
        <v>0.36770000000000003</v>
      </c>
      <c r="Q34" s="193">
        <f>BD_Costos[[#This Row],[Factor Cons comb, lt/hrpr/hp]]*BD_Costos[[#This Row],[Potencia motor, hp]]</f>
        <v>15.14982362545344</v>
      </c>
    </row>
    <row r="35" spans="2:30" x14ac:dyDescent="0.3">
      <c r="B35" s="178" t="s">
        <v>190</v>
      </c>
      <c r="C35" s="178">
        <v>2002</v>
      </c>
      <c r="D35" s="178" t="s">
        <v>37</v>
      </c>
      <c r="E35" s="178" t="s">
        <v>178</v>
      </c>
      <c r="F35" s="178" t="s">
        <v>0</v>
      </c>
      <c r="G35" s="179">
        <v>174</v>
      </c>
      <c r="H35" s="180">
        <v>237989214.7336145</v>
      </c>
      <c r="I35" s="180">
        <v>47597842.946722902</v>
      </c>
      <c r="J35" s="193">
        <f>BD_Costos[[#This Row],[Valor Reventa (VR), $]]/BD_Costos[[#This Row],[Inv. Inicial (II), $]]</f>
        <v>0.2</v>
      </c>
      <c r="K35" s="179">
        <v>5</v>
      </c>
      <c r="L35" s="180">
        <f t="shared" si="0"/>
        <v>38078274.357378319</v>
      </c>
      <c r="M35" s="181">
        <v>1</v>
      </c>
      <c r="N35" s="227">
        <v>9.9669892272719995E-2</v>
      </c>
      <c r="O35" s="193">
        <v>0.65</v>
      </c>
      <c r="P35" s="228">
        <v>0.36770000000000003</v>
      </c>
      <c r="Q35" s="193">
        <f>BD_Costos[[#This Row],[Factor Cons comb, lt/hrpr/hp]]*BD_Costos[[#This Row],[Potencia motor, hp]]</f>
        <v>17.34256125545328</v>
      </c>
      <c r="U35" s="146"/>
    </row>
    <row r="36" spans="2:30" ht="15" thickBot="1" x14ac:dyDescent="0.35">
      <c r="B36" s="178" t="s">
        <v>190</v>
      </c>
      <c r="C36" s="178">
        <v>2002</v>
      </c>
      <c r="D36" s="178" t="s">
        <v>37</v>
      </c>
      <c r="E36" s="178" t="s">
        <v>178</v>
      </c>
      <c r="F36" s="178" t="s">
        <v>0</v>
      </c>
      <c r="G36" s="179">
        <v>174</v>
      </c>
      <c r="H36" s="180">
        <v>251313649.77313262</v>
      </c>
      <c r="I36" s="180">
        <v>50262729.954626516</v>
      </c>
      <c r="J36" s="193">
        <f>BD_Costos[[#This Row],[Valor Reventa (VR), $]]/BD_Costos[[#This Row],[Inv. Inicial (II), $]]</f>
        <v>0.19999999999999996</v>
      </c>
      <c r="K36" s="179">
        <v>5</v>
      </c>
      <c r="L36" s="180">
        <f t="shared" si="0"/>
        <v>40210183.963701226</v>
      </c>
      <c r="M36" s="181">
        <v>1</v>
      </c>
      <c r="N36" s="227">
        <v>9.9669892272719995E-2</v>
      </c>
      <c r="O36" s="193">
        <v>0.65</v>
      </c>
      <c r="P36" s="228">
        <v>0.36770000000000003</v>
      </c>
      <c r="Q36" s="193">
        <f>BD_Costos[[#This Row],[Factor Cons comb, lt/hrpr/hp]]*BD_Costos[[#This Row],[Potencia motor, hp]]</f>
        <v>17.34256125545328</v>
      </c>
    </row>
    <row r="37" spans="2:30" ht="15" thickBot="1" x14ac:dyDescent="0.35">
      <c r="B37" s="178" t="s">
        <v>190</v>
      </c>
      <c r="C37" s="178">
        <v>2002</v>
      </c>
      <c r="D37" s="178" t="s">
        <v>37</v>
      </c>
      <c r="E37" s="178" t="s">
        <v>178</v>
      </c>
      <c r="F37" s="178" t="s">
        <v>0</v>
      </c>
      <c r="G37" s="179">
        <v>210</v>
      </c>
      <c r="H37" s="180">
        <v>273644415.90417677</v>
      </c>
      <c r="I37" s="180">
        <v>54728883.180835351</v>
      </c>
      <c r="J37" s="193">
        <f>BD_Costos[[#This Row],[Valor Reventa (VR), $]]/BD_Costos[[#This Row],[Inv. Inicial (II), $]]</f>
        <v>0.19999999999999998</v>
      </c>
      <c r="K37" s="179">
        <v>5</v>
      </c>
      <c r="L37" s="180">
        <f t="shared" si="0"/>
        <v>43783106.54466828</v>
      </c>
      <c r="M37" s="181">
        <v>1</v>
      </c>
      <c r="N37" s="227">
        <v>9.9669892272719995E-2</v>
      </c>
      <c r="O37" s="193">
        <v>0.65</v>
      </c>
      <c r="P37" s="228">
        <v>0.36770000000000003</v>
      </c>
      <c r="Q37" s="193">
        <f>BD_Costos[[#This Row],[Factor Cons comb, lt/hrpr/hp]]*BD_Costos[[#This Row],[Potencia motor, hp]]</f>
        <v>20.930677377271198</v>
      </c>
      <c r="S37" s="183" t="s">
        <v>4</v>
      </c>
      <c r="T37" s="183" t="s">
        <v>317</v>
      </c>
      <c r="U37" s="183" t="s">
        <v>165</v>
      </c>
      <c r="V37" s="183" t="s">
        <v>170</v>
      </c>
      <c r="W37" s="183" t="s">
        <v>172</v>
      </c>
      <c r="X37" s="184" t="s">
        <v>173</v>
      </c>
      <c r="Y37" s="185" t="s">
        <v>309</v>
      </c>
      <c r="Z37" s="241" t="s">
        <v>263</v>
      </c>
      <c r="AA37" s="133" t="s">
        <v>176</v>
      </c>
      <c r="AB37" s="60" t="s">
        <v>307</v>
      </c>
      <c r="AC37" s="241" t="s">
        <v>264</v>
      </c>
      <c r="AD37" s="60" t="s">
        <v>57</v>
      </c>
    </row>
    <row r="38" spans="2:30" x14ac:dyDescent="0.3">
      <c r="B38" s="178" t="s">
        <v>190</v>
      </c>
      <c r="C38" s="178">
        <v>2002</v>
      </c>
      <c r="D38" s="178" t="s">
        <v>37</v>
      </c>
      <c r="E38" s="178" t="s">
        <v>178</v>
      </c>
      <c r="F38" s="178" t="s">
        <v>0</v>
      </c>
      <c r="G38" s="179">
        <v>170</v>
      </c>
      <c r="H38" s="180">
        <v>265254956.80522096</v>
      </c>
      <c r="I38" s="180">
        <v>53050991.361044191</v>
      </c>
      <c r="J38" s="193">
        <f>BD_Costos[[#This Row],[Valor Reventa (VR), $]]/BD_Costos[[#This Row],[Inv. Inicial (II), $]]</f>
        <v>0.19999999999999998</v>
      </c>
      <c r="K38" s="179">
        <v>5</v>
      </c>
      <c r="L38" s="180">
        <f t="shared" si="0"/>
        <v>42440793.088835351</v>
      </c>
      <c r="M38" s="181">
        <v>1</v>
      </c>
      <c r="N38" s="227">
        <v>9.9669892272719995E-2</v>
      </c>
      <c r="O38" s="193">
        <v>0.65</v>
      </c>
      <c r="P38" s="228">
        <v>0.36770000000000003</v>
      </c>
      <c r="Q38" s="193">
        <f>BD_Costos[[#This Row],[Factor Cons comb, lt/hrpr/hp]]*BD_Costos[[#This Row],[Potencia motor, hp]]</f>
        <v>16.943881686362399</v>
      </c>
      <c r="S38" s="119" t="s">
        <v>167</v>
      </c>
      <c r="T38" s="137" t="s">
        <v>182</v>
      </c>
      <c r="U38" s="186">
        <f>AVERAGEIFS( BD_Costos[Potencia motor, hp],  BD_Costos[Máquina], BD_Costos_MADEREO[[#This Row],[Máquina]])</f>
        <v>182.45454545454547</v>
      </c>
      <c r="V38" s="187">
        <f>AVERAGEIFS(  BD_Costos[Inv. Inicial (II), $],  BD_Costos[Máquina],    BD_Costos_MADEREO[[#This Row],[Máquina]])</f>
        <v>241525038.52059594</v>
      </c>
      <c r="W38" s="186">
        <f>AVERAGEIFS(  BD_Costos[Vida Útil, años],  BD_Costos[Máquina],     BD_Costos_MADEREO[[#This Row],[Máquina]])</f>
        <v>5</v>
      </c>
      <c r="X38" s="187">
        <f>AVERAGEIFS( BD_Costos[Depreciación ($/año)],
  BD_Costos[Máquina],    BD_Costos_MADEREO[[#This Row],[Máquina]],
  BD_Costos[Depreciación ($/año)], "&gt;0")</f>
        <v>38082800.435312375</v>
      </c>
      <c r="Y38" s="191">
        <f>AVERAGEIFS(BD_Costos[Mantención &amp; Reparación, %], BD_Costos[Máquina],      BD_Costos_MADEREO[[#This Row],[Máquina]])</f>
        <v>0.90303030303030252</v>
      </c>
      <c r="Z38" s="248">
        <f>AVERAGEIFS(  BD_Costos[Factor Cons comb, lt/hrpr/hp],   BD_Costos[Máquina],     BD_Costos_MADEREO[[#This Row],[Máquina]])</f>
        <v>0.10599152995199999</v>
      </c>
      <c r="AA38" s="191">
        <f>AVERAGEIFS(  BD_Costos[Factor Lubricantes, %],   BD_Costos[Máquina],     BD_Costos_MADEREO[[#This Row],[Máquina]])</f>
        <v>0.36769999999999986</v>
      </c>
      <c r="AB38" s="235">
        <f>AVERAGEIFS(  BD_Costos[Factor de Reventa, %],
  BD_Costos[Máquina],   BD_Costos_MADEREO[[#This Row],[Máquina]],
  BD_Costos[Productividad, %], "&gt;0"  )</f>
        <v>0.19242424242424255</v>
      </c>
      <c r="AC38" s="245">
        <f>AVERAGEIFS(   BD_Costos[Cons comb, lt/hrpr],   BD_Costos[Máquina],       BD_Costos_MADEREO[[#This Row],[Máquina]])</f>
        <v>19.229891862719995</v>
      </c>
      <c r="AD38" s="235">
        <f>AVERAGEIFS(  BD_Costos[Productividad, %],
  BD_Costos[Máquina],   BD_Costos_MADEREO[[#This Row],[Máquina]],
  BD_Costos[Productividad, %], "&gt;0"  )</f>
        <v>0.60909090909090868</v>
      </c>
    </row>
    <row r="39" spans="2:30" x14ac:dyDescent="0.3">
      <c r="B39" s="178" t="s">
        <v>190</v>
      </c>
      <c r="C39" s="178">
        <v>2002</v>
      </c>
      <c r="D39" s="178" t="s">
        <v>37</v>
      </c>
      <c r="E39" s="178" t="s">
        <v>178</v>
      </c>
      <c r="F39" s="178" t="s">
        <v>0</v>
      </c>
      <c r="G39" s="179">
        <v>200</v>
      </c>
      <c r="H39" s="180">
        <v>267722444.77550206</v>
      </c>
      <c r="I39" s="180">
        <v>53544488.955100417</v>
      </c>
      <c r="J39" s="193">
        <f>BD_Costos[[#This Row],[Valor Reventa (VR), $]]/BD_Costos[[#This Row],[Inv. Inicial (II), $]]</f>
        <v>0.2</v>
      </c>
      <c r="K39" s="179">
        <v>5</v>
      </c>
      <c r="L39" s="180">
        <f t="shared" si="0"/>
        <v>42835591.164080329</v>
      </c>
      <c r="M39" s="181">
        <v>1</v>
      </c>
      <c r="N39" s="227">
        <v>9.9669892272719995E-2</v>
      </c>
      <c r="O39" s="193">
        <v>0.65</v>
      </c>
      <c r="P39" s="228">
        <v>0.36770000000000003</v>
      </c>
      <c r="Q39" s="193">
        <f>BD_Costos[[#This Row],[Factor Cons comb, lt/hrpr/hp]]*BD_Costos[[#This Row],[Potencia motor, hp]]</f>
        <v>19.933978454544</v>
      </c>
      <c r="S39" s="121" t="s">
        <v>167</v>
      </c>
      <c r="T39" s="48" t="s">
        <v>183</v>
      </c>
      <c r="U39" s="49">
        <f>_xlfn.MINIFS( BD_Costos[Potencia motor, hp],  BD_Costos[Máquina],  BD_Costos_MADEREO[[#This Row],[Máquina]])</f>
        <v>116</v>
      </c>
      <c r="V39" s="232">
        <f>_xlfn.MINIFS(  BD_Costos[Inv. Inicial (II), $],  BD_Costos[Máquina],    BD_Costos_MADEREO[[#This Row],[Máquina]])</f>
        <v>165938566.00140569</v>
      </c>
      <c r="W39" s="49">
        <f>_xlfn.MINIFS(  BD_Costos[Vida Útil, años],  BD_Costos[Máquina],     BD_Costos_MADEREO[[#This Row],[Máquina]])</f>
        <v>5</v>
      </c>
      <c r="X39" s="232">
        <f>_xlfn.MINIFS( BD_Costos[Depreciación ($/año)],
  BD_Costos[Máquina],     BD_Costos_MADEREO[[#This Row],[Máquina]],
 BD_Costos[Depreciación ($/año)], "&gt;0" )</f>
        <v>26550170.560224913</v>
      </c>
      <c r="Y39" s="233">
        <f>_xlfn.MINIFS(BD_Costos[Mantención &amp; Reparación, %], BD_Costos[Máquina],    BD_Costos_MADEREO[[#This Row],[Máquina]])</f>
        <v>0.9</v>
      </c>
      <c r="Z39" s="249">
        <f>_xlfn.MINIFS(  BD_Costos[Factor Cons comb, lt/hrpr/hp],   BD_Costos[Máquina],     BD_Costos_MADEREO[[#This Row],[Máquina]])</f>
        <v>0.10599152995199999</v>
      </c>
      <c r="AA39" s="234">
        <f>_xlfn.MINIFS(  BD_Costos[Factor Lubricantes, %],   BD_Costos[Máquina],     BD_Costos_MADEREO[[#This Row],[Máquina]])</f>
        <v>0.36770000000000003</v>
      </c>
      <c r="AB39" s="236">
        <f>_xlfn.MINIFS(  BD_Costos[Factor de Reventa, %],
  BD_Costos[Máquina],   BD_Costos_MADEREO[[#This Row],[Máquina]],
  BD_Costos[Productividad, %], "&gt;0"  )</f>
        <v>0.15</v>
      </c>
      <c r="AC39" s="246">
        <f>_xlfn.MINIFS(  BD_Costos[Cons comb, lt/hrpr],   BD_Costos[Máquina],       BD_Costos_MADEREO[[#This Row],[Máquina]])</f>
        <v>12.295017474431999</v>
      </c>
      <c r="AD39" s="236">
        <f>_xlfn.MINIFS(  BD_Costos[Productividad, %],
  BD_Costos[Máquina],   BD_Costos_MADEREO[[#This Row],[Máquina]],
  BD_Costos[Productividad, %], "&gt;0"  )</f>
        <v>0.6</v>
      </c>
    </row>
    <row r="40" spans="2:30" ht="15" thickBot="1" x14ac:dyDescent="0.35">
      <c r="B40" s="178" t="s">
        <v>190</v>
      </c>
      <c r="C40" s="178">
        <v>2002</v>
      </c>
      <c r="D40" s="178" t="s">
        <v>37</v>
      </c>
      <c r="E40" s="178" t="s">
        <v>178</v>
      </c>
      <c r="F40" s="178" t="s">
        <v>0</v>
      </c>
      <c r="G40" s="179">
        <v>165</v>
      </c>
      <c r="H40" s="180">
        <v>224152775.94026309</v>
      </c>
      <c r="I40" s="180">
        <v>44830555.188052624</v>
      </c>
      <c r="J40" s="193">
        <f>BD_Costos[[#This Row],[Valor Reventa (VR), $]]/BD_Costos[[#This Row],[Inv. Inicial (II), $]]</f>
        <v>0.20000000000000004</v>
      </c>
      <c r="K40" s="179">
        <v>5</v>
      </c>
      <c r="L40" s="180">
        <f t="shared" si="0"/>
        <v>35864444.150442094</v>
      </c>
      <c r="M40" s="181">
        <v>1</v>
      </c>
      <c r="N40" s="227">
        <v>9.9669892272719995E-2</v>
      </c>
      <c r="O40" s="193">
        <v>0.65</v>
      </c>
      <c r="P40" s="228">
        <v>0.36770000000000003</v>
      </c>
      <c r="Q40" s="193">
        <f>BD_Costos[[#This Row],[Factor Cons comb, lt/hrpr/hp]]*BD_Costos[[#This Row],[Potencia motor, hp]]</f>
        <v>16.4455322249988</v>
      </c>
      <c r="S40" s="121" t="s">
        <v>167</v>
      </c>
      <c r="T40" s="48" t="s">
        <v>184</v>
      </c>
      <c r="U40" s="49">
        <f>_xlfn.MAXIFS( BD_Costos[Potencia motor, hp],  BD_Costos[Máquina], BD_Costos_MADEREO[[#This Row],[Máquina]])</f>
        <v>240</v>
      </c>
      <c r="V40" s="232">
        <f>_xlfn.MAXIFS(  BD_Costos[Inv. Inicial (II), $],  BD_Costos[Máquina],  BD_Costos_MADEREO[[#This Row],[Máquina]])</f>
        <v>346498231.97071213</v>
      </c>
      <c r="W40" s="49">
        <f>_xlfn.MAXIFS(  BD_Costos[Vida Útil, años],  BD_Costos[Máquina],    BD_Costos_MADEREO[[#This Row],[Máquina]])</f>
        <v>5</v>
      </c>
      <c r="X40" s="232">
        <f>_xlfn.MAXIFS( BD_Costos[Depreciación ($/año)],
  BD_Costos[Máquina],     BD_Costos_MADEREO[[#This Row],[Máquina]],
BD_Costos[Depreciación ($/año)], "&gt;0" )</f>
        <v>55439717.115313932</v>
      </c>
      <c r="Y40" s="233">
        <f>_xlfn.MAXIFS(BD_Costos[Mantención &amp; Reparación, %], BD_Costos[Máquina],      BD_Costos_MADEREO[[#This Row],[Máquina]])</f>
        <v>1</v>
      </c>
      <c r="Z40" s="249">
        <f>_xlfn.MAXIFS(  BD_Costos[Factor Cons comb, lt/hrpr/hp],   BD_Costos[Máquina],    BD_Costos_MADEREO[[#This Row],[Máquina]])</f>
        <v>0.10599152995199999</v>
      </c>
      <c r="AA40" s="234">
        <f>_xlfn.MAXIFS(  BD_Costos[Factor Lubricantes, %],   BD_Costos[Máquina],     BD_Costos_MADEREO[[#This Row],[Máquina]])</f>
        <v>0.36770000000000003</v>
      </c>
      <c r="AB40" s="236">
        <f>_xlfn.MAXIFS(  BD_Costos[Factor de Reventa, %],
  BD_Costos[Máquina],   BD_Costos_MADEREO[[#This Row],[Máquina]],
  BD_Costos[Productividad, %], "&gt;0"  )</f>
        <v>0.20000000000000004</v>
      </c>
      <c r="AC40" s="246">
        <f>_xlfn.MAXIFS(  BD_Costos[Cons comb, lt/hrpr],   BD_Costos[Máquina],       BD_Costos_MADEREO[[#This Row],[Máquina]])</f>
        <v>25.437967188479998</v>
      </c>
      <c r="AD40" s="236">
        <f>_xlfn.MAXIFS(  BD_Costos[Productividad, %],
  BD_Costos[Máquina],   BD_Costos_MADEREO[[#This Row],[Máquina]],
  BD_Costos[Productividad, %], "&gt;0"  )</f>
        <v>0.65</v>
      </c>
    </row>
    <row r="41" spans="2:30" x14ac:dyDescent="0.3">
      <c r="B41" s="178" t="s">
        <v>190</v>
      </c>
      <c r="C41" s="178">
        <v>2002</v>
      </c>
      <c r="D41" s="178" t="s">
        <v>37</v>
      </c>
      <c r="E41" s="178" t="s">
        <v>178</v>
      </c>
      <c r="F41" s="178" t="s">
        <v>0</v>
      </c>
      <c r="G41" s="179">
        <v>174</v>
      </c>
      <c r="H41" s="180">
        <v>227132267.66437757</v>
      </c>
      <c r="I41" s="180">
        <v>45426453.532875516</v>
      </c>
      <c r="J41" s="193">
        <f>BD_Costos[[#This Row],[Valor Reventa (VR), $]]/BD_Costos[[#This Row],[Inv. Inicial (II), $]]</f>
        <v>0.2</v>
      </c>
      <c r="K41" s="179">
        <v>5</v>
      </c>
      <c r="L41" s="180">
        <f t="shared" si="0"/>
        <v>36341162.826300412</v>
      </c>
      <c r="M41" s="181">
        <v>1</v>
      </c>
      <c r="N41" s="227">
        <v>9.9669892272719995E-2</v>
      </c>
      <c r="O41" s="193">
        <v>0.65</v>
      </c>
      <c r="P41" s="228">
        <v>0.36770000000000003</v>
      </c>
      <c r="Q41" s="193">
        <f>BD_Costos[[#This Row],[Factor Cons comb, lt/hrpr/hp]]*BD_Costos[[#This Row],[Potencia motor, hp]]</f>
        <v>17.34256125545328</v>
      </c>
      <c r="S41" s="119" t="s">
        <v>166</v>
      </c>
      <c r="T41" s="137" t="s">
        <v>182</v>
      </c>
      <c r="U41" s="186">
        <f>AVERAGEIFS( BD_Costos[Potencia motor, hp],  BD_Costos[Máquina], BD_Costos_MADEREO[[#This Row],[Máquina]])</f>
        <v>222.5</v>
      </c>
      <c r="V41" s="187">
        <f>AVERAGEIFS(  BD_Costos[Inv. Inicial (II), $],  BD_Costos[Máquina],     BD_Costos_MADEREO[[#This Row],[Máquina]])</f>
        <v>229976845.07147747</v>
      </c>
      <c r="W41" s="186">
        <f>AVERAGEIFS(  BD_Costos[Vida Útil, años],  BD_Costos[Máquina],    BD_Costos_MADEREO[[#This Row],[Máquina]])</f>
        <v>5.8</v>
      </c>
      <c r="X41" s="187">
        <f>AVERAGEIFS( BD_Costos[Depreciación ($/año)],
  BD_Costos[Máquina],     BD_Costos_MADEREO[[#This Row],[Máquina]],
BD_Costos[Depreciación ($/año)], "&gt;0" )</f>
        <v>36134332.553420395</v>
      </c>
      <c r="Y41" s="192">
        <f>AVERAGEIFS(BD_Costos[Mantención &amp; Reparación, %],
   BD_Costos[Máquina],     BD_Costos_MADEREO[[#This Row],[Máquina]],
   BD_Costos[Mantención &amp; Reparación, %],  "&gt;0")</f>
        <v>0.96666666666666667</v>
      </c>
      <c r="Z41" s="248">
        <f>AVERAGEIFS(  BD_Costos[Factor Cons comb, lt/hrpr/hp],   BD_Costos[Máquina],    BD_Costos_MADEREO[[#This Row],[Máquina]])</f>
        <v>0.10599152995199999</v>
      </c>
      <c r="AA41" s="192">
        <f>AVERAGEIFS(  BD_Costos[Factor Lubricantes, %],   BD_Costos[Máquina],      BD_Costos_MADEREO[[#This Row],[Máquina]])</f>
        <v>0.34513333333333335</v>
      </c>
      <c r="AB41" s="239">
        <f>AVERAGEIFS(  BD_Costos[Factor de Reventa, %],
  BD_Costos[Máquina],   BD_Costos_MADEREO[[#This Row],[Máquina]],
  BD_Costos[Productividad, %], "&gt;0"  )</f>
        <v>0.16666666666666666</v>
      </c>
      <c r="AC41" s="245">
        <f>AVERAGEIFS(   BD_Costos[Cons comb, lt/hrpr],   BD_Costos[Máquina],       BD_Costos_MADEREO[[#This Row],[Máquina]])</f>
        <v>25.371865191680001</v>
      </c>
      <c r="AD41" s="239">
        <f>AVERAGEIFS(  BD_Costos[Productividad, %],
  BD_Costos[Máquina],   BD_Costos_MADEREO[[#This Row],[Máquina]],
  BD_Costos[Productividad, %], "&gt;0"  )</f>
        <v>0.68333333333333324</v>
      </c>
    </row>
    <row r="42" spans="2:30" x14ac:dyDescent="0.3">
      <c r="B42" s="178" t="s">
        <v>190</v>
      </c>
      <c r="C42" s="178">
        <v>2002</v>
      </c>
      <c r="D42" s="178" t="s">
        <v>37</v>
      </c>
      <c r="E42" s="178" t="s">
        <v>178</v>
      </c>
      <c r="F42" s="178" t="s">
        <v>0</v>
      </c>
      <c r="G42" s="179">
        <v>215</v>
      </c>
      <c r="H42" s="180">
        <v>250474703.86323699</v>
      </c>
      <c r="I42" s="180">
        <v>50094940.772647403</v>
      </c>
      <c r="J42" s="193">
        <f>BD_Costos[[#This Row],[Valor Reventa (VR), $]]/BD_Costos[[#This Row],[Inv. Inicial (II), $]]</f>
        <v>0.2</v>
      </c>
      <c r="K42" s="179">
        <v>5</v>
      </c>
      <c r="L42" s="180">
        <f t="shared" si="0"/>
        <v>40075952.618117914</v>
      </c>
      <c r="M42" s="181">
        <v>1</v>
      </c>
      <c r="N42" s="227">
        <v>9.9669892272719995E-2</v>
      </c>
      <c r="O42" s="193">
        <v>0.65</v>
      </c>
      <c r="P42" s="228">
        <v>0.36770000000000003</v>
      </c>
      <c r="Q42" s="193">
        <f>BD_Costos[[#This Row],[Factor Cons comb, lt/hrpr/hp]]*BD_Costos[[#This Row],[Potencia motor, hp]]</f>
        <v>21.429026838634798</v>
      </c>
      <c r="S42" s="121" t="s">
        <v>166</v>
      </c>
      <c r="T42" s="48" t="s">
        <v>183</v>
      </c>
      <c r="U42" s="31">
        <f>_xlfn.MINIFS( BD_Costos[Potencia motor, hp],  BD_Costos[Máquina],  BD_Costos_MADEREO[[#This Row],[Máquina]])</f>
        <v>170</v>
      </c>
      <c r="V42" s="232">
        <f>_xlfn.MINIFS(  BD_Costos[Inv. Inicial (II), $],  BD_Costos[Máquina],   BD_Costos_MADEREO[[#This Row],[Máquina]])</f>
        <v>105180016.76190487</v>
      </c>
      <c r="W42" s="31">
        <f>_xlfn.MINIFS(  BD_Costos[Vida Útil, años],  BD_Costos[Máquina],     BD_Costos_MADEREO[[#This Row],[Máquina]])</f>
        <v>4</v>
      </c>
      <c r="X42" s="232">
        <f>_xlfn.MINIFS( BD_Costos[Depreciación ($/año)],
  BD_Costos[Máquina],     BD_Costos_MADEREO[[#This Row],[Máquina]],
BD_Costos[Depreciación ($/año)], "&gt;0" )</f>
        <v>12930637.5</v>
      </c>
      <c r="Y42" s="233">
        <f>_xlfn.MINIFS(BD_Costos[Mantención &amp; Reparación, %], BD_Costos[Máquina],      BD_Costos_MADEREO[[#This Row],[Máquina]])</f>
        <v>0.9</v>
      </c>
      <c r="Z42" s="249">
        <f>_xlfn.MINIFS(  BD_Costos[Factor Cons comb, lt/hrpr/hp],   BD_Costos[Máquina],     BD_Costos_MADEREO[[#This Row],[Máquina]])</f>
        <v>0.10599152995199999</v>
      </c>
      <c r="AA42" s="233">
        <f>_xlfn.MINIFS(  BD_Costos[Factor Lubricantes, %],   BD_Costos[Máquina],     BD_Costos_MADEREO[[#This Row],[Máquina]])</f>
        <v>0.3</v>
      </c>
      <c r="AB42" s="240">
        <f>_xlfn.MINIFS(  BD_Costos[Factor de Reventa, %],
  BD_Costos[Máquina],   BD_Costos_MADEREO[[#This Row],[Máquina]],
  BD_Costos[Productividad, %], "&gt;0"  )</f>
        <v>0.1</v>
      </c>
      <c r="AC42" s="246">
        <f>_xlfn.MINIFS(  BD_Costos[Cons comb, lt/hrpr],   BD_Costos[Máquina],       BD_Costos_MADEREO[[#This Row],[Máquina]])</f>
        <v>21</v>
      </c>
      <c r="AD42" s="240">
        <f>_xlfn.MINIFS(  BD_Costos[Productividad, %],
  BD_Costos[Máquina],   BD_Costos_MADEREO[[#This Row],[Máquina]],
  BD_Costos[Productividad, %], "&gt;0"  )</f>
        <v>0.65</v>
      </c>
    </row>
    <row r="43" spans="2:30" ht="15" thickBot="1" x14ac:dyDescent="0.35">
      <c r="B43" s="178" t="s">
        <v>190</v>
      </c>
      <c r="C43" s="178">
        <v>2002</v>
      </c>
      <c r="D43" s="178" t="s">
        <v>37</v>
      </c>
      <c r="E43" s="178" t="s">
        <v>178</v>
      </c>
      <c r="F43" s="178" t="s">
        <v>0</v>
      </c>
      <c r="G43" s="179">
        <v>260</v>
      </c>
      <c r="H43" s="180">
        <v>339274660.93771416</v>
      </c>
      <c r="I43" s="180">
        <v>67854932.187542841</v>
      </c>
      <c r="J43" s="193">
        <f>BD_Costos[[#This Row],[Valor Reventa (VR), $]]/BD_Costos[[#This Row],[Inv. Inicial (II), $]]</f>
        <v>0.20000000000000004</v>
      </c>
      <c r="K43" s="179">
        <v>5</v>
      </c>
      <c r="L43" s="180">
        <f t="shared" si="0"/>
        <v>54283945.750034258</v>
      </c>
      <c r="M43" s="181">
        <v>1</v>
      </c>
      <c r="N43" s="227">
        <v>9.9669892272719995E-2</v>
      </c>
      <c r="O43" s="193">
        <v>0.6</v>
      </c>
      <c r="P43" s="228">
        <v>0.36770000000000003</v>
      </c>
      <c r="Q43" s="193">
        <f>BD_Costos[[#This Row],[Factor Cons comb, lt/hrpr/hp]]*BD_Costos[[#This Row],[Potencia motor, hp]]</f>
        <v>25.914171990907199</v>
      </c>
      <c r="S43" s="121" t="s">
        <v>166</v>
      </c>
      <c r="T43" s="48" t="s">
        <v>184</v>
      </c>
      <c r="U43" s="31">
        <f>_xlfn.MAXIFS( BD_Costos[Potencia motor, hp],  BD_Costos[Máquina], BD_Costos_MADEREO[[#This Row],[Máquina]])</f>
        <v>260</v>
      </c>
      <c r="V43" s="232">
        <f>_xlfn.MAXIFS(  BD_Costos[Inv. Inicial (II), $],  BD_Costos[Máquina],  BD_Costos_MADEREO[[#This Row],[Máquina]])</f>
        <v>369181848.8815065</v>
      </c>
      <c r="W43" s="31">
        <f>_xlfn.MAXIFS(  BD_Costos[Vida Útil, años],  BD_Costos[Máquina],     BD_Costos_MADEREO[[#This Row],[Máquina]])</f>
        <v>10</v>
      </c>
      <c r="X43" s="232">
        <f>_xlfn.MAXIFS( BD_Costos[Depreciación ($/año)],
  BD_Costos[Máquina],     BD_Costos_MADEREO[[#This Row],[Máquina]],
BD_Costos[Depreciación ($/año)], "&gt;0" )</f>
        <v>59069095.821041033</v>
      </c>
      <c r="Y43" s="233">
        <f>_xlfn.MAXIFS(BD_Costos[Mantención &amp; Reparación, %], BD_Costos[Máquina],      BD_Costos_MADEREO[[#This Row],[Máquina]])</f>
        <v>1</v>
      </c>
      <c r="Z43" s="249">
        <f>_xlfn.MAXIFS(  BD_Costos[Factor Cons comb, lt/hrpr/hp],   BD_Costos[Máquina],     BD_Costos_MADEREO[[#This Row],[Máquina]])</f>
        <v>0.10599152995199999</v>
      </c>
      <c r="AA43" s="233">
        <f>_xlfn.MAXIFS(  BD_Costos[Factor Lubricantes, %],   BD_Costos[Máquina],      BD_Costos_MADEREO[[#This Row],[Máquina]])</f>
        <v>0.36770000000000003</v>
      </c>
      <c r="AB43" s="240">
        <f>_xlfn.MAXIFS(  BD_Costos[Factor de Reventa, %],
  BD_Costos[Máquina],   BD_Costos_MADEREO[[#This Row],[Máquina]],
  BD_Costos[Productividad, %], "&gt;0"  )</f>
        <v>0.2</v>
      </c>
      <c r="AC43" s="246">
        <f>_xlfn.MAXIFS(  BD_Costos[Cons comb, lt/hrpr],   BD_Costos[Máquina],       BD_Costos_MADEREO[[#This Row],[Máquina]])</f>
        <v>27.557797787519998</v>
      </c>
      <c r="AD43" s="240">
        <f>_xlfn.MAXIFS(  BD_Costos[Productividad, %],
  BD_Costos[Máquina],   BD_Costos_MADEREO[[#This Row],[Máquina]],
  BD_Costos[Productividad, %], "&gt;0"  )</f>
        <v>0.75</v>
      </c>
    </row>
    <row r="44" spans="2:30" x14ac:dyDescent="0.3">
      <c r="B44" s="178" t="s">
        <v>190</v>
      </c>
      <c r="C44" s="178">
        <v>2002</v>
      </c>
      <c r="D44" s="178" t="s">
        <v>37</v>
      </c>
      <c r="E44" s="178" t="s">
        <v>178</v>
      </c>
      <c r="F44" s="178" t="s">
        <v>0</v>
      </c>
      <c r="G44" s="179">
        <v>260</v>
      </c>
      <c r="H44" s="180">
        <v>354248611.68536514</v>
      </c>
      <c r="I44" s="180">
        <v>70849722.337073043</v>
      </c>
      <c r="J44" s="193">
        <f>BD_Costos[[#This Row],[Valor Reventa (VR), $]]/BD_Costos[[#This Row],[Inv. Inicial (II), $]]</f>
        <v>0.20000000000000004</v>
      </c>
      <c r="K44" s="179">
        <v>5</v>
      </c>
      <c r="L44" s="180">
        <f t="shared" si="0"/>
        <v>56679777.869658425</v>
      </c>
      <c r="M44" s="181">
        <v>1</v>
      </c>
      <c r="N44" s="227">
        <v>9.9669892272719995E-2</v>
      </c>
      <c r="O44" s="193">
        <v>0.6</v>
      </c>
      <c r="P44" s="228">
        <v>0.36770000000000003</v>
      </c>
      <c r="Q44" s="193">
        <f>BD_Costos[[#This Row],[Factor Cons comb, lt/hrpr/hp]]*BD_Costos[[#This Row],[Potencia motor, hp]]</f>
        <v>25.914171990907199</v>
      </c>
      <c r="S44" s="119" t="s">
        <v>185</v>
      </c>
      <c r="T44" s="137" t="s">
        <v>182</v>
      </c>
      <c r="U44" s="186">
        <f>AVERAGEIFS( BD_Costos[Potencia motor, hp],  BD_Costos[Máquina],  BD_Costos_MADEREO[[#This Row],[Máquina]])</f>
        <v>176</v>
      </c>
      <c r="V44" s="187">
        <f>AVERAGEIFS(  BD_Costos[Inv. Inicial (II), $],  BD_Costos[Máquina],     BD_Costos_MADEREO[[#This Row],[Máquina]])</f>
        <v>302661813.00999182</v>
      </c>
      <c r="W44" s="186">
        <f>AVERAGEIFS(  BD_Costos[Vida Útil, años],  BD_Costos[Máquina],    BD_Costos_MADEREO[[#This Row],[Máquina]])</f>
        <v>6.666666666666667</v>
      </c>
      <c r="X44" s="187">
        <f>AVERAGEIFS( BD_Costos[Depreciación ($/año)],
     BD_Costos[Máquina],     BD_Costos_MADEREO[[#This Row],[Máquina]],
     BD_Costos[Depreciación ($/año)], "&gt;0" )</f>
        <v>31862838.30609696</v>
      </c>
      <c r="Y44" s="192">
        <f>AVERAGEIFS(BD_Costos[Mantención &amp; Reparación, %], BD_Costos[Máquina],      BD_Costos_MADEREO[[#This Row],[Máquina]])</f>
        <v>0.7</v>
      </c>
      <c r="Z44" s="248" t="e">
        <f>AVERAGEIFS(  BD_Costos[Factor Cons comb, lt/hrpr/hp],   BD_Costos[Máquina],     BD_Costos_MADEREO[[#This Row],[Máquina]])</f>
        <v>#DIV/0!</v>
      </c>
      <c r="AA44" s="192">
        <f>AVERAGEIFS(  BD_Costos[Factor Lubricantes, %],
       BD_Costos[Máquina],     BD_Costos_MADEREO[[#This Row],[Máquina]],
       BD_Costos[Factor Lubricantes, %], "&gt;0")</f>
        <v>0.51</v>
      </c>
      <c r="AB44" s="239">
        <f>AVERAGEIFS(  BD_Costos[Factor de Reventa, %],
  BD_Costos[Máquina],   BD_Costos_MADEREO[[#This Row],[Máquina]],
  BD_Costos[Productividad, %], "&gt;0"  )</f>
        <v>0.14630769167618507</v>
      </c>
      <c r="AC44" s="245">
        <f>AVERAGEIFS(   BD_Costos[Cons comb, lt/hrpr],   BD_Costos[Máquina],       BD_Costos_MADEREO[[#This Row],[Máquina]])</f>
        <v>17.125</v>
      </c>
      <c r="AD44" s="239">
        <f>AVERAGEIFS(  BD_Costos[Productividad, %],
  BD_Costos[Máquina],   BD_Costos_MADEREO[[#This Row],[Máquina]],
  BD_Costos[Productividad, %], "&gt;0"  )</f>
        <v>0.7</v>
      </c>
    </row>
    <row r="45" spans="2:30" x14ac:dyDescent="0.3">
      <c r="B45" s="178" t="s">
        <v>190</v>
      </c>
      <c r="C45" s="178">
        <v>2002</v>
      </c>
      <c r="D45" s="178" t="s">
        <v>37</v>
      </c>
      <c r="E45" s="178" t="s">
        <v>178</v>
      </c>
      <c r="F45" s="178" t="s">
        <v>0</v>
      </c>
      <c r="G45" s="179">
        <v>205</v>
      </c>
      <c r="H45" s="180">
        <v>370351438.17941976</v>
      </c>
      <c r="I45" s="180">
        <v>74070287.635883957</v>
      </c>
      <c r="J45" s="193">
        <f>BD_Costos[[#This Row],[Valor Reventa (VR), $]]/BD_Costos[[#This Row],[Inv. Inicial (II), $]]</f>
        <v>0.2</v>
      </c>
      <c r="K45" s="179">
        <v>5</v>
      </c>
      <c r="L45" s="180">
        <f t="shared" si="0"/>
        <v>59256230.108707167</v>
      </c>
      <c r="M45" s="181">
        <v>0.75</v>
      </c>
      <c r="N45" s="227">
        <v>9.9669892272719995E-2</v>
      </c>
      <c r="O45" s="193">
        <v>0.6</v>
      </c>
      <c r="P45" s="228">
        <v>0.36770000000000003</v>
      </c>
      <c r="Q45" s="193">
        <f>BD_Costos[[#This Row],[Factor Cons comb, lt/hrpr/hp]]*BD_Costos[[#This Row],[Potencia motor, hp]]</f>
        <v>20.432327915907599</v>
      </c>
      <c r="S45" s="121" t="s">
        <v>185</v>
      </c>
      <c r="T45" s="48" t="s">
        <v>183</v>
      </c>
      <c r="U45" s="31">
        <f>_xlfn.MINIFS( BD_Costos[Potencia motor, hp],  BD_Costos[Máquina],  BD_Costos_MADEREO[[#This Row],[Máquina]])</f>
        <v>174</v>
      </c>
      <c r="V45" s="232">
        <f>_xlfn.MINIFS(  BD_Costos[Inv. Inicial (II), $],  BD_Costos[Máquina],   BD_Costos_MADEREO[[#This Row],[Máquina]])</f>
        <v>65737510.47619053</v>
      </c>
      <c r="W45" s="31">
        <f>_xlfn.MINIFS(  BD_Costos[Vida Útil, años],  BD_Costos[Máquina],    BD_Costos_MADEREO[[#This Row],[Máquina]])</f>
        <v>5</v>
      </c>
      <c r="X45" s="232">
        <f>_xlfn.MINIFS( BD_Costos[Depreciación ($/año)],
  BD_Costos[Máquina],     BD_Costos_MADEREO[[#This Row],[Máquina]],
BD_Costos[Depreciación ($/año)], "&gt;0" )</f>
        <v>10518001.676190484</v>
      </c>
      <c r="Y45" s="233">
        <f>_xlfn.MINIFS(BD_Costos[Mantención &amp; Reparación, %], BD_Costos[Máquina],     BD_Costos_MADEREO[[#This Row],[Máquina]])</f>
        <v>0.5</v>
      </c>
      <c r="Z45" s="249">
        <f>_xlfn.MINIFS(  BD_Costos[Factor Cons comb, lt/hrpr/hp],   BD_Costos[Máquina],     BD_Costos_MADEREO[[#This Row],[Máquina]])</f>
        <v>0</v>
      </c>
      <c r="AA45" s="233">
        <f>_xlfn.MINIFS(  BD_Costos[Factor Lubricantes, %],   BD_Costos[Máquina],      BD_Costos_MADEREO[[#This Row],[Máquina]])</f>
        <v>0.3</v>
      </c>
      <c r="AB45" s="240">
        <f>_xlfn.MINIFS(  BD_Costos[Factor de Reventa, %],
  BD_Costos[Máquina],   BD_Costos_MADEREO[[#This Row],[Máquina]],
  BD_Costos[Productividad, %], "&gt;0"  )</f>
        <v>9.9999998736985535E-2</v>
      </c>
      <c r="AC45" s="246">
        <f>_xlfn.MINIFS(  BD_Costos[Cons comb, lt/hrpr],   BD_Costos[Máquina],       BD_Costos_MADEREO[[#This Row],[Máquina]])</f>
        <v>13.25</v>
      </c>
      <c r="AD45" s="240">
        <f>_xlfn.MINIFS(  BD_Costos[Productividad, %],
  BD_Costos[Máquina],   BD_Costos_MADEREO[[#This Row],[Máquina]],
  BD_Costos[Productividad, %], "&gt;0"  )</f>
        <v>0.65</v>
      </c>
    </row>
    <row r="46" spans="2:30" ht="15" thickBot="1" x14ac:dyDescent="0.35">
      <c r="B46" s="178" t="s">
        <v>190</v>
      </c>
      <c r="C46" s="178">
        <v>2002</v>
      </c>
      <c r="D46" s="178" t="s">
        <v>37</v>
      </c>
      <c r="E46" s="178" t="s">
        <v>178</v>
      </c>
      <c r="F46" s="178" t="s">
        <v>0</v>
      </c>
      <c r="G46" s="179">
        <v>205</v>
      </c>
      <c r="H46" s="180">
        <v>414766221.64447999</v>
      </c>
      <c r="I46" s="180">
        <v>82953244.328896001</v>
      </c>
      <c r="J46" s="193">
        <f>BD_Costos[[#This Row],[Valor Reventa (VR), $]]/BD_Costos[[#This Row],[Inv. Inicial (II), $]]</f>
        <v>0.2</v>
      </c>
      <c r="K46" s="179">
        <v>5</v>
      </c>
      <c r="L46" s="180">
        <f t="shared" si="0"/>
        <v>66362595.463116802</v>
      </c>
      <c r="M46" s="181">
        <v>0.75</v>
      </c>
      <c r="N46" s="227">
        <v>9.9669892272719995E-2</v>
      </c>
      <c r="O46" s="193">
        <v>0.6</v>
      </c>
      <c r="P46" s="228">
        <v>0.36770000000000003</v>
      </c>
      <c r="Q46" s="193">
        <f>BD_Costos[[#This Row],[Factor Cons comb, lt/hrpr/hp]]*BD_Costos[[#This Row],[Potencia motor, hp]]</f>
        <v>20.432327915907599</v>
      </c>
      <c r="S46" s="121" t="s">
        <v>185</v>
      </c>
      <c r="T46" s="48" t="s">
        <v>184</v>
      </c>
      <c r="U46" s="31">
        <f>_xlfn.MAXIFS( BD_Costos[Potencia motor, hp],  BD_Costos[Máquina], BD_Costos_MADEREO[[#This Row],[Máquina]])</f>
        <v>177</v>
      </c>
      <c r="V46" s="232">
        <f>_xlfn.MAXIFS(  BD_Costos[Inv. Inicial (II), $],  BD_Costos[Máquina],    BD_Costos_MADEREO[[#This Row],[Máquina]])</f>
        <v>712580909</v>
      </c>
      <c r="W46" s="31">
        <f>_xlfn.MAXIFS(  BD_Costos[Vida Útil, años],  BD_Costos[Máquina],    BD_Costos_MADEREO[[#This Row],[Máquina]])</f>
        <v>10</v>
      </c>
      <c r="X46" s="232">
        <f>_xlfn.MAXIFS( BD_Costos[Depreciación ($/año)],
  BD_Costos[Máquina],     BD_Costos_MADEREO[[#This Row],[Máquina]],
BD_Costos[Depreciación ($/año)], "&gt;0" )</f>
        <v>64132281.899999999</v>
      </c>
      <c r="Y46" s="233">
        <f>_xlfn.MAXIFS(BD_Costos[Mantención &amp; Reparación, %], BD_Costos[Máquina],     BD_Costos_MADEREO[[#This Row],[Máquina]])</f>
        <v>0.9</v>
      </c>
      <c r="Z46" s="249">
        <f>_xlfn.MAXIFS(  BD_Costos[Factor Cons comb, lt/hrpr/hp],   BD_Costos[Máquina],     BD_Costos_MADEREO[[#This Row],[Máquina]])</f>
        <v>0</v>
      </c>
      <c r="AA46" s="233">
        <f>_xlfn.MAXIFS(  BD_Costos[Factor Lubricantes, %],   BD_Costos[Máquina],      BD_Costos_MADEREO[[#This Row],[Máquina]])</f>
        <v>0.72</v>
      </c>
      <c r="AB46" s="240">
        <f>_xlfn.MAXIFS(  BD_Costos[Factor de Reventa, %],
  BD_Costos[Máquina],   BD_Costos_MADEREO[[#This Row],[Máquina]],
  BD_Costos[Productividad, %], "&gt;0"  )</f>
        <v>0.1926153846153846</v>
      </c>
      <c r="AC46" s="246">
        <f>_xlfn.MAXIFS(  BD_Costos[Cons comb, lt/hrpr],   BD_Costos[Máquina],       BD_Costos_MADEREO[[#This Row],[Máquina]])</f>
        <v>21</v>
      </c>
      <c r="AD46" s="240">
        <f>_xlfn.MAXIFS(  BD_Costos[Productividad, %],
  BD_Costos[Máquina],   BD_Costos_MADEREO[[#This Row],[Máquina]],
  BD_Costos[Productividad, %], "&gt;0"  )</f>
        <v>0.75</v>
      </c>
    </row>
    <row r="47" spans="2:30" x14ac:dyDescent="0.3">
      <c r="B47" s="178" t="s">
        <v>190</v>
      </c>
      <c r="C47" s="178">
        <v>2002</v>
      </c>
      <c r="D47" s="178" t="s">
        <v>37</v>
      </c>
      <c r="E47" s="178" t="s">
        <v>178</v>
      </c>
      <c r="F47" s="178" t="s">
        <v>0</v>
      </c>
      <c r="G47" s="179">
        <v>230</v>
      </c>
      <c r="H47" s="180">
        <v>436985950.81686157</v>
      </c>
      <c r="I47" s="180">
        <v>87397190.163372323</v>
      </c>
      <c r="J47" s="193">
        <f>BD_Costos[[#This Row],[Valor Reventa (VR), $]]/BD_Costos[[#This Row],[Inv. Inicial (II), $]]</f>
        <v>0.2</v>
      </c>
      <c r="K47" s="179">
        <v>5</v>
      </c>
      <c r="L47" s="180">
        <f t="shared" si="0"/>
        <v>69917752.130697846</v>
      </c>
      <c r="M47" s="181">
        <v>0.75</v>
      </c>
      <c r="N47" s="227">
        <v>9.9669892272719995E-2</v>
      </c>
      <c r="O47" s="193">
        <v>0.6</v>
      </c>
      <c r="P47" s="228">
        <v>0.36770000000000003</v>
      </c>
      <c r="Q47" s="193">
        <f>BD_Costos[[#This Row],[Factor Cons comb, lt/hrpr/hp]]*BD_Costos[[#This Row],[Potencia motor, hp]]</f>
        <v>22.924075222725598</v>
      </c>
      <c r="S47" s="119" t="s">
        <v>20</v>
      </c>
      <c r="T47" s="137" t="s">
        <v>182</v>
      </c>
      <c r="U47" s="186">
        <f>AVERAGEIFS( BD_Costos[Potencia motor, hp],  BD_Costos[Máquina], BD_Costos_MADEREO[[#This Row],[Máquina]])</f>
        <v>163.57142857142858</v>
      </c>
      <c r="V47" s="187">
        <f>AVERAGEIFS(  BD_Costos[Inv. Inicial (II), $],  BD_Costos[Máquina],    BD_Costos_MADEREO[[#This Row],[Máquina]])</f>
        <v>342920110.04009342</v>
      </c>
      <c r="W47" s="186">
        <f>AVERAGEIFS(  BD_Costos[Vida Útil, años],  BD_Costos[Máquina],     BD_Costos_MADEREO[[#This Row],[Máquina]])</f>
        <v>6</v>
      </c>
      <c r="X47" s="187">
        <f>AVERAGEIFS( BD_Costos[Depreciación ($/año)],
  BD_Costos[Máquina],     BD_Costos_MADEREO[[#This Row],[Máquina]],
BD_Costos[Depreciación ($/año)], "&gt;0" )</f>
        <v>45722681.338679112</v>
      </c>
      <c r="Y47" s="191">
        <f>AVERAGEIFS(BD_Costos[Mantención &amp; Reparación, %], BD_Costos[Máquina],      BD_Costos_MADEREO[[#This Row],[Máquina]])</f>
        <v>0.29999999999999993</v>
      </c>
      <c r="Z47" s="248">
        <f>AVERAGEIFS(  BD_Costos[Factor Cons comb, lt/hrpr/hp],   BD_Costos[Máquina],    BD_Costos_MADEREO[[#This Row],[Máquina]])</f>
        <v>9.4181045185919979E-2</v>
      </c>
      <c r="AA47" s="191">
        <f>AVERAGEIFS(  BD_Costos[Factor Lubricantes, %],   BD_Costos[Máquina],      BD_Costos_MADEREO[[#This Row],[Máquina]])</f>
        <v>0.36770000000000008</v>
      </c>
      <c r="AB47" s="235">
        <f>AVERAGEIFS(  BD_Costos[Factor de Reventa, %],
  BD_Costos[Máquina],   BD_Costos_MADEREO[[#This Row],[Máquina]],
  BD_Costos[Productividad, %], "&gt;0"  )</f>
        <v>0.2</v>
      </c>
      <c r="AC47" s="245">
        <f>AVERAGEIFS(   BD_Costos[Cons comb, lt/hrpr],   BD_Costos[Máquina],       BD_Costos_MADEREO[[#This Row],[Máquina]])</f>
        <v>15.405328105411199</v>
      </c>
      <c r="AD47" s="235">
        <f>AVERAGEIFS(  BD_Costos[Productividad, %],
  BD_Costos[Máquina],   BD_Costos_MADEREO[[#This Row],[Máquina]],
  BD_Costos[Productividad, %], "&gt;0"  )</f>
        <v>0.8</v>
      </c>
    </row>
    <row r="48" spans="2:30" x14ac:dyDescent="0.3">
      <c r="B48" s="178" t="s">
        <v>190</v>
      </c>
      <c r="C48" s="178">
        <v>2002</v>
      </c>
      <c r="D48" s="178" t="s">
        <v>37</v>
      </c>
      <c r="E48" s="178" t="s">
        <v>178</v>
      </c>
      <c r="F48" s="178" t="s">
        <v>0</v>
      </c>
      <c r="G48" s="179">
        <v>250</v>
      </c>
      <c r="H48" s="180">
        <v>433358743.5005483</v>
      </c>
      <c r="I48" s="180">
        <v>86671748.700109661</v>
      </c>
      <c r="J48" s="193">
        <f>BD_Costos[[#This Row],[Valor Reventa (VR), $]]/BD_Costos[[#This Row],[Inv. Inicial (II), $]]</f>
        <v>0.2</v>
      </c>
      <c r="K48" s="179">
        <v>5</v>
      </c>
      <c r="L48" s="180">
        <f t="shared" si="0"/>
        <v>69337398.960087731</v>
      </c>
      <c r="M48" s="181">
        <v>0.75</v>
      </c>
      <c r="N48" s="227">
        <v>9.9669892272719995E-2</v>
      </c>
      <c r="O48" s="193">
        <v>0.6</v>
      </c>
      <c r="P48" s="228">
        <v>0.36770000000000003</v>
      </c>
      <c r="Q48" s="193">
        <f>BD_Costos[[#This Row],[Factor Cons comb, lt/hrpr/hp]]*BD_Costos[[#This Row],[Potencia motor, hp]]</f>
        <v>24.917473068179998</v>
      </c>
      <c r="S48" s="121" t="s">
        <v>20</v>
      </c>
      <c r="T48" s="48" t="s">
        <v>183</v>
      </c>
      <c r="U48" s="31">
        <f>_xlfn.MINIFS( BD_Costos[Potencia motor, hp],  BD_Costos[Máquina],  BD_Costos_MADEREO[[#This Row],[Máquina]])</f>
        <v>110</v>
      </c>
      <c r="V48" s="232">
        <f>_xlfn.MINIFS(  BD_Costos[Inv. Inicial (II), $],  BD_Costos[Máquina],   BD_Costos_MADEREO[[#This Row],[Máquina]])</f>
        <v>233917859.58265066</v>
      </c>
      <c r="W48" s="31">
        <f>_xlfn.MINIFS(  BD_Costos[Vida Útil, años],  BD_Costos[Máquina],     BD_Costos_MADEREO[[#This Row],[Máquina]])</f>
        <v>6</v>
      </c>
      <c r="X48" s="232">
        <f>_xlfn.MINIFS( BD_Costos[Depreciación ($/año)],
  BD_Costos[Máquina],     BD_Costos_MADEREO[[#This Row],[Máquina]],
BD_Costos[Depreciación ($/año)], "&gt;0" )</f>
        <v>31189047.94435342</v>
      </c>
      <c r="Y48" s="234">
        <f>_xlfn.MINIFS(BD_Costos[Mantención &amp; Reparación, %], BD_Costos[Máquina],     BD_Costos_MADEREO[[#This Row],[Máquina]])</f>
        <v>0.3</v>
      </c>
      <c r="Z48" s="249">
        <f>_xlfn.MINIFS(  BD_Costos[Factor Cons comb, lt/hrpr/hp],   BD_Costos[Máquina],     BD_Costos_MADEREO[[#This Row],[Máquina]])</f>
        <v>9.4181045185919993E-2</v>
      </c>
      <c r="AA48" s="234">
        <f>_xlfn.MINIFS(  BD_Costos[Factor Lubricantes, %],   BD_Costos[Máquina],      BD_Costos_MADEREO[[#This Row],[Máquina]])</f>
        <v>0.36770000000000003</v>
      </c>
      <c r="AB48" s="236">
        <f>_xlfn.MINIFS(  BD_Costos[Factor de Reventa, %],
  BD_Costos[Máquina],   BD_Costos_MADEREO[[#This Row],[Máquina]],
  BD_Costos[Productividad, %], "&gt;0"  )</f>
        <v>0.19999999999999998</v>
      </c>
      <c r="AC48" s="246">
        <f>_xlfn.MINIFS(  BD_Costos[Cons comb, lt/hrpr],   BD_Costos[Máquina],       BD_Costos_MADEREO[[#This Row],[Máquina]])</f>
        <v>10.359914970451198</v>
      </c>
      <c r="AD48" s="236">
        <f>_xlfn.MINIFS(  BD_Costos[Productividad, %],
  BD_Costos[Máquina],   BD_Costos_MADEREO[[#This Row],[Máquina]],
  BD_Costos[Productividad, %], "&gt;0"  )</f>
        <v>0.8</v>
      </c>
    </row>
    <row r="49" spans="2:30" ht="15" thickBot="1" x14ac:dyDescent="0.35">
      <c r="B49" s="178" t="s">
        <v>190</v>
      </c>
      <c r="C49" s="178">
        <v>2002</v>
      </c>
      <c r="D49" s="178" t="s">
        <v>37</v>
      </c>
      <c r="E49" s="178" t="s">
        <v>178</v>
      </c>
      <c r="F49" s="178" t="s">
        <v>0</v>
      </c>
      <c r="G49" s="179">
        <v>200</v>
      </c>
      <c r="H49" s="180">
        <v>238132329.03589082</v>
      </c>
      <c r="I49" s="180">
        <v>47626465.807178169</v>
      </c>
      <c r="J49" s="193">
        <f>BD_Costos[[#This Row],[Valor Reventa (VR), $]]/BD_Costos[[#This Row],[Inv. Inicial (II), $]]</f>
        <v>0.20000000000000004</v>
      </c>
      <c r="K49" s="179">
        <v>5</v>
      </c>
      <c r="L49" s="180">
        <f t="shared" si="0"/>
        <v>38101172.645742528</v>
      </c>
      <c r="M49" s="181">
        <v>0.75</v>
      </c>
      <c r="N49" s="227">
        <v>9.9669892272719995E-2</v>
      </c>
      <c r="O49" s="193">
        <v>0.6</v>
      </c>
      <c r="P49" s="228">
        <v>0.36770000000000003</v>
      </c>
      <c r="Q49" s="193">
        <f>BD_Costos[[#This Row],[Factor Cons comb, lt/hrpr/hp]]*BD_Costos[[#This Row],[Potencia motor, hp]]</f>
        <v>19.933978454544</v>
      </c>
      <c r="S49" s="123" t="s">
        <v>20</v>
      </c>
      <c r="T49" s="138" t="s">
        <v>184</v>
      </c>
      <c r="U49" s="189">
        <f>_xlfn.MAXIFS( BD_Costos[Potencia motor, hp],  BD_Costos[Máquina],  BD_Costos_MADEREO[[#This Row],[Máquina]])</f>
        <v>260</v>
      </c>
      <c r="V49" s="190">
        <f>_xlfn.MAXIFS(  BD_Costos[Inv. Inicial (II), $],  BD_Costos[Máquina],   BD_Costos_MADEREO[[#This Row],[Máquina]])</f>
        <v>517375475.14463544</v>
      </c>
      <c r="W49" s="189">
        <f>_xlfn.MAXIFS(  BD_Costos[Vida Útil, años],  BD_Costos[Máquina],     BD_Costos_MADEREO[[#This Row],[Máquina]])</f>
        <v>6</v>
      </c>
      <c r="X49" s="190">
        <f>_xlfn.MAXIFS( BD_Costos[Depreciación ($/año)],
  BD_Costos[Máquina],     BD_Costos_MADEREO[[#This Row],[Máquina]],
BD_Costos[Depreciación ($/año)], "&gt;0" )</f>
        <v>68983396.685951397</v>
      </c>
      <c r="Y49" s="237">
        <f>_xlfn.MAXIFS(BD_Costos[Mantención &amp; Reparación, %], BD_Costos[Máquina],    BD_Costos_MADEREO[[#This Row],[Máquina]])</f>
        <v>0.3</v>
      </c>
      <c r="Z49" s="250">
        <f>_xlfn.MAXIFS(  BD_Costos[Factor Cons comb, lt/hrpr/hp],   BD_Costos[Máquina],     BD_Costos_MADEREO[[#This Row],[Máquina]])</f>
        <v>9.4181045185919993E-2</v>
      </c>
      <c r="AA49" s="237">
        <f>_xlfn.MAXIFS(  BD_Costos[Factor Lubricantes, %],   BD_Costos[Máquina],     BD_Costos_MADEREO[[#This Row],[Máquina]])</f>
        <v>0.36770000000000003</v>
      </c>
      <c r="AB49" s="238">
        <f>_xlfn.MAXIFS(  BD_Costos[Factor de Reventa, %],
  BD_Costos[Máquina],   BD_Costos_MADEREO[[#This Row],[Máquina]],
  BD_Costos[Productividad, %], "&gt;0"  )</f>
        <v>0.2</v>
      </c>
      <c r="AC49" s="247">
        <f>_xlfn.MAXIFS(  BD_Costos[Cons comb, lt/hrpr],   BD_Costos[Máquina],       BD_Costos_MADEREO[[#This Row],[Máquina]])</f>
        <v>24.487071748339197</v>
      </c>
      <c r="AD49" s="238">
        <f>_xlfn.MAXIFS(  BD_Costos[Productividad, %],
  BD_Costos[Máquina],   BD_Costos_MADEREO[[#This Row],[Máquina]],
  BD_Costos[Productividad, %], "&gt;0"  )</f>
        <v>0.8</v>
      </c>
    </row>
    <row r="50" spans="2:30" x14ac:dyDescent="0.3">
      <c r="B50" s="178" t="s">
        <v>190</v>
      </c>
      <c r="C50" s="178">
        <v>2002</v>
      </c>
      <c r="D50" s="178" t="s">
        <v>37</v>
      </c>
      <c r="E50" s="178" t="s">
        <v>178</v>
      </c>
      <c r="F50" s="178" t="s">
        <v>0</v>
      </c>
      <c r="G50" s="179">
        <v>215</v>
      </c>
      <c r="H50" s="180">
        <v>275143414.84612256</v>
      </c>
      <c r="I50" s="180">
        <v>55028682.969224513</v>
      </c>
      <c r="J50" s="193">
        <f>BD_Costos[[#This Row],[Valor Reventa (VR), $]]/BD_Costos[[#This Row],[Inv. Inicial (II), $]]</f>
        <v>0.2</v>
      </c>
      <c r="K50" s="179">
        <v>5</v>
      </c>
      <c r="L50" s="180">
        <f t="shared" si="0"/>
        <v>44022946.375379607</v>
      </c>
      <c r="M50" s="181">
        <v>0.75</v>
      </c>
      <c r="N50" s="227">
        <v>9.9669892272719995E-2</v>
      </c>
      <c r="O50" s="193">
        <v>0.6</v>
      </c>
      <c r="P50" s="228">
        <v>0.36770000000000003</v>
      </c>
      <c r="Q50" s="193">
        <f>BD_Costos[[#This Row],[Factor Cons comb, lt/hrpr/hp]]*BD_Costos[[#This Row],[Potencia motor, hp]]</f>
        <v>21.429026838634798</v>
      </c>
      <c r="S50" s="119" t="s">
        <v>250</v>
      </c>
      <c r="T50" s="137" t="s">
        <v>182</v>
      </c>
      <c r="U50" s="186" t="e">
        <f>AVERAGEIFS( BD_Costos[Potencia motor, hp],  BD_Costos[Máquina], BD_Costos_MADEREO[[#This Row],[Máquina]])</f>
        <v>#DIV/0!</v>
      </c>
      <c r="V50" s="187" t="e">
        <f>AVERAGEIFS(  BD_Costos[Inv. Inicial (II), $],  BD_Costos[Máquina],    BD_Costos_MADEREO[[#This Row],[Máquina]])</f>
        <v>#DIV/0!</v>
      </c>
      <c r="W50" s="186" t="e">
        <f>AVERAGEIFS(  BD_Costos[Vida Útil, años],  BD_Costos[Máquina],     BD_Costos_MADEREO[[#This Row],[Máquina]])</f>
        <v>#DIV/0!</v>
      </c>
      <c r="X50" s="187" t="e">
        <f>AVERAGEIFS( BD_Costos[Depreciación ($/año)],
  BD_Costos[Máquina],     BD_Costos_MADEREO[[#This Row],[Máquina]],
BD_Costos[Depreciación ($/año)], "&gt;0" )</f>
        <v>#DIV/0!</v>
      </c>
      <c r="Y50" s="191" t="e">
        <f>AVERAGEIFS(BD_Costos[Mantención &amp; Reparación, %], BD_Costos[Máquina],      BD_Costos_MADEREO[[#This Row],[Máquina]])</f>
        <v>#DIV/0!</v>
      </c>
      <c r="Z50" s="248" t="e">
        <f>AVERAGEIFS(  BD_Costos[Factor Cons comb, lt/hrpr/hp],   BD_Costos[Máquina],    BD_Costos_MADEREO[[#This Row],[Máquina]])</f>
        <v>#DIV/0!</v>
      </c>
      <c r="AA50" s="191" t="e">
        <f>AVERAGEIFS(  BD_Costos[Factor Lubricantes, %],   BD_Costos[Máquina],      BD_Costos_MADEREO[[#This Row],[Máquina]])</f>
        <v>#DIV/0!</v>
      </c>
      <c r="AB50" s="235" t="e">
        <f>AVERAGEIFS(  BD_Costos[Factor de Reventa, %],
  BD_Costos[Máquina],   BD_Costos_MADEREO[[#This Row],[Máquina]],
  BD_Costos[Productividad, %], "&gt;0"  )</f>
        <v>#DIV/0!</v>
      </c>
      <c r="AC50" s="245" t="e">
        <f>AVERAGEIFS(   BD_Costos[Cons comb, lt/hrpr],   BD_Costos[Máquina],       BD_Costos_MADEREO[[#This Row],[Máquina]])</f>
        <v>#DIV/0!</v>
      </c>
      <c r="AD50" s="235" t="e">
        <f>AVERAGEIFS(  BD_Costos[Productividad, %],
  BD_Costos[Máquina],   BD_Costos_MADEREO[[#This Row],[Máquina]],
  BD_Costos[Productividad, %], "&gt;0"  )</f>
        <v>#DIV/0!</v>
      </c>
    </row>
    <row r="51" spans="2:30" x14ac:dyDescent="0.3">
      <c r="B51" s="178" t="s">
        <v>190</v>
      </c>
      <c r="C51" s="178">
        <v>2002</v>
      </c>
      <c r="D51" s="178" t="s">
        <v>37</v>
      </c>
      <c r="E51" s="178" t="s">
        <v>178</v>
      </c>
      <c r="F51" s="178" t="s">
        <v>0</v>
      </c>
      <c r="G51" s="179">
        <v>260</v>
      </c>
      <c r="H51" s="180">
        <v>306999918.28643703</v>
      </c>
      <c r="I51" s="180">
        <v>61399983.657287404</v>
      </c>
      <c r="J51" s="193">
        <f>BD_Costos[[#This Row],[Valor Reventa (VR), $]]/BD_Costos[[#This Row],[Inv. Inicial (II), $]]</f>
        <v>0.19999999999999998</v>
      </c>
      <c r="K51" s="179">
        <v>5</v>
      </c>
      <c r="L51" s="180">
        <f t="shared" si="0"/>
        <v>49119986.925829925</v>
      </c>
      <c r="M51" s="181">
        <v>0.75</v>
      </c>
      <c r="N51" s="227">
        <v>9.9669892272719995E-2</v>
      </c>
      <c r="O51" s="193">
        <v>0.6</v>
      </c>
      <c r="P51" s="228">
        <v>0.36770000000000003</v>
      </c>
      <c r="Q51" s="193">
        <f>BD_Costos[[#This Row],[Factor Cons comb, lt/hrpr/hp]]*BD_Costos[[#This Row],[Potencia motor, hp]]</f>
        <v>25.914171990907199</v>
      </c>
      <c r="S51" s="294" t="s">
        <v>250</v>
      </c>
      <c r="T51" s="48" t="s">
        <v>183</v>
      </c>
      <c r="U51" s="31">
        <f>_xlfn.MINIFS( BD_Costos[Potencia motor, hp],  BD_Costos[Máquina],  BD_Costos_MADEREO[[#This Row],[Máquina]])</f>
        <v>0</v>
      </c>
      <c r="V51" s="232">
        <f>_xlfn.MINIFS(  BD_Costos[Inv. Inicial (II), $],  BD_Costos[Máquina],   BD_Costos_MADEREO[[#This Row],[Máquina]])</f>
        <v>0</v>
      </c>
      <c r="W51" s="31">
        <f>_xlfn.MINIFS(  BD_Costos[Vida Útil, años],  BD_Costos[Máquina],     BD_Costos_MADEREO[[#This Row],[Máquina]])</f>
        <v>0</v>
      </c>
      <c r="X51" s="232">
        <f>_xlfn.MINIFS( BD_Costos[Depreciación ($/año)],
  BD_Costos[Máquina],     BD_Costos_MADEREO[[#This Row],[Máquina]],
BD_Costos[Depreciación ($/año)], "&gt;0" )</f>
        <v>0</v>
      </c>
      <c r="Y51" s="234">
        <f>_xlfn.MINIFS(BD_Costos[Mantención &amp; Reparación, %], BD_Costos[Máquina],     BD_Costos_MADEREO[[#This Row],[Máquina]])</f>
        <v>0</v>
      </c>
      <c r="Z51" s="249">
        <f>_xlfn.MINIFS(  BD_Costos[Factor Cons comb, lt/hrpr/hp],   BD_Costos[Máquina],     BD_Costos_MADEREO[[#This Row],[Máquina]])</f>
        <v>0</v>
      </c>
      <c r="AA51" s="234">
        <f>_xlfn.MINIFS(  BD_Costos[Factor Lubricantes, %],   BD_Costos[Máquina],      BD_Costos_MADEREO[[#This Row],[Máquina]])</f>
        <v>0</v>
      </c>
      <c r="AB51" s="236">
        <f>_xlfn.MINIFS(  BD_Costos[Factor de Reventa, %],
  BD_Costos[Máquina],   BD_Costos_MADEREO[[#This Row],[Máquina]],
  BD_Costos[Productividad, %], "&gt;0"  )</f>
        <v>0</v>
      </c>
      <c r="AC51" s="246">
        <f>_xlfn.MINIFS(  BD_Costos[Cons comb, lt/hrpr],   BD_Costos[Máquina],       BD_Costos_MADEREO[[#This Row],[Máquina]])</f>
        <v>0</v>
      </c>
      <c r="AD51" s="236">
        <f>_xlfn.MINIFS(  BD_Costos[Productividad, %],
  BD_Costos[Máquina],   BD_Costos_MADEREO[[#This Row],[Máquina]],
  BD_Costos[Productividad, %], "&gt;0"  )</f>
        <v>0</v>
      </c>
    </row>
    <row r="52" spans="2:30" ht="15" thickBot="1" x14ac:dyDescent="0.35">
      <c r="B52" s="178" t="s">
        <v>190</v>
      </c>
      <c r="C52" s="178">
        <v>2002</v>
      </c>
      <c r="D52" s="178" t="s">
        <v>37</v>
      </c>
      <c r="E52" s="178" t="s">
        <v>178</v>
      </c>
      <c r="F52" s="178" t="s">
        <v>0</v>
      </c>
      <c r="G52" s="179">
        <v>260</v>
      </c>
      <c r="H52" s="180">
        <v>318709382.44940615</v>
      </c>
      <c r="I52" s="180">
        <v>63741876.489881225</v>
      </c>
      <c r="J52" s="193">
        <f>BD_Costos[[#This Row],[Valor Reventa (VR), $]]/BD_Costos[[#This Row],[Inv. Inicial (II), $]]</f>
        <v>0.19999999999999998</v>
      </c>
      <c r="K52" s="179">
        <v>5</v>
      </c>
      <c r="L52" s="180">
        <f t="shared" ref="L52:L83" si="1">(H52-I52)/K52</f>
        <v>50993501.191904984</v>
      </c>
      <c r="M52" s="181">
        <v>0.75</v>
      </c>
      <c r="N52" s="227">
        <v>9.9669892272719995E-2</v>
      </c>
      <c r="O52" s="193">
        <v>0.6</v>
      </c>
      <c r="P52" s="228">
        <v>0.36770000000000003</v>
      </c>
      <c r="Q52" s="193">
        <f>BD_Costos[[#This Row],[Factor Cons comb, lt/hrpr/hp]]*BD_Costos[[#This Row],[Potencia motor, hp]]</f>
        <v>25.914171990907199</v>
      </c>
      <c r="S52" s="295" t="s">
        <v>250</v>
      </c>
      <c r="T52" s="138" t="s">
        <v>184</v>
      </c>
      <c r="U52" s="189">
        <f>_xlfn.MAXIFS( BD_Costos[Potencia motor, hp],  BD_Costos[Máquina],  BD_Costos_MADEREO[[#This Row],[Máquina]])</f>
        <v>0</v>
      </c>
      <c r="V52" s="190">
        <f>_xlfn.MAXIFS(  BD_Costos[Inv. Inicial (II), $],  BD_Costos[Máquina],   BD_Costos_MADEREO[[#This Row],[Máquina]])</f>
        <v>0</v>
      </c>
      <c r="W52" s="189">
        <f>_xlfn.MAXIFS(  BD_Costos[Vida Útil, años],  BD_Costos[Máquina],     BD_Costos_MADEREO[[#This Row],[Máquina]])</f>
        <v>0</v>
      </c>
      <c r="X52" s="190">
        <f>_xlfn.MAXIFS( BD_Costos[Depreciación ($/año)],
  BD_Costos[Máquina],     BD_Costos_MADEREO[[#This Row],[Máquina]],
BD_Costos[Depreciación ($/año)], "&gt;0" )</f>
        <v>0</v>
      </c>
      <c r="Y52" s="237">
        <f>_xlfn.MAXIFS(BD_Costos[Mantención &amp; Reparación, %], BD_Costos[Máquina],    BD_Costos_MADEREO[[#This Row],[Máquina]])</f>
        <v>0</v>
      </c>
      <c r="Z52" s="250">
        <f>_xlfn.MAXIFS(  BD_Costos[Factor Cons comb, lt/hrpr/hp],   BD_Costos[Máquina],     BD_Costos_MADEREO[[#This Row],[Máquina]])</f>
        <v>0</v>
      </c>
      <c r="AA52" s="237">
        <f>_xlfn.MAXIFS(  BD_Costos[Factor Lubricantes, %],   BD_Costos[Máquina],     BD_Costos_MADEREO[[#This Row],[Máquina]])</f>
        <v>0</v>
      </c>
      <c r="AB52" s="238">
        <f>_xlfn.MAXIFS(  BD_Costos[Factor de Reventa, %],
  BD_Costos[Máquina],   BD_Costos_MADEREO[[#This Row],[Máquina]],
  BD_Costos[Productividad, %], "&gt;0"  )</f>
        <v>0</v>
      </c>
      <c r="AC52" s="247">
        <f>_xlfn.MAXIFS(  BD_Costos[Cons comb, lt/hrpr],   BD_Costos[Máquina],       BD_Costos_MADEREO[[#This Row],[Máquina]])</f>
        <v>0</v>
      </c>
      <c r="AD52" s="238">
        <f>_xlfn.MAXIFS(  BD_Costos[Productividad, %],
  BD_Costos[Máquina],   BD_Costos_MADEREO[[#This Row],[Máquina]],
  BD_Costos[Productividad, %], "&gt;0"  )</f>
        <v>0</v>
      </c>
    </row>
    <row r="53" spans="2:30" x14ac:dyDescent="0.3">
      <c r="B53" s="178" t="s">
        <v>190</v>
      </c>
      <c r="C53" s="178">
        <v>2002</v>
      </c>
      <c r="D53" s="178" t="s">
        <v>37</v>
      </c>
      <c r="E53" s="178" t="s">
        <v>178</v>
      </c>
      <c r="F53" s="178" t="s">
        <v>0</v>
      </c>
      <c r="G53" s="179">
        <v>260</v>
      </c>
      <c r="H53" s="180">
        <v>342033312.48848844</v>
      </c>
      <c r="I53" s="180">
        <v>68406662.497697696</v>
      </c>
      <c r="J53" s="193">
        <f>BD_Costos[[#This Row],[Valor Reventa (VR), $]]/BD_Costos[[#This Row],[Inv. Inicial (II), $]]</f>
        <v>0.20000000000000004</v>
      </c>
      <c r="K53" s="179">
        <v>5</v>
      </c>
      <c r="L53" s="180">
        <f t="shared" si="1"/>
        <v>54725329.998158142</v>
      </c>
      <c r="M53" s="181">
        <v>0.75</v>
      </c>
      <c r="N53" s="227">
        <v>9.9669892272719995E-2</v>
      </c>
      <c r="O53" s="193">
        <v>0.6</v>
      </c>
      <c r="P53" s="228">
        <v>0.36770000000000003</v>
      </c>
      <c r="Q53" s="193">
        <f>BD_Costos[[#This Row],[Factor Cons comb, lt/hrpr/hp]]*BD_Costos[[#This Row],[Potencia motor, hp]]</f>
        <v>25.914171990907199</v>
      </c>
    </row>
    <row r="54" spans="2:30" x14ac:dyDescent="0.3">
      <c r="B54" s="178" t="s">
        <v>190</v>
      </c>
      <c r="C54" s="178">
        <v>2002</v>
      </c>
      <c r="D54" s="178" t="s">
        <v>37</v>
      </c>
      <c r="E54" s="178" t="s">
        <v>178</v>
      </c>
      <c r="F54" s="178" t="s">
        <v>0</v>
      </c>
      <c r="G54" s="179">
        <v>230</v>
      </c>
      <c r="H54" s="180">
        <v>423856447.32699567</v>
      </c>
      <c r="I54" s="180">
        <v>84771289.465399146</v>
      </c>
      <c r="J54" s="193">
        <f>BD_Costos[[#This Row],[Valor Reventa (VR), $]]/BD_Costos[[#This Row],[Inv. Inicial (II), $]]</f>
        <v>0.20000000000000004</v>
      </c>
      <c r="K54" s="179">
        <v>5</v>
      </c>
      <c r="L54" s="180">
        <f t="shared" si="1"/>
        <v>67817031.572319299</v>
      </c>
      <c r="M54" s="181">
        <v>0.75</v>
      </c>
      <c r="N54" s="227">
        <v>9.9669892272719995E-2</v>
      </c>
      <c r="O54" s="193">
        <v>0.6</v>
      </c>
      <c r="P54" s="228">
        <v>0.36770000000000003</v>
      </c>
      <c r="Q54" s="193">
        <f>BD_Costos[[#This Row],[Factor Cons comb, lt/hrpr/hp]]*BD_Costos[[#This Row],[Potencia motor, hp]]</f>
        <v>22.924075222725598</v>
      </c>
    </row>
    <row r="55" spans="2:30" x14ac:dyDescent="0.3">
      <c r="B55" s="178" t="s">
        <v>190</v>
      </c>
      <c r="C55" s="178">
        <v>2002</v>
      </c>
      <c r="D55" s="178" t="s">
        <v>37</v>
      </c>
      <c r="E55" s="178" t="s">
        <v>178</v>
      </c>
      <c r="F55" s="178" t="s">
        <v>0</v>
      </c>
      <c r="G55" s="179">
        <v>230</v>
      </c>
      <c r="H55" s="180">
        <v>534142055.90269566</v>
      </c>
      <c r="I55" s="180">
        <v>106828411.18053915</v>
      </c>
      <c r="J55" s="193">
        <f>BD_Costos[[#This Row],[Valor Reventa (VR), $]]/BD_Costos[[#This Row],[Inv. Inicial (II), $]]</f>
        <v>0.20000000000000004</v>
      </c>
      <c r="K55" s="179">
        <v>5</v>
      </c>
      <c r="L55" s="180">
        <f t="shared" si="1"/>
        <v>85462728.944431305</v>
      </c>
      <c r="M55" s="181">
        <v>0.75</v>
      </c>
      <c r="N55" s="227">
        <v>9.9669892272719995E-2</v>
      </c>
      <c r="O55" s="193">
        <v>0.6</v>
      </c>
      <c r="P55" s="228">
        <v>0.36770000000000003</v>
      </c>
      <c r="Q55" s="193">
        <f>BD_Costos[[#This Row],[Factor Cons comb, lt/hrpr/hp]]*BD_Costos[[#This Row],[Potencia motor, hp]]</f>
        <v>22.924075222725598</v>
      </c>
    </row>
    <row r="56" spans="2:30" x14ac:dyDescent="0.3">
      <c r="B56" s="178" t="s">
        <v>190</v>
      </c>
      <c r="C56" s="178">
        <v>2002</v>
      </c>
      <c r="D56" s="178" t="s">
        <v>8</v>
      </c>
      <c r="E56" s="178" t="s">
        <v>178</v>
      </c>
      <c r="F56" s="178" t="s">
        <v>191</v>
      </c>
      <c r="G56" s="179">
        <v>163</v>
      </c>
      <c r="H56" s="180">
        <v>537036419.29183543</v>
      </c>
      <c r="I56" s="180">
        <v>107407283.85836709</v>
      </c>
      <c r="J56" s="193">
        <f>BD_Costos[[#This Row],[Valor Reventa (VR), $]]/BD_Costos[[#This Row],[Inv. Inicial (II), $]]</f>
        <v>0.2</v>
      </c>
      <c r="K56" s="179">
        <v>6</v>
      </c>
      <c r="L56" s="180">
        <f t="shared" si="1"/>
        <v>71604855.905578062</v>
      </c>
      <c r="M56" s="181">
        <v>0.3</v>
      </c>
      <c r="N56" s="231">
        <v>9.9669892272719995E-2</v>
      </c>
      <c r="O56" s="193">
        <v>0.8</v>
      </c>
      <c r="P56" s="228">
        <v>0.36770000000000003</v>
      </c>
      <c r="Q56" s="193">
        <f>BD_Costos[[#This Row],[Factor Cons comb, lt/hrpr/hp]]*BD_Costos[[#This Row],[Potencia motor, hp]]</f>
        <v>16.24619244045336</v>
      </c>
    </row>
    <row r="57" spans="2:30" x14ac:dyDescent="0.3">
      <c r="B57" s="178" t="s">
        <v>190</v>
      </c>
      <c r="C57" s="178">
        <v>2002</v>
      </c>
      <c r="D57" s="178" t="s">
        <v>8</v>
      </c>
      <c r="E57" s="178" t="s">
        <v>178</v>
      </c>
      <c r="F57" s="178" t="s">
        <v>191</v>
      </c>
      <c r="G57" s="179">
        <v>221</v>
      </c>
      <c r="H57" s="180">
        <v>594349996.12154031</v>
      </c>
      <c r="I57" s="180">
        <v>118869999.22430807</v>
      </c>
      <c r="J57" s="193">
        <f>BD_Costos[[#This Row],[Valor Reventa (VR), $]]/BD_Costos[[#This Row],[Inv. Inicial (II), $]]</f>
        <v>0.2</v>
      </c>
      <c r="K57" s="179">
        <v>6</v>
      </c>
      <c r="L57" s="180">
        <f t="shared" si="1"/>
        <v>79246666.149538711</v>
      </c>
      <c r="M57" s="181">
        <v>0.3</v>
      </c>
      <c r="N57" s="231">
        <v>9.9669892272719995E-2</v>
      </c>
      <c r="O57" s="193">
        <v>0.8</v>
      </c>
      <c r="P57" s="228">
        <v>0.36770000000000003</v>
      </c>
      <c r="Q57" s="193">
        <f>BD_Costos[[#This Row],[Factor Cons comb, lt/hrpr/hp]]*BD_Costos[[#This Row],[Potencia motor, hp]]</f>
        <v>22.027046192271118</v>
      </c>
    </row>
    <row r="58" spans="2:30" x14ac:dyDescent="0.3">
      <c r="B58" s="178" t="s">
        <v>190</v>
      </c>
      <c r="C58" s="178">
        <v>2002</v>
      </c>
      <c r="D58" s="178" t="s">
        <v>8</v>
      </c>
      <c r="E58" s="178" t="s">
        <v>178</v>
      </c>
      <c r="F58" s="178" t="s">
        <v>191</v>
      </c>
      <c r="G58" s="179">
        <v>210</v>
      </c>
      <c r="H58" s="180">
        <v>508302521.87791181</v>
      </c>
      <c r="I58" s="180">
        <v>101660504.37558235</v>
      </c>
      <c r="J58" s="193">
        <f>BD_Costos[[#This Row],[Valor Reventa (VR), $]]/BD_Costos[[#This Row],[Inv. Inicial (II), $]]</f>
        <v>0.19999999999999998</v>
      </c>
      <c r="K58" s="179">
        <v>6</v>
      </c>
      <c r="L58" s="180">
        <f t="shared" si="1"/>
        <v>67773669.583721578</v>
      </c>
      <c r="M58" s="181">
        <v>0.3</v>
      </c>
      <c r="N58" s="231">
        <v>9.9669892272719995E-2</v>
      </c>
      <c r="O58" s="193">
        <v>0.8</v>
      </c>
      <c r="P58" s="228">
        <v>0.36770000000000003</v>
      </c>
      <c r="Q58" s="193">
        <f>BD_Costos[[#This Row],[Factor Cons comb, lt/hrpr/hp]]*BD_Costos[[#This Row],[Potencia motor, hp]]</f>
        <v>20.930677377271198</v>
      </c>
    </row>
    <row r="59" spans="2:30" ht="15" thickBot="1" x14ac:dyDescent="0.35">
      <c r="B59" s="178" t="s">
        <v>190</v>
      </c>
      <c r="C59" s="178">
        <v>2002</v>
      </c>
      <c r="D59" s="178" t="s">
        <v>8</v>
      </c>
      <c r="E59" s="178" t="s">
        <v>178</v>
      </c>
      <c r="F59" s="178" t="s">
        <v>191</v>
      </c>
      <c r="G59" s="179">
        <v>210</v>
      </c>
      <c r="H59" s="180">
        <v>549016073.38755035</v>
      </c>
      <c r="I59" s="180">
        <v>109803214.67751007</v>
      </c>
      <c r="J59" s="193">
        <f>BD_Costos[[#This Row],[Valor Reventa (VR), $]]/BD_Costos[[#This Row],[Inv. Inicial (II), $]]</f>
        <v>0.19999999999999998</v>
      </c>
      <c r="K59" s="179">
        <v>6</v>
      </c>
      <c r="L59" s="180">
        <f t="shared" si="1"/>
        <v>73202143.118340045</v>
      </c>
      <c r="M59" s="181">
        <v>0.3</v>
      </c>
      <c r="N59" s="231">
        <v>9.9669892272719995E-2</v>
      </c>
      <c r="O59" s="193">
        <v>0.8</v>
      </c>
      <c r="P59" s="228">
        <v>0.36770000000000003</v>
      </c>
      <c r="Q59" s="193">
        <f>BD_Costos[[#This Row],[Factor Cons comb, lt/hrpr/hp]]*BD_Costos[[#This Row],[Potencia motor, hp]]</f>
        <v>20.930677377271198</v>
      </c>
      <c r="S59" s="79" t="s">
        <v>4</v>
      </c>
      <c r="T59" s="79" t="s">
        <v>317</v>
      </c>
      <c r="U59" s="79" t="s">
        <v>165</v>
      </c>
      <c r="V59" s="79" t="s">
        <v>170</v>
      </c>
      <c r="W59" s="79" t="s">
        <v>172</v>
      </c>
      <c r="X59" s="79" t="s">
        <v>173</v>
      </c>
      <c r="Y59" s="185" t="s">
        <v>309</v>
      </c>
      <c r="Z59" s="241" t="s">
        <v>263</v>
      </c>
      <c r="AA59" s="79" t="s">
        <v>176</v>
      </c>
      <c r="AB59" s="79" t="s">
        <v>307</v>
      </c>
      <c r="AC59" s="241" t="s">
        <v>264</v>
      </c>
      <c r="AD59" s="79" t="s">
        <v>57</v>
      </c>
    </row>
    <row r="60" spans="2:30" x14ac:dyDescent="0.3">
      <c r="B60" s="178" t="s">
        <v>190</v>
      </c>
      <c r="C60" s="178">
        <v>2002</v>
      </c>
      <c r="D60" s="178" t="s">
        <v>8</v>
      </c>
      <c r="E60" s="178" t="s">
        <v>178</v>
      </c>
      <c r="F60" s="178" t="s">
        <v>191</v>
      </c>
      <c r="G60" s="179">
        <v>120</v>
      </c>
      <c r="H60" s="180">
        <v>394798075.24498004</v>
      </c>
      <c r="I60" s="180">
        <v>78959615.048996001</v>
      </c>
      <c r="J60" s="193">
        <f>BD_Costos[[#This Row],[Valor Reventa (VR), $]]/BD_Costos[[#This Row],[Inv. Inicial (II), $]]</f>
        <v>0.19999999999999998</v>
      </c>
      <c r="K60" s="179">
        <v>6</v>
      </c>
      <c r="L60" s="180">
        <f t="shared" si="1"/>
        <v>52639743.365997337</v>
      </c>
      <c r="M60" s="181">
        <v>0.3</v>
      </c>
      <c r="N60" s="231">
        <v>9.9669892272719995E-2</v>
      </c>
      <c r="O60" s="193">
        <v>0.8</v>
      </c>
      <c r="P60" s="228">
        <v>0.36770000000000003</v>
      </c>
      <c r="Q60" s="193">
        <f>BD_Costos[[#This Row],[Factor Cons comb, lt/hrpr/hp]]*BD_Costos[[#This Row],[Potencia motor, hp]]</f>
        <v>11.9603870727264</v>
      </c>
      <c r="S60" s="119" t="s">
        <v>8</v>
      </c>
      <c r="T60" s="137" t="s">
        <v>182</v>
      </c>
      <c r="U60" s="186">
        <f>AVERAGEIFS( BD_Costos[Potencia motor, hp],  BD_Costos[Máquina],  BD_Costos_PROCESADO[[#This Row],[Máquina]])</f>
        <v>183.66666666666666</v>
      </c>
      <c r="V60" s="243">
        <f>AVERAGEIFS(  BD_Costos[Inv. Inicial (II), $],  BD_Costos[Máquina],   BD_Costos_PROCESADO[[#This Row],[Máquina]])</f>
        <v>519524657.16675025</v>
      </c>
      <c r="W60" s="137">
        <f>AVERAGEIFS(  BD_Costos[Vida Útil, años],  BD_Costos[Máquina],   BD_Costos_PROCESADO[[#This Row],[Máquina]])</f>
        <v>6</v>
      </c>
      <c r="X60" s="243">
        <f>AVERAGEIFS(  BD_Costos[Depreciación ($/año)],
  BD_Costos[Máquina],     BD_Costos_PROCESADO[[#This Row],[Máquina]],
BD_Costos[Depreciación ($/año)], "&gt;0" )</f>
        <v>69269954.288900033</v>
      </c>
      <c r="Y60" s="137">
        <f>AVERAGEIFS(  BD_Costos[Mantención &amp; Reparación, %],
  BD_Costos[Máquina],   BD_Costos_PROCESADO[[#This Row],[Máquina]],
  BD_Costos[Mantención &amp; Reparación, %], "&gt;0"  )</f>
        <v>0.3</v>
      </c>
      <c r="Z60" s="137">
        <f>AVERAGEIFS(  BD_Costos[Factor Cons comb, lt/hrpr/hp],
  BD_Costos[Máquina],   BD_Costos_PROCESADO[[#This Row],[Máquina]],
  BD_Costos[Factor Cons comb, lt/hrpr/hp], "&gt;0"  )</f>
        <v>9.9669892272719995E-2</v>
      </c>
      <c r="AA60" s="137">
        <f>AVERAGEIFS(  BD_Costos[Factor Lubricantes, %],
  BD_Costos[Máquina],   BD_Costos_PROCESADO[[#This Row],[Máquina]],
  BD_Costos[Factor Lubricantes, %], "&gt;0"  )</f>
        <v>0.36770000000000008</v>
      </c>
      <c r="AB60" s="57">
        <f>AVERAGEIFS(  BD_Costos[Factor de Reventa, %],
  BD_Costos[Máquina],   BD_Costos_PROCESADO[[#This Row],[Máquina]],
  BD_Costos[Productividad, %], "&gt;0"  )</f>
        <v>0.19999999999999998</v>
      </c>
      <c r="AC60" s="245">
        <f>AVERAGEIFS(   BD_Costos[Cons comb, lt/hrpr],   BD_Costos[Máquina],       BD_Costos_PROCESADO[[#This Row],[Máquina]])</f>
        <v>18.306036880756238</v>
      </c>
      <c r="AD60" s="57">
        <f>AVERAGEIFS(  BD_Costos[Productividad, %],
  BD_Costos[Máquina],   BD_Costos_PROCESADO[[#This Row],[Máquina]],
  BD_Costos[Productividad, %], "&gt;0"  )</f>
        <v>0.79999999999999993</v>
      </c>
    </row>
    <row r="61" spans="2:30" x14ac:dyDescent="0.3">
      <c r="B61" s="178" t="s">
        <v>190</v>
      </c>
      <c r="C61" s="178">
        <v>2002</v>
      </c>
      <c r="D61" s="178" t="s">
        <v>8</v>
      </c>
      <c r="E61" s="178" t="s">
        <v>178</v>
      </c>
      <c r="F61" s="178" t="s">
        <v>191</v>
      </c>
      <c r="G61" s="179">
        <v>170</v>
      </c>
      <c r="H61" s="180">
        <v>505835033.90763062</v>
      </c>
      <c r="I61" s="180">
        <v>101167006.78152613</v>
      </c>
      <c r="J61" s="193">
        <f>BD_Costos[[#This Row],[Valor Reventa (VR), $]]/BD_Costos[[#This Row],[Inv. Inicial (II), $]]</f>
        <v>0.2</v>
      </c>
      <c r="K61" s="179">
        <v>6</v>
      </c>
      <c r="L61" s="180">
        <f t="shared" si="1"/>
        <v>67444671.187684074</v>
      </c>
      <c r="M61" s="181">
        <v>0.3</v>
      </c>
      <c r="N61" s="231">
        <v>9.9669892272719995E-2</v>
      </c>
      <c r="O61" s="193">
        <v>0.8</v>
      </c>
      <c r="P61" s="228">
        <v>0.36770000000000003</v>
      </c>
      <c r="Q61" s="193">
        <f>BD_Costos[[#This Row],[Factor Cons comb, lt/hrpr/hp]]*BD_Costos[[#This Row],[Potencia motor, hp]]</f>
        <v>16.943881686362399</v>
      </c>
      <c r="S61" s="121" t="s">
        <v>8</v>
      </c>
      <c r="T61" s="48" t="s">
        <v>183</v>
      </c>
      <c r="U61" s="31">
        <f>_xlfn.MINIFS(  BD_Costos[Potencia motor, hp],  BD_Costos[Máquina],    BD_Costos_PROCESADO[[#This Row],[Máquina]])</f>
        <v>120</v>
      </c>
      <c r="V61" s="242">
        <f>_xlfn.MINIFS(BD_Costos[Inv. Inicial (II), $],  BD_Costos[Máquina],   BD_Costos_PROCESADO[[#This Row],[Máquina]])</f>
        <v>394798075.24498004</v>
      </c>
      <c r="W61" s="48">
        <f>_xlfn.MINIFS(BD_Costos[Vida Útil, años],  BD_Costos[Máquina],   BD_Costos_PROCESADO[[#This Row],[Máquina]])</f>
        <v>6</v>
      </c>
      <c r="X61" s="242">
        <f>_xlfn.MINIFS(BD_Costos[Depreciación ($/año)],
  BD_Costos[Máquina],     BD_Costos_PROCESADO[[#This Row],[Máquina]],
BD_Costos[Depreciación ($/año)],   "&gt;0" )</f>
        <v>52639743.365997337</v>
      </c>
      <c r="Y61" s="48">
        <f>_xlfn.MINIFS( BD_Costos[Mantención &amp; Reparación, %],
  BD_Costos[Máquina],   BD_Costos_PROCESADO[[#This Row],[Máquina]],
  BD_Costos[Mantención &amp; Reparación, %], "&gt;0"  )</f>
        <v>0.3</v>
      </c>
      <c r="Z61" s="48">
        <f>_xlfn.MINIFS( BD_Costos[Factor Cons comb, lt/hrpr/hp],
  BD_Costos[Máquina],   BD_Costos_PROCESADO[[#This Row],[Máquina]],
  BD_Costos[Factor Cons comb, lt/hrpr/hp], "&gt;0"  )</f>
        <v>9.9669892272719995E-2</v>
      </c>
      <c r="AA61" s="48">
        <f>_xlfn.MINIFS(   BD_Costos[Factor Lubricantes, %],
  BD_Costos[Máquina],   BD_Costos_PROCESADO[[#This Row],[Máquina]],
  BD_Costos[Factor Lubricantes, %], "&gt;0"  )</f>
        <v>0.36770000000000003</v>
      </c>
      <c r="AB61" s="58">
        <f>_xlfn.MINIFS(  BD_Costos[Factor de Reventa, %],
  BD_Costos[Máquina],   BD_Costos_PROCESADO[[#This Row],[Máquina]],
  BD_Costos[Productividad, %], "&gt;0"  )</f>
        <v>0.19999999999999998</v>
      </c>
      <c r="AC61" s="246">
        <f>_xlfn.MINIFS(  BD_Costos[Cons comb, lt/hrpr],   BD_Costos[Máquina],       BD_Costos_PROCESADO[[#This Row],[Máquina]])</f>
        <v>11.9603870727264</v>
      </c>
      <c r="AD61" s="58">
        <f>_xlfn.MINIFS(  BD_Costos[Productividad, %],
  BD_Costos[Máquina],   BD_Costos_PROCESADO[[#This Row],[Máquina]],
  BD_Costos[Productividad, %], "&gt;0"  )</f>
        <v>0.8</v>
      </c>
    </row>
    <row r="62" spans="2:30" ht="15" thickBot="1" x14ac:dyDescent="0.35">
      <c r="B62" s="178" t="s">
        <v>190</v>
      </c>
      <c r="C62" s="178">
        <v>2002</v>
      </c>
      <c r="D62" s="178" t="s">
        <v>8</v>
      </c>
      <c r="E62" s="178" t="s">
        <v>178</v>
      </c>
      <c r="F62" s="178" t="s">
        <v>191</v>
      </c>
      <c r="G62" s="179">
        <v>185</v>
      </c>
      <c r="H62" s="180">
        <v>542847353.46184754</v>
      </c>
      <c r="I62" s="180">
        <v>108569470.69236951</v>
      </c>
      <c r="J62" s="193">
        <f>BD_Costos[[#This Row],[Valor Reventa (VR), $]]/BD_Costos[[#This Row],[Inv. Inicial (II), $]]</f>
        <v>0.19999999999999998</v>
      </c>
      <c r="K62" s="179">
        <v>6</v>
      </c>
      <c r="L62" s="180">
        <f t="shared" si="1"/>
        <v>72379647.128246337</v>
      </c>
      <c r="M62" s="181">
        <v>0.3</v>
      </c>
      <c r="N62" s="231">
        <v>9.9669892272719995E-2</v>
      </c>
      <c r="O62" s="193">
        <v>0.8</v>
      </c>
      <c r="P62" s="228">
        <v>0.36770000000000003</v>
      </c>
      <c r="Q62" s="193">
        <f>BD_Costos[[#This Row],[Factor Cons comb, lt/hrpr/hp]]*BD_Costos[[#This Row],[Potencia motor, hp]]</f>
        <v>18.4389300704532</v>
      </c>
      <c r="S62" s="121" t="s">
        <v>8</v>
      </c>
      <c r="T62" s="48" t="s">
        <v>184</v>
      </c>
      <c r="U62" s="31">
        <f>_xlfn.MAXIFS( BD_Costos[Potencia motor, hp],  BD_Costos[Máquina],    BD_Costos_PROCESADO[[#This Row],[Máquina]])</f>
        <v>221</v>
      </c>
      <c r="V62" s="242">
        <f>_xlfn.MAXIFS(BD_Costos[Inv. Inicial (II), $],  BD_Costos[Máquina],   BD_Costos_PROCESADO[[#This Row],[Máquina]])</f>
        <v>594349996.12154031</v>
      </c>
      <c r="W62" s="48">
        <f>_xlfn.MAXIFS(BD_Costos[Vida Útil, años],  BD_Costos[Máquina],  BD_Costos_PROCESADO[[#This Row],[Máquina]])</f>
        <v>6</v>
      </c>
      <c r="X62" s="242">
        <f>_xlfn.MAXIFS(BD_Costos[Depreciación ($/año)],
  BD_Costos[Máquina],    BD_Costos_PROCESADO[[#This Row],[Máquina]],
BD_Costos[Depreciación ($/año)], "&gt;0" )</f>
        <v>79246666.149538711</v>
      </c>
      <c r="Y62" s="48">
        <f>_xlfn.MINIFS( BD_Costos[Mantención &amp; Reparación, %],
  BD_Costos[Máquina],   BD_Costos_PROCESADO[[#This Row],[Máquina]],
  BD_Costos[Mantención &amp; Reparación, %], "&gt;0"  )</f>
        <v>0.3</v>
      </c>
      <c r="Z62" s="48">
        <f>_xlfn.MAXIFS( BD_Costos[Factor Cons comb, lt/hrpr/hp],
  BD_Costos[Máquina],   BD_Costos_PROCESADO[[#This Row],[Máquina]],
  BD_Costos[Factor Cons comb, lt/hrpr/hp], "&gt;0"  )</f>
        <v>9.9669892272719995E-2</v>
      </c>
      <c r="AA62" s="48">
        <f>_xlfn.MAXIFS(     BD_Costos[Factor Lubricantes, %],
  BD_Costos[Máquina],   BD_Costos_PROCESADO[[#This Row],[Máquina]],
  BD_Costos[Factor Lubricantes, %], "&gt;0"  )</f>
        <v>0.36770000000000003</v>
      </c>
      <c r="AB62" s="58">
        <f>_xlfn.MAXIFS(  BD_Costos[Factor de Reventa, %],
  BD_Costos[Máquina],   BD_Costos_PROCESADO[[#This Row],[Máquina]],
  BD_Costos[Productividad, %], "&gt;0"  )</f>
        <v>0.2</v>
      </c>
      <c r="AC62" s="246">
        <f>_xlfn.MAXIFS(  BD_Costos[Cons comb, lt/hrpr],   BD_Costos[Máquina],       BD_Costos_PROCESADO[[#This Row],[Máquina]])</f>
        <v>22.027046192271118</v>
      </c>
      <c r="AD62" s="58">
        <f>_xlfn.MAXIFS(  BD_Costos[Productividad, %],
  BD_Costos[Máquina],   BD_Costos_PROCESADO[[#This Row],[Máquina]],
  BD_Costos[Productividad, %], "&gt;0"  )</f>
        <v>0.8</v>
      </c>
    </row>
    <row r="63" spans="2:30" x14ac:dyDescent="0.3">
      <c r="B63" s="178" t="s">
        <v>190</v>
      </c>
      <c r="C63" s="178">
        <v>2002</v>
      </c>
      <c r="D63" s="178" t="s">
        <v>8</v>
      </c>
      <c r="E63" s="178" t="s">
        <v>178</v>
      </c>
      <c r="F63" s="178" t="s">
        <v>191</v>
      </c>
      <c r="G63" s="179">
        <v>170</v>
      </c>
      <c r="H63" s="180">
        <v>542847353.46184754</v>
      </c>
      <c r="I63" s="180">
        <v>108569470.69236951</v>
      </c>
      <c r="J63" s="193">
        <f>BD_Costos[[#This Row],[Valor Reventa (VR), $]]/BD_Costos[[#This Row],[Inv. Inicial (II), $]]</f>
        <v>0.19999999999999998</v>
      </c>
      <c r="K63" s="179">
        <v>6</v>
      </c>
      <c r="L63" s="180">
        <f t="shared" si="1"/>
        <v>72379647.128246337</v>
      </c>
      <c r="M63" s="181">
        <v>0.3</v>
      </c>
      <c r="N63" s="231">
        <v>9.9669892272719995E-2</v>
      </c>
      <c r="O63" s="193">
        <v>0.8</v>
      </c>
      <c r="P63" s="228">
        <v>0.36770000000000003</v>
      </c>
      <c r="Q63" s="193">
        <f>BD_Costos[[#This Row],[Factor Cons comb, lt/hrpr/hp]]*BD_Costos[[#This Row],[Potencia motor, hp]]</f>
        <v>16.943881686362399</v>
      </c>
      <c r="S63" s="119" t="s">
        <v>11</v>
      </c>
      <c r="T63" s="137" t="s">
        <v>182</v>
      </c>
      <c r="U63" s="186">
        <f>AVERAGEIFS( BD_Costos[Potencia motor, hp],  BD_Costos[Máquina], BD_Costos_PROCESADO[[#This Row],[Máquina]])</f>
        <v>5</v>
      </c>
      <c r="V63" s="243">
        <f>AVERAGEIFS(BD_Costos[Inv. Inicial (II), $],  BD_Costos[Máquina],  BD_Costos_PROCESADO[[#This Row],[Máquina]])</f>
        <v>1017272.6060317461</v>
      </c>
      <c r="W63" s="137">
        <f>AVERAGEIFS(BD_Costos[Vida Útil, años],  BD_Costos[Máquina],   BD_Costos_PROCESADO[[#This Row],[Máquina]])</f>
        <v>2</v>
      </c>
      <c r="X63" s="243">
        <f>AVERAGEIFS(BD_Costos[Depreciación ($/año)],
  BD_Costos[Máquina],     BD_Costos_PROCESADO[[#This Row],[Máquina]],
BD_Costos[Depreciación ($/año)], "&gt;0" )</f>
        <v>443358.48482539691</v>
      </c>
      <c r="Y63" s="137">
        <f>AVERAGEIFS(   BD_Costos[Mantención &amp; Reparación, %],
  BD_Costos[Máquina],   BD_Costos_PROCESADO[[#This Row],[Máquina]],
  BD_Costos[Mantención &amp; Reparación, %], "&gt;0"  )</f>
        <v>0.95</v>
      </c>
      <c r="Z63" s="137">
        <f>AVERAGEIFS(  BD_Costos[Factor Cons comb, lt/hrpr/hp],
  BD_Costos[Máquina],   BD_Costos_PROCESADO[[#This Row],[Máquina]],
  BD_Costos[Factor Cons comb, lt/hrpr/hp], "&gt;0"  )</f>
        <v>0.14884232120000002</v>
      </c>
      <c r="AA63" s="137">
        <f>AVERAGEIFS(   BD_Costos[Factor Lubricantes, %],
  BD_Costos[Máquina],   BD_Costos_PROCESADO[[#This Row],[Máquina]],
  BD_Costos[Factor Lubricantes, %], "&gt;0"  )</f>
        <v>0.36770000000000003</v>
      </c>
      <c r="AB63" s="275">
        <f>AVERAGEIFS(  BD_Costos[Factor de Reventa, %],
  BD_Costos[Máquina],   BD_Costos_PROCESADO[[#This Row],[Máquina]],
  BD_Costos[Productividad, %], "&gt;0"  )</f>
        <v>4.9999799545770718E-2</v>
      </c>
      <c r="AC63" s="245">
        <f>AVERAGEIFS(   BD_Costos[Cons comb, lt/hrpr],   BD_Costos[Máquina],       BD_Costos_PROCESADO[[#This Row],[Máquina]])</f>
        <v>0.74421160600000014</v>
      </c>
      <c r="AD63" s="57">
        <f>AVERAGEIFS(  BD_Costos[Productividad, %],
  BD_Costos[Máquina],   BD_Costos_PROCESADO[[#This Row],[Máquina]],
  BD_Costos[Productividad, %], "&gt;0"  )</f>
        <v>0.56666666666666665</v>
      </c>
    </row>
    <row r="64" spans="2:30" x14ac:dyDescent="0.3">
      <c r="B64" s="178" t="s">
        <v>190</v>
      </c>
      <c r="C64" s="178">
        <v>2002</v>
      </c>
      <c r="D64" s="178" t="s">
        <v>8</v>
      </c>
      <c r="E64" s="178" t="s">
        <v>178</v>
      </c>
      <c r="F64" s="178" t="s">
        <v>191</v>
      </c>
      <c r="G64" s="179">
        <v>204</v>
      </c>
      <c r="H64" s="180">
        <v>500689087.74560934</v>
      </c>
      <c r="I64" s="180">
        <v>100137817.54912187</v>
      </c>
      <c r="J64" s="193">
        <f>BD_Costos[[#This Row],[Valor Reventa (VR), $]]/BD_Costos[[#This Row],[Inv. Inicial (II), $]]</f>
        <v>0.2</v>
      </c>
      <c r="K64" s="179">
        <v>6</v>
      </c>
      <c r="L64" s="180">
        <f t="shared" si="1"/>
        <v>66758545.032747917</v>
      </c>
      <c r="M64" s="181">
        <v>0.3</v>
      </c>
      <c r="N64" s="231">
        <v>9.9669892272719995E-2</v>
      </c>
      <c r="O64" s="193">
        <v>0.8</v>
      </c>
      <c r="P64" s="228">
        <v>0.36770000000000003</v>
      </c>
      <c r="Q64" s="193">
        <f>BD_Costos[[#This Row],[Factor Cons comb, lt/hrpr/hp]]*BD_Costos[[#This Row],[Potencia motor, hp]]</f>
        <v>20.332658023634878</v>
      </c>
      <c r="S64" s="121" t="s">
        <v>11</v>
      </c>
      <c r="T64" s="48" t="s">
        <v>183</v>
      </c>
      <c r="U64" s="31">
        <f>_xlfn.MINIFS( BD_Costos[Potencia motor, hp],  BD_Costos[Máquina], BD_Costos_PROCESADO[[#This Row],[Máquina]])</f>
        <v>5</v>
      </c>
      <c r="V64" s="242">
        <f>_xlfn.MINIFS(BD_Costos[Inv. Inicial (II), $],  BD_Costos[Máquina],  BD_Costos_PROCESADO[[#This Row],[Máquina]])</f>
        <v>427293.81809523841</v>
      </c>
      <c r="W64" s="48">
        <f>_xlfn.MINIFS(BD_Costos[Vida Útil, años],  BD_Costos[Máquina],   BD_Costos_PROCESADO[[#This Row],[Máquina]])</f>
        <v>1</v>
      </c>
      <c r="X64" s="242">
        <f>_xlfn.MINIFS(BD_Costos[Depreciación ($/año)],
  BD_Costos[Máquina],     BD_Costos_PROCESADO[[#This Row],[Máquina]],
BD_Costos[Depreciación ($/año)], "&gt;0" )</f>
        <v>341835.05447619071</v>
      </c>
      <c r="Y64" s="48">
        <f>_xlfn.MINIFS(   BD_Costos[Mantención &amp; Reparación, %],
  BD_Costos[Máquina],   BD_Costos_PROCESADO[[#This Row],[Máquina]],
  BD_Costos[Mantención &amp; Reparación, %], "&gt;0"  )</f>
        <v>0.9</v>
      </c>
      <c r="Z64" s="48">
        <f>_xlfn.MINIFS(  BD_Costos[Factor Cons comb, lt/hrpr/hp],
  BD_Costos[Máquina],   BD_Costos_PROCESADO[[#This Row],[Máquina]],
  BD_Costos[Factor Cons comb, lt/hrpr/hp], "&gt;0"  )</f>
        <v>0.14884232120000002</v>
      </c>
      <c r="AA64" s="48">
        <f>_xlfn.MINIFS(   BD_Costos[Factor Lubricantes, %],
  BD_Costos[Máquina],   BD_Costos_PROCESADO[[#This Row],[Máquina]],
  BD_Costos[Factor Lubricantes, %], "&gt;0"  )</f>
        <v>0.36770000000000003</v>
      </c>
      <c r="AB64" s="276">
        <f>_xlfn.MINIFS(  BD_Costos[Factor de Reventa, %],
  BD_Costos[Máquina],   BD_Costos_PROCESADO[[#This Row],[Máquina]],
  BD_Costos[Productividad, %], "&gt;0"  )</f>
        <v>0</v>
      </c>
      <c r="AC64" s="246">
        <f>_xlfn.MINIFS(  BD_Costos[Cons comb, lt/hrpr],   BD_Costos[Máquina],       BD_Costos_PROCESADO[[#This Row],[Máquina]])</f>
        <v>0.74421160600000014</v>
      </c>
      <c r="AD64" s="58">
        <f>_xlfn.MINIFS(  BD_Costos[Productividad, %],
  BD_Costos[Máquina],   BD_Costos_PROCESADO[[#This Row],[Máquina]],
  BD_Costos[Productividad, %], "&gt;0"  )</f>
        <v>0.5</v>
      </c>
    </row>
    <row r="65" spans="2:30" ht="15" thickBot="1" x14ac:dyDescent="0.35">
      <c r="B65" s="178" t="s">
        <v>190</v>
      </c>
      <c r="C65" s="178">
        <v>2002</v>
      </c>
      <c r="D65" s="178" t="s">
        <v>167</v>
      </c>
      <c r="E65" s="178" t="s">
        <v>178</v>
      </c>
      <c r="F65" s="178" t="s">
        <v>1</v>
      </c>
      <c r="G65" s="179">
        <v>153</v>
      </c>
      <c r="H65" s="180">
        <v>190465396.42600003</v>
      </c>
      <c r="I65" s="180">
        <v>38093079.285200015</v>
      </c>
      <c r="J65" s="193">
        <f>BD_Costos[[#This Row],[Valor Reventa (VR), $]]/BD_Costos[[#This Row],[Inv. Inicial (II), $]]</f>
        <v>0.20000000000000004</v>
      </c>
      <c r="K65" s="179">
        <v>5</v>
      </c>
      <c r="L65" s="180">
        <f t="shared" si="1"/>
        <v>30474463.428160001</v>
      </c>
      <c r="M65" s="181">
        <v>0.9</v>
      </c>
      <c r="N65" s="227">
        <v>0.10599152995199999</v>
      </c>
      <c r="O65" s="193">
        <v>0.6</v>
      </c>
      <c r="P65" s="227">
        <v>0.36770000000000003</v>
      </c>
      <c r="Q65" s="193">
        <f>BD_Costos[[#This Row],[Factor Cons comb, lt/hrpr/hp]]*BD_Costos[[#This Row],[Potencia motor, hp]]</f>
        <v>16.216704082655998</v>
      </c>
      <c r="S65" s="123" t="s">
        <v>11</v>
      </c>
      <c r="T65" s="138" t="s">
        <v>184</v>
      </c>
      <c r="U65" s="189">
        <f>_xlfn.MAXIFS( BD_Costos[Potencia motor, hp],  BD_Costos[Máquina], BD_Costos_PROCESADO[[#This Row],[Máquina]])</f>
        <v>5</v>
      </c>
      <c r="V65" s="244">
        <f>_xlfn.MAXIFS(BD_Costos[Inv. Inicial (II), $],  BD_Costos[Máquina],  BD_Costos_PROCESADO[[#This Row],[Máquina]])</f>
        <v>1995468</v>
      </c>
      <c r="W65" s="138">
        <f>_xlfn.MAXIFS(BD_Costos[Vida Útil, años],  BD_Costos[Máquina], BD_Costos_PROCESADO[[#This Row],[Máquina]])</f>
        <v>5</v>
      </c>
      <c r="X65" s="244">
        <f>_xlfn.MAXIFS(BD_Costos[Depreciación ($/año)],
  BD_Costos[Máquina],     BD_Costos_PROCESADO[[#This Row],[Máquina]],
BD_Costos[Depreciación ($/año)], "&gt;0" )</f>
        <v>629056</v>
      </c>
      <c r="Y65" s="138">
        <f>_xlfn.MAXIFS(  BD_Costos[Mantención &amp; Reparación, %],
  BD_Costos[Máquina],   BD_Costos_PROCESADO[[#This Row],[Máquina]],
  BD_Costos[Mantención &amp; Reparación, %], "&gt;0"  )</f>
        <v>1</v>
      </c>
      <c r="Z65" s="138">
        <f>_xlfn.MAXIFS(  BD_Costos[Factor Cons comb, lt/hrpr/hp],
  BD_Costos[Máquina],   BD_Costos_PROCESADO[[#This Row],[Máquina]],
  BD_Costos[Factor Cons comb, lt/hrpr/hp], "&gt;0"  )</f>
        <v>0.14884232120000002</v>
      </c>
      <c r="AA65" s="138">
        <f>_xlfn.MAXIFS(  BD_Costos[Factor Lubricantes, %],
  BD_Costos[Máquina],   BD_Costos_PROCESADO[[#This Row],[Máquina]],
  BD_Costos[Factor Lubricantes, %], "&gt;0"  )</f>
        <v>0.36770000000000003</v>
      </c>
      <c r="AB65" s="277">
        <f>_xlfn.MAXIFS(  BD_Costos[Factor de Reventa, %],
  BD_Costos[Máquina],   BD_Costos_PROCESADO[[#This Row],[Máquina]],
  BD_Costos[Productividad, %], "&gt;0"  )</f>
        <v>9.9999599091541436E-2</v>
      </c>
      <c r="AC65" s="246">
        <f>_xlfn.MAXIFS(  BD_Costos[Cons comb, lt/hrpr],   BD_Costos[Máquina],       BD_Costos_PROCESADO[[#This Row],[Máquina]])</f>
        <v>0.74421160600000014</v>
      </c>
      <c r="AD65" s="59">
        <f>_xlfn.MAXIFS(  BD_Costos[Productividad, %],
  BD_Costos[Máquina],   BD_Costos_PROCESADO[[#This Row],[Máquina]],
  BD_Costos[Productividad, %], "&gt;0"  )</f>
        <v>0.7</v>
      </c>
    </row>
    <row r="66" spans="2:30" x14ac:dyDescent="0.3">
      <c r="B66" s="178" t="s">
        <v>190</v>
      </c>
      <c r="C66" s="178">
        <v>2002</v>
      </c>
      <c r="D66" s="178" t="s">
        <v>167</v>
      </c>
      <c r="E66" s="178" t="s">
        <v>178</v>
      </c>
      <c r="F66" s="178" t="s">
        <v>1</v>
      </c>
      <c r="G66" s="179">
        <v>175</v>
      </c>
      <c r="H66" s="180">
        <v>225053409.04941571</v>
      </c>
      <c r="I66" s="180">
        <v>45010681.809883147</v>
      </c>
      <c r="J66" s="193">
        <f>BD_Costos[[#This Row],[Valor Reventa (VR), $]]/BD_Costos[[#This Row],[Inv. Inicial (II), $]]</f>
        <v>0.20000000000000004</v>
      </c>
      <c r="K66" s="179">
        <v>5</v>
      </c>
      <c r="L66" s="180">
        <f t="shared" si="1"/>
        <v>36008545.447906509</v>
      </c>
      <c r="M66" s="181">
        <v>0.9</v>
      </c>
      <c r="N66" s="227">
        <v>0.10599152995199999</v>
      </c>
      <c r="O66" s="193">
        <v>0.6</v>
      </c>
      <c r="P66" s="227">
        <v>0.36770000000000003</v>
      </c>
      <c r="Q66" s="193">
        <f>BD_Costos[[#This Row],[Factor Cons comb, lt/hrpr/hp]]*BD_Costos[[#This Row],[Potencia motor, hp]]</f>
        <v>18.548517741599998</v>
      </c>
      <c r="S66" s="294" t="s">
        <v>186</v>
      </c>
      <c r="T66" s="202" t="s">
        <v>182</v>
      </c>
      <c r="U66" s="179">
        <f>AVERAGEIFS( BD_Costos[Potencia motor, hp],  BD_Costos[Máquina],  BD_Costos_PROCESADO[[#This Row],[Máquina]])</f>
        <v>191.5</v>
      </c>
      <c r="V66" s="296">
        <f>AVERAGEIFS(  BD_Costos[Inv. Inicial (II), $],  BD_Costos[Máquina],   BD_Costos_PROCESADO[[#This Row],[Máquina]])</f>
        <v>314441032.97959185</v>
      </c>
      <c r="W66" s="202">
        <f>AVERAGEIFS(  BD_Costos[Vida Útil, años],  BD_Costos[Máquina],   BD_Costos_PROCESADO[[#This Row],[Máquina]])</f>
        <v>5</v>
      </c>
      <c r="X66" s="296">
        <f>AVERAGEIFS(  BD_Costos[Depreciación ($/año)],
  BD_Costos[Máquina],     BD_Costos_PROCESADO[[#This Row],[Máquina]],
BD_Costos[Depreciación ($/año)], "&gt;0" )</f>
        <v>29976304.777142882</v>
      </c>
      <c r="Y66" s="202">
        <f>AVERAGEIFS(  BD_Costos[Mantención &amp; Reparación, %],
  BD_Costos[Máquina],   BD_Costos_PROCESADO[[#This Row],[Máquina]],
  BD_Costos[Mantención &amp; Reparación, %], "&gt;0"  )</f>
        <v>1</v>
      </c>
      <c r="Z66" s="202" t="e">
        <f>AVERAGEIFS(  BD_Costos[Factor Cons comb, lt/hrpr/hp],
  BD_Costos[Máquina],   BD_Costos_PROCESADO[[#This Row],[Máquina]],
  BD_Costos[Factor Cons comb, lt/hrpr/hp], "&gt;0"  )</f>
        <v>#DIV/0!</v>
      </c>
      <c r="AA66" s="202" t="e">
        <f>AVERAGEIFS(  BD_Costos[Factor Lubricantes, %],
  BD_Costos[Máquina],   BD_Costos_PROCESADO[[#This Row],[Máquina]],
  BD_Costos[Factor Lubricantes, %], "&gt;0"  )</f>
        <v>#DIV/0!</v>
      </c>
      <c r="AB66" s="57">
        <f>AVERAGEIFS(  BD_Costos[Factor de Reventa, %],
  BD_Costos[Máquina],   BD_Costos_PROCESADO[[#This Row],[Máquina]],
  BD_Costos[Productividad, %], "&gt;0"  )</f>
        <v>0.19999999999999998</v>
      </c>
      <c r="AC66" s="245" t="e">
        <f>AVERAGEIFS(   BD_Costos[Cons comb, lt/hrpr],   BD_Costos[Máquina],       BD_Costos_PROCESADO[[#This Row],[Máquina]])</f>
        <v>#DIV/0!</v>
      </c>
      <c r="AD66" s="297">
        <f>AVERAGEIFS(  BD_Costos[Productividad, %],
  BD_Costos[Máquina],   BD_Costos_PROCESADO[[#This Row],[Máquina]],
  BD_Costos[Productividad, %], "&gt;0"  )</f>
        <v>0.84066666666666656</v>
      </c>
    </row>
    <row r="67" spans="2:30" x14ac:dyDescent="0.3">
      <c r="B67" s="178" t="s">
        <v>190</v>
      </c>
      <c r="C67" s="178">
        <v>2002</v>
      </c>
      <c r="D67" s="178" t="s">
        <v>167</v>
      </c>
      <c r="E67" s="178" t="s">
        <v>178</v>
      </c>
      <c r="F67" s="178" t="s">
        <v>1</v>
      </c>
      <c r="G67" s="179">
        <v>225</v>
      </c>
      <c r="H67" s="180">
        <v>339773093.50771093</v>
      </c>
      <c r="I67" s="180">
        <v>67954618.701542184</v>
      </c>
      <c r="J67" s="193">
        <f>BD_Costos[[#This Row],[Valor Reventa (VR), $]]/BD_Costos[[#This Row],[Inv. Inicial (II), $]]</f>
        <v>0.19999999999999998</v>
      </c>
      <c r="K67" s="179">
        <v>5</v>
      </c>
      <c r="L67" s="180">
        <f t="shared" si="1"/>
        <v>54363694.96123375</v>
      </c>
      <c r="M67" s="181">
        <v>0.9</v>
      </c>
      <c r="N67" s="227">
        <v>0.10599152995199999</v>
      </c>
      <c r="O67" s="193">
        <v>0.6</v>
      </c>
      <c r="P67" s="227">
        <v>0.36770000000000003</v>
      </c>
      <c r="Q67" s="193">
        <f>BD_Costos[[#This Row],[Factor Cons comb, lt/hrpr/hp]]*BD_Costos[[#This Row],[Potencia motor, hp]]</f>
        <v>23.848094239199998</v>
      </c>
      <c r="S67" s="121" t="s">
        <v>186</v>
      </c>
      <c r="T67" s="48" t="s">
        <v>183</v>
      </c>
      <c r="U67" s="31">
        <f>_xlfn.MINIFS(  BD_Costos[Potencia motor, hp],  BD_Costos[Máquina],    BD_Costos_PROCESADO[[#This Row],[Máquina]])</f>
        <v>160</v>
      </c>
      <c r="V67" s="242">
        <f>_xlfn.MINIFS(BD_Costos[Inv. Inicial (II), $],  BD_Costos[Máquina],   BD_Costos_PROCESADO[[#This Row],[Máquina]])</f>
        <v>187351904.85714301</v>
      </c>
      <c r="W67" s="48">
        <f>_xlfn.MINIFS(BD_Costos[Vida Útil, años],  BD_Costos[Máquina],   BD_Costos_PROCESADO[[#This Row],[Máquina]])</f>
        <v>5</v>
      </c>
      <c r="X67" s="296">
        <f>_xlfn.MINIFS(BD_Costos[Depreciación ($/año)],
  BD_Costos[Máquina],     BD_Costos_PROCESADO[[#This Row],[Máquina]],
BD_Costos[Depreciación ($/año)],   "&gt;0" )</f>
        <v>29976304.777142882</v>
      </c>
      <c r="Y67" s="202">
        <f>_xlfn.MINIFS( BD_Costos[Mantención &amp; Reparación, %],
  BD_Costos[Máquina],   BD_Costos_PROCESADO[[#This Row],[Máquina]],
  BD_Costos[Mantención &amp; Reparación, %], "&gt;0"  )</f>
        <v>1</v>
      </c>
      <c r="Z67" s="48">
        <f>_xlfn.MINIFS( BD_Costos[Factor Cons comb, lt/hrpr/hp],
  BD_Costos[Máquina],   BD_Costos_PROCESADO[[#This Row],[Máquina]],
  BD_Costos[Factor Cons comb, lt/hrpr/hp], "&gt;0"  )</f>
        <v>0</v>
      </c>
      <c r="AA67" s="48">
        <f>_xlfn.MINIFS(   BD_Costos[Factor Lubricantes, %],
  BD_Costos[Máquina],   BD_Costos_PROCESADO[[#This Row],[Máquina]],
  BD_Costos[Factor Lubricantes, %], "&gt;0"  )</f>
        <v>0</v>
      </c>
      <c r="AB67" s="58">
        <f>_xlfn.MINIFS(  BD_Costos[Factor de Reventa, %],
  BD_Costos[Máquina],   BD_Costos_PROCESADO[[#This Row],[Máquina]],
  BD_Costos[Productividad, %], "&gt;0"  )</f>
        <v>0.2</v>
      </c>
      <c r="AC67" s="246">
        <f>_xlfn.MINIFS(  BD_Costos[Cons comb, lt/hrpr],   BD_Costos[Máquina],       BD_Costos_PROCESADO[[#This Row],[Máquina]])</f>
        <v>0</v>
      </c>
      <c r="AD67" s="58">
        <f>_xlfn.MINIFS(  BD_Costos[Productividad, %],
  BD_Costos[Máquina],   BD_Costos_PROCESADO[[#This Row],[Máquina]],
  BD_Costos[Productividad, %], "&gt;0"  )</f>
        <v>0.64200000000000002</v>
      </c>
    </row>
    <row r="68" spans="2:30" x14ac:dyDescent="0.3">
      <c r="B68" s="178" t="s">
        <v>190</v>
      </c>
      <c r="C68" s="178">
        <v>2002</v>
      </c>
      <c r="D68" s="178" t="s">
        <v>167</v>
      </c>
      <c r="E68" s="178" t="s">
        <v>178</v>
      </c>
      <c r="F68" s="178" t="s">
        <v>1</v>
      </c>
      <c r="G68" s="179">
        <v>174</v>
      </c>
      <c r="H68" s="180">
        <v>170256669.94939765</v>
      </c>
      <c r="I68" s="180">
        <v>34051333.989879526</v>
      </c>
      <c r="J68" s="193">
        <f>BD_Costos[[#This Row],[Valor Reventa (VR), $]]/BD_Costos[[#This Row],[Inv. Inicial (II), $]]</f>
        <v>0.19999999999999998</v>
      </c>
      <c r="K68" s="179">
        <v>5</v>
      </c>
      <c r="L68" s="180">
        <f t="shared" si="1"/>
        <v>27241067.191903628</v>
      </c>
      <c r="M68" s="181">
        <v>0.9</v>
      </c>
      <c r="N68" s="227">
        <v>0.10599152995199999</v>
      </c>
      <c r="O68" s="193">
        <v>0.6</v>
      </c>
      <c r="P68" s="227">
        <v>0.36770000000000003</v>
      </c>
      <c r="Q68" s="193">
        <f>BD_Costos[[#This Row],[Factor Cons comb, lt/hrpr/hp]]*BD_Costos[[#This Row],[Potencia motor, hp]]</f>
        <v>18.442526211647998</v>
      </c>
      <c r="S68" s="121" t="s">
        <v>186</v>
      </c>
      <c r="T68" s="48" t="s">
        <v>184</v>
      </c>
      <c r="U68" s="31">
        <f>_xlfn.MAXIFS( BD_Costos[Potencia motor, hp],  BD_Costos[Máquina],    BD_Costos_PROCESADO[[#This Row],[Máquina]])</f>
        <v>213</v>
      </c>
      <c r="V68" s="242">
        <f>_xlfn.MAXIFS(BD_Costos[Inv. Inicial (II), $],  BD_Costos[Máquina],   BD_Costos_PROCESADO[[#This Row],[Máquina]])</f>
        <v>420388920</v>
      </c>
      <c r="W68" s="48">
        <f>_xlfn.MAXIFS(BD_Costos[Vida Útil, años],  BD_Costos[Máquina],  BD_Costos_PROCESADO[[#This Row],[Máquina]])</f>
        <v>5</v>
      </c>
      <c r="X68" s="296">
        <f>_xlfn.MAXIFS(BD_Costos[Depreciación ($/año)],
  BD_Costos[Máquina],    BD_Costos_PROCESADO[[#This Row],[Máquina]],
BD_Costos[Depreciación ($/año)], "&gt;0" )</f>
        <v>29976304.777142882</v>
      </c>
      <c r="Y68" s="202">
        <f>_xlfn.MINIFS( BD_Costos[Mantención &amp; Reparación, %],
  BD_Costos[Máquina],   BD_Costos_PROCESADO[[#This Row],[Máquina]],
  BD_Costos[Mantención &amp; Reparación, %], "&gt;0"  )</f>
        <v>1</v>
      </c>
      <c r="Z68" s="48">
        <f>_xlfn.MAXIFS( BD_Costos[Factor Cons comb, lt/hrpr/hp],
  BD_Costos[Máquina],   BD_Costos_PROCESADO[[#This Row],[Máquina]],
  BD_Costos[Factor Cons comb, lt/hrpr/hp], "&gt;0"  )</f>
        <v>0</v>
      </c>
      <c r="AA68" s="48">
        <f>_xlfn.MAXIFS(     BD_Costos[Factor Lubricantes, %],
  BD_Costos[Máquina],   BD_Costos_PROCESADO[[#This Row],[Máquina]],
  BD_Costos[Factor Lubricantes, %], "&gt;0"  )</f>
        <v>0</v>
      </c>
      <c r="AB68" s="58">
        <f>_xlfn.MAXIFS(  BD_Costos[Factor de Reventa, %],
  BD_Costos[Máquina],   BD_Costos_PROCESADO[[#This Row],[Máquina]],
  BD_Costos[Productividad, %], "&gt;0"  )</f>
        <v>0.2</v>
      </c>
      <c r="AC68" s="246">
        <f>_xlfn.MAXIFS(  BD_Costos[Cons comb, lt/hrpr],   BD_Costos[Máquina],       BD_Costos_PROCESADO[[#This Row],[Máquina]])</f>
        <v>0</v>
      </c>
      <c r="AD68" s="58">
        <f>_xlfn.MAXIFS(  BD_Costos[Productividad, %],
  BD_Costos[Máquina],   BD_Costos_PROCESADO[[#This Row],[Máquina]],
  BD_Costos[Productividad, %], "&gt;0"  )</f>
        <v>0.9</v>
      </c>
    </row>
    <row r="69" spans="2:30" x14ac:dyDescent="0.3">
      <c r="B69" s="178" t="s">
        <v>190</v>
      </c>
      <c r="C69" s="178">
        <v>2002</v>
      </c>
      <c r="D69" s="178" t="s">
        <v>167</v>
      </c>
      <c r="E69" s="178" t="s">
        <v>178</v>
      </c>
      <c r="F69" s="178" t="s">
        <v>1</v>
      </c>
      <c r="G69" s="179">
        <v>152</v>
      </c>
      <c r="H69" s="180">
        <v>165938566.00140569</v>
      </c>
      <c r="I69" s="180">
        <v>33187713.200281132</v>
      </c>
      <c r="J69" s="193">
        <f>BD_Costos[[#This Row],[Valor Reventa (VR), $]]/BD_Costos[[#This Row],[Inv. Inicial (II), $]]</f>
        <v>0.19999999999999996</v>
      </c>
      <c r="K69" s="179">
        <v>5</v>
      </c>
      <c r="L69" s="180">
        <f t="shared" si="1"/>
        <v>26550170.560224913</v>
      </c>
      <c r="M69" s="181">
        <v>0.9</v>
      </c>
      <c r="N69" s="227">
        <v>0.10599152995199999</v>
      </c>
      <c r="O69" s="193">
        <v>0.6</v>
      </c>
      <c r="P69" s="227">
        <v>0.36770000000000003</v>
      </c>
      <c r="Q69" s="193">
        <f>BD_Costos[[#This Row],[Factor Cons comb, lt/hrpr/hp]]*BD_Costos[[#This Row],[Potencia motor, hp]]</f>
        <v>16.110712552703998</v>
      </c>
    </row>
    <row r="70" spans="2:30" x14ac:dyDescent="0.3">
      <c r="B70" s="178" t="s">
        <v>190</v>
      </c>
      <c r="C70" s="178">
        <v>2002</v>
      </c>
      <c r="D70" s="178" t="s">
        <v>167</v>
      </c>
      <c r="E70" s="178" t="s">
        <v>178</v>
      </c>
      <c r="F70" s="178" t="s">
        <v>1</v>
      </c>
      <c r="G70" s="179">
        <v>185</v>
      </c>
      <c r="H70" s="180">
        <v>208626107.88726914</v>
      </c>
      <c r="I70" s="180">
        <v>41725221.577453829</v>
      </c>
      <c r="J70" s="193">
        <f>BD_Costos[[#This Row],[Valor Reventa (VR), $]]/BD_Costos[[#This Row],[Inv. Inicial (II), $]]</f>
        <v>0.2</v>
      </c>
      <c r="K70" s="179">
        <v>5</v>
      </c>
      <c r="L70" s="180">
        <f t="shared" si="1"/>
        <v>33380177.261963062</v>
      </c>
      <c r="M70" s="181">
        <v>0.9</v>
      </c>
      <c r="N70" s="227">
        <v>0.10599152995199999</v>
      </c>
      <c r="O70" s="193">
        <v>0.6</v>
      </c>
      <c r="P70" s="227">
        <v>0.36770000000000003</v>
      </c>
      <c r="Q70" s="193">
        <f>BD_Costos[[#This Row],[Factor Cons comb, lt/hrpr/hp]]*BD_Costos[[#This Row],[Potencia motor, hp]]</f>
        <v>19.608433041119998</v>
      </c>
    </row>
    <row r="71" spans="2:30" x14ac:dyDescent="0.3">
      <c r="B71" s="178" t="s">
        <v>190</v>
      </c>
      <c r="C71" s="178">
        <v>2002</v>
      </c>
      <c r="D71" s="178" t="s">
        <v>167</v>
      </c>
      <c r="E71" s="178" t="s">
        <v>178</v>
      </c>
      <c r="F71" s="178" t="s">
        <v>1</v>
      </c>
      <c r="G71" s="179">
        <v>185</v>
      </c>
      <c r="H71" s="180">
        <v>224541405.29558238</v>
      </c>
      <c r="I71" s="180">
        <v>44908281.059116475</v>
      </c>
      <c r="J71" s="193">
        <f>BD_Costos[[#This Row],[Valor Reventa (VR), $]]/BD_Costos[[#This Row],[Inv. Inicial (II), $]]</f>
        <v>0.19999999999999998</v>
      </c>
      <c r="K71" s="179">
        <v>5</v>
      </c>
      <c r="L71" s="180">
        <f t="shared" si="1"/>
        <v>35926624.847293183</v>
      </c>
      <c r="M71" s="181">
        <v>0.9</v>
      </c>
      <c r="N71" s="227">
        <v>0.10599152995199999</v>
      </c>
      <c r="O71" s="193">
        <v>0.6</v>
      </c>
      <c r="P71" s="227">
        <v>0.36770000000000003</v>
      </c>
      <c r="Q71" s="193">
        <f>BD_Costos[[#This Row],[Factor Cons comb, lt/hrpr/hp]]*BD_Costos[[#This Row],[Potencia motor, hp]]</f>
        <v>19.608433041119998</v>
      </c>
    </row>
    <row r="72" spans="2:30" x14ac:dyDescent="0.3">
      <c r="B72" s="178" t="s">
        <v>190</v>
      </c>
      <c r="C72" s="178">
        <v>2002</v>
      </c>
      <c r="D72" s="178" t="s">
        <v>167</v>
      </c>
      <c r="E72" s="178" t="s">
        <v>178</v>
      </c>
      <c r="F72" s="178" t="s">
        <v>1</v>
      </c>
      <c r="G72" s="179">
        <v>230</v>
      </c>
      <c r="H72" s="180">
        <v>281540377.40907639</v>
      </c>
      <c r="I72" s="180">
        <v>56308075.481815271</v>
      </c>
      <c r="J72" s="193">
        <f>BD_Costos[[#This Row],[Valor Reventa (VR), $]]/BD_Costos[[#This Row],[Inv. Inicial (II), $]]</f>
        <v>0.19999999999999998</v>
      </c>
      <c r="K72" s="179">
        <v>5</v>
      </c>
      <c r="L72" s="180">
        <f t="shared" si="1"/>
        <v>45046460.385452226</v>
      </c>
      <c r="M72" s="181">
        <v>0.9</v>
      </c>
      <c r="N72" s="227">
        <v>0.10599152995199999</v>
      </c>
      <c r="O72" s="193">
        <v>0.6</v>
      </c>
      <c r="P72" s="227">
        <v>0.36770000000000003</v>
      </c>
      <c r="Q72" s="193">
        <f>BD_Costos[[#This Row],[Factor Cons comb, lt/hrpr/hp]]*BD_Costos[[#This Row],[Potencia motor, hp]]</f>
        <v>24.378051888959998</v>
      </c>
    </row>
    <row r="73" spans="2:30" x14ac:dyDescent="0.3">
      <c r="B73" s="178" t="s">
        <v>190</v>
      </c>
      <c r="C73" s="178">
        <v>2002</v>
      </c>
      <c r="D73" s="178" t="s">
        <v>167</v>
      </c>
      <c r="E73" s="178" t="s">
        <v>178</v>
      </c>
      <c r="F73" s="178" t="s">
        <v>1</v>
      </c>
      <c r="G73" s="179">
        <v>119</v>
      </c>
      <c r="H73" s="180">
        <v>191230317.69678721</v>
      </c>
      <c r="I73" s="180">
        <v>38246063.539357439</v>
      </c>
      <c r="J73" s="193">
        <f>BD_Costos[[#This Row],[Valor Reventa (VR), $]]/BD_Costos[[#This Row],[Inv. Inicial (II), $]]</f>
        <v>0.19999999999999998</v>
      </c>
      <c r="K73" s="179">
        <v>5</v>
      </c>
      <c r="L73" s="180">
        <f t="shared" si="1"/>
        <v>30596850.831485949</v>
      </c>
      <c r="M73" s="181">
        <v>0.9</v>
      </c>
      <c r="N73" s="227">
        <v>0.10599152995199999</v>
      </c>
      <c r="O73" s="193">
        <v>0.6</v>
      </c>
      <c r="P73" s="227">
        <v>0.36770000000000003</v>
      </c>
      <c r="Q73" s="193">
        <f>BD_Costos[[#This Row],[Factor Cons comb, lt/hrpr/hp]]*BD_Costos[[#This Row],[Potencia motor, hp]]</f>
        <v>12.612992064287999</v>
      </c>
    </row>
    <row r="74" spans="2:30" ht="15" thickBot="1" x14ac:dyDescent="0.35">
      <c r="B74" s="178" t="s">
        <v>190</v>
      </c>
      <c r="C74" s="178">
        <v>2002</v>
      </c>
      <c r="D74" s="178" t="s">
        <v>167</v>
      </c>
      <c r="E74" s="178" t="s">
        <v>178</v>
      </c>
      <c r="F74" s="178" t="s">
        <v>1</v>
      </c>
      <c r="G74" s="179">
        <v>153</v>
      </c>
      <c r="H74" s="180">
        <v>214023737.8222591</v>
      </c>
      <c r="I74" s="180">
        <v>42804747.564451821</v>
      </c>
      <c r="J74" s="193">
        <f>BD_Costos[[#This Row],[Valor Reventa (VR), $]]/BD_Costos[[#This Row],[Inv. Inicial (II), $]]</f>
        <v>0.2</v>
      </c>
      <c r="K74" s="179">
        <v>5</v>
      </c>
      <c r="L74" s="180">
        <f t="shared" si="1"/>
        <v>34243798.05156146</v>
      </c>
      <c r="M74" s="181">
        <v>0.9</v>
      </c>
      <c r="N74" s="227">
        <v>0.10599152995199999</v>
      </c>
      <c r="O74" s="193">
        <v>0.6</v>
      </c>
      <c r="P74" s="227">
        <v>0.36770000000000003</v>
      </c>
      <c r="Q74" s="193">
        <f>BD_Costos[[#This Row],[Factor Cons comb, lt/hrpr/hp]]*BD_Costos[[#This Row],[Potencia motor, hp]]</f>
        <v>16.216704082655998</v>
      </c>
      <c r="S74" s="251" t="s">
        <v>4</v>
      </c>
      <c r="T74" s="79" t="s">
        <v>317</v>
      </c>
      <c r="U74" s="79" t="s">
        <v>165</v>
      </c>
      <c r="V74" s="79" t="s">
        <v>170</v>
      </c>
      <c r="W74" s="79" t="s">
        <v>172</v>
      </c>
      <c r="X74" s="79" t="s">
        <v>173</v>
      </c>
      <c r="Y74" s="185" t="s">
        <v>309</v>
      </c>
      <c r="Z74" s="241" t="s">
        <v>263</v>
      </c>
      <c r="AA74" s="79" t="s">
        <v>176</v>
      </c>
      <c r="AB74" s="79" t="s">
        <v>307</v>
      </c>
      <c r="AC74" s="241" t="s">
        <v>264</v>
      </c>
      <c r="AD74" s="252" t="s">
        <v>57</v>
      </c>
    </row>
    <row r="75" spans="2:30" x14ac:dyDescent="0.3">
      <c r="B75" s="178" t="s">
        <v>190</v>
      </c>
      <c r="C75" s="178">
        <v>2002</v>
      </c>
      <c r="D75" s="178" t="s">
        <v>167</v>
      </c>
      <c r="E75" s="178" t="s">
        <v>178</v>
      </c>
      <c r="F75" s="178" t="s">
        <v>1</v>
      </c>
      <c r="G75" s="179">
        <v>169</v>
      </c>
      <c r="H75" s="180">
        <v>280059884.62690771</v>
      </c>
      <c r="I75" s="180">
        <v>56011976.925381541</v>
      </c>
      <c r="J75" s="193">
        <f>BD_Costos[[#This Row],[Valor Reventa (VR), $]]/BD_Costos[[#This Row],[Inv. Inicial (II), $]]</f>
        <v>0.2</v>
      </c>
      <c r="K75" s="179">
        <v>5</v>
      </c>
      <c r="L75" s="180">
        <f t="shared" si="1"/>
        <v>44809581.540305234</v>
      </c>
      <c r="M75" s="181">
        <v>0.9</v>
      </c>
      <c r="N75" s="227">
        <v>0.10599152995199999</v>
      </c>
      <c r="O75" s="193">
        <v>0.6</v>
      </c>
      <c r="P75" s="227">
        <v>0.36770000000000003</v>
      </c>
      <c r="Q75" s="193">
        <f>BD_Costos[[#This Row],[Factor Cons comb, lt/hrpr/hp]]*BD_Costos[[#This Row],[Potencia motor, hp]]</f>
        <v>17.912568561887998</v>
      </c>
      <c r="S75" s="119" t="s">
        <v>36</v>
      </c>
      <c r="T75" s="137" t="s">
        <v>182</v>
      </c>
      <c r="U75" s="137">
        <f>AVERAGEIFS( BD_Costos[Potencia motor, hp],  BD_Costos[Máquina], BD_Costos_CARGUÍO[[#This Row],[Máquina]])</f>
        <v>163.07407407407408</v>
      </c>
      <c r="V75" s="243">
        <f>AVERAGEIFS( BD_Costos[Inv. Inicial (II), $],  BD_Costos[Máquina], BD_Costos_CARGUÍO[[#This Row],[Máquina]])</f>
        <v>187847290.32631686</v>
      </c>
      <c r="W75" s="186">
        <f>AVERAGEIFS( BD_Costos[Vida Útil, años],  BD_Costos[Máquina], BD_Costos_CARGUÍO[[#This Row],[Máquina]])</f>
        <v>4.9642857142857144</v>
      </c>
      <c r="X75" s="243" t="e">
        <f>AVERAGEIFS( BD_Costos[Depreciación ($/año)],  BD_Costos[Máquina], BD_Costos_CARGUÍO[[#This Row],[Máquina]])</f>
        <v>#DIV/0!</v>
      </c>
      <c r="Y75" s="137">
        <f>AVERAGEIFS( BD_Costos[Mantención &amp; Reparación, %],  BD_Costos[Máquina], BD_Costos_CARGUÍO[[#This Row],[Máquina]])</f>
        <v>0.89999999999999958</v>
      </c>
      <c r="Z75" s="137">
        <f>AVERAGEIFS( BD_Costos[Factor Cons comb, lt/hrpr/hp],  BD_Costos[Máquina], BD_Costos_CARGUÍO[[#This Row],[Máquina]])</f>
        <v>8.1992019241440006E-2</v>
      </c>
      <c r="AA75" s="137">
        <f>AVERAGEIFS( BD_Costos[Factor Lubricantes, %],  BD_Costos[Máquina], BD_Costos_CARGUÍO[[#This Row],[Máquina]])</f>
        <v>0.36770000000000008</v>
      </c>
      <c r="AB75" s="137">
        <f>AVERAGEIFS( BD_Costos[Factor de Reventa, %],  BD_Costos[Máquina], BD_Costos_CARGUÍO[[#This Row],[Máquina]])</f>
        <v>0.1914285714285715</v>
      </c>
      <c r="AC75" s="245">
        <f>AVERAGEIFS(   BD_Costos[Cons comb, lt/hrpr],   BD_Costos[Máquina],       BD_Costos_CARGUÍO[[#This Row],[Máquina]])</f>
        <v>13.051640660921967</v>
      </c>
      <c r="AD75" s="145">
        <f>AVERAGEIFS( BD_Costos[Productividad, %],  BD_Costos[Máquina], BD_Costos_CARGUÍO[[#This Row],[Máquina]])</f>
        <v>0.65</v>
      </c>
    </row>
    <row r="76" spans="2:30" x14ac:dyDescent="0.3">
      <c r="B76" s="178" t="s">
        <v>190</v>
      </c>
      <c r="C76" s="178">
        <v>2002</v>
      </c>
      <c r="D76" s="178" t="s">
        <v>167</v>
      </c>
      <c r="E76" s="178" t="s">
        <v>178</v>
      </c>
      <c r="F76" s="178" t="s">
        <v>1</v>
      </c>
      <c r="G76" s="179">
        <v>116</v>
      </c>
      <c r="H76" s="180">
        <v>179571437.03720888</v>
      </c>
      <c r="I76" s="180">
        <v>35914287.407441773</v>
      </c>
      <c r="J76" s="193">
        <f>BD_Costos[[#This Row],[Valor Reventa (VR), $]]/BD_Costos[[#This Row],[Inv. Inicial (II), $]]</f>
        <v>0.19999999999999998</v>
      </c>
      <c r="K76" s="179">
        <v>5</v>
      </c>
      <c r="L76" s="180">
        <f t="shared" si="1"/>
        <v>28731429.925953425</v>
      </c>
      <c r="M76" s="181">
        <v>0.9</v>
      </c>
      <c r="N76" s="227">
        <v>0.10599152995199999</v>
      </c>
      <c r="O76" s="193">
        <v>0.6</v>
      </c>
      <c r="P76" s="227">
        <v>0.36770000000000003</v>
      </c>
      <c r="Q76" s="193">
        <f>BD_Costos[[#This Row],[Factor Cons comb, lt/hrpr/hp]]*BD_Costos[[#This Row],[Potencia motor, hp]]</f>
        <v>12.295017474431999</v>
      </c>
      <c r="S76" s="121" t="s">
        <v>36</v>
      </c>
      <c r="T76" s="48" t="s">
        <v>183</v>
      </c>
      <c r="U76" s="48">
        <f>_xlfn.MINIFS( BD_Costos[Potencia motor, hp],  BD_Costos[Máquina], BD_Costos_CARGUÍO[[#This Row],[Máquina]])</f>
        <v>115</v>
      </c>
      <c r="V76" s="242">
        <f>_xlfn.MINIFS( BD_Costos[Inv. Inicial (II), $],  BD_Costos[Máquina], BD_Costos_CARGUÍO[[#This Row],[Máquina]] )</f>
        <v>91664710.607973516</v>
      </c>
      <c r="W76" s="49">
        <f>_xlfn.MINIFS( BD_Costos[Vida Útil, años],  BD_Costos[Máquina], BD_Costos_CARGUÍO[[#This Row],[Máquina]] )</f>
        <v>4</v>
      </c>
      <c r="X76" s="242" t="e">
        <f>_xlfn.MINIFS( BD_Costos[Depreciación ($/año)],  BD_Costos[Máquina], BD_Costos_CARGUÍO[[#This Row],[Máquina]] )</f>
        <v>#DIV/0!</v>
      </c>
      <c r="Y76" s="48">
        <f>_xlfn.MINIFS( BD_Costos[Mantención &amp; Reparación, %],  BD_Costos[Máquina], BD_Costos_CARGUÍO[[#This Row],[Máquina]] )</f>
        <v>0.9</v>
      </c>
      <c r="Z76" s="48">
        <f>_xlfn.MINIFS( BD_Costos[Factor Cons comb, lt/hrpr/hp],  BD_Costos[Máquina], BD_Costos_CARGUÍO[[#This Row],[Máquina]] )</f>
        <v>8.1992019241439992E-2</v>
      </c>
      <c r="AA76" s="48">
        <f>_xlfn.MINIFS( BD_Costos[Factor Lubricantes, %],  BD_Costos[Máquina], BD_Costos_CARGUÍO[[#This Row],[Máquina]] )</f>
        <v>0.36770000000000003</v>
      </c>
      <c r="AB76" s="48">
        <f>_xlfn.MINIFS( BD_Costos[Factor de Reventa, %],  BD_Costos[Máquina], BD_Costos_CARGUÍO[[#This Row],[Máquina]] )</f>
        <v>2.0000000000000004E-2</v>
      </c>
      <c r="AC76" s="246">
        <f>_xlfn.MINIFS(  BD_Costos[Cons comb, lt/hrpr],   BD_Costos[Máquina],       BD_Costos_CARGUÍO[[#This Row],[Máquina]])</f>
        <v>9.4290822127656</v>
      </c>
      <c r="AD76" s="141">
        <f>_xlfn.MINIFS( BD_Costos[Productividad, %],  BD_Costos[Máquina], BD_Costos_CARGUÍO[[#This Row],[Máquina]] )</f>
        <v>0.65</v>
      </c>
    </row>
    <row r="77" spans="2:30" ht="15" thickBot="1" x14ac:dyDescent="0.35">
      <c r="B77" s="178" t="s">
        <v>190</v>
      </c>
      <c r="C77" s="178">
        <v>2002</v>
      </c>
      <c r="D77" s="178" t="s">
        <v>167</v>
      </c>
      <c r="E77" s="178" t="s">
        <v>178</v>
      </c>
      <c r="F77" s="178" t="s">
        <v>1</v>
      </c>
      <c r="G77" s="179">
        <v>174</v>
      </c>
      <c r="H77" s="180">
        <v>200853520.78088358</v>
      </c>
      <c r="I77" s="180">
        <v>40170704.156176716</v>
      </c>
      <c r="J77" s="193">
        <f>BD_Costos[[#This Row],[Valor Reventa (VR), $]]/BD_Costos[[#This Row],[Inv. Inicial (II), $]]</f>
        <v>0.2</v>
      </c>
      <c r="K77" s="179">
        <v>5</v>
      </c>
      <c r="L77" s="180">
        <f t="shared" si="1"/>
        <v>32136563.324941374</v>
      </c>
      <c r="M77" s="181">
        <v>0.9</v>
      </c>
      <c r="N77" s="227">
        <v>0.10599152995199999</v>
      </c>
      <c r="O77" s="193">
        <v>0.6</v>
      </c>
      <c r="P77" s="227">
        <v>0.36770000000000003</v>
      </c>
      <c r="Q77" s="193">
        <f>BD_Costos[[#This Row],[Factor Cons comb, lt/hrpr/hp]]*BD_Costos[[#This Row],[Potencia motor, hp]]</f>
        <v>18.442526211647998</v>
      </c>
      <c r="S77" s="123" t="s">
        <v>36</v>
      </c>
      <c r="T77" s="138" t="s">
        <v>184</v>
      </c>
      <c r="U77" s="138">
        <f>_xlfn.MAXIFS( BD_Costos[Potencia motor, hp],  BD_Costos[Máquina], BD_Costos_CARGUÍO[[#This Row],[Máquina]])</f>
        <v>268</v>
      </c>
      <c r="V77" s="244">
        <f>_xlfn.MAXIFS( BD_Costos[Inv. Inicial (II), $],  BD_Costos[Máquina], BD_Costos_CARGUÍO[[#This Row],[Máquina]])</f>
        <v>307417182</v>
      </c>
      <c r="W77" s="131">
        <f>_xlfn.MAXIFS( BD_Costos[Vida Útil, años],  BD_Costos[Máquina], BD_Costos_CARGUÍO[[#This Row],[Máquina]])</f>
        <v>5</v>
      </c>
      <c r="X77" s="244" t="e">
        <f>_xlfn.MAXIFS( BD_Costos[Depreciación ($/año)],  BD_Costos[Máquina], BD_Costos_CARGUÍO[[#This Row],[Máquina]])</f>
        <v>#DIV/0!</v>
      </c>
      <c r="Y77" s="138">
        <f>_xlfn.MAXIFS( BD_Costos[Mantención &amp; Reparación, %],  BD_Costos[Máquina], BD_Costos_CARGUÍO[[#This Row],[Máquina]])</f>
        <v>0.9</v>
      </c>
      <c r="Z77" s="138">
        <f>_xlfn.MAXIFS( BD_Costos[Factor Cons comb, lt/hrpr/hp],  BD_Costos[Máquina], BD_Costos_CARGUÍO[[#This Row],[Máquina]])</f>
        <v>8.1992019241439992E-2</v>
      </c>
      <c r="AA77" s="138">
        <f>_xlfn.MAXIFS( BD_Costos[Factor Lubricantes, %],  BD_Costos[Máquina], BD_Costos_CARGUÍO[[#This Row],[Máquina]])</f>
        <v>0.36770000000000003</v>
      </c>
      <c r="AB77" s="138">
        <f>_xlfn.MAXIFS( BD_Costos[Factor de Reventa, %],  BD_Costos[Máquina], BD_Costos_CARGUÍO[[#This Row],[Máquina]])</f>
        <v>0.20000000000000004</v>
      </c>
      <c r="AC77" s="247">
        <f>_xlfn.MAXIFS(  BD_Costos[Cons comb, lt/hrpr],   BD_Costos[Máquina],       BD_Costos_CARGUÍO[[#This Row],[Máquina]])</f>
        <v>19.678084617945597</v>
      </c>
      <c r="AD77" s="142">
        <f>_xlfn.MAXIFS( BD_Costos[Productividad, %],  BD_Costos[Máquina], BD_Costos_CARGUÍO[[#This Row],[Máquina]])</f>
        <v>0.65</v>
      </c>
    </row>
    <row r="78" spans="2:30" x14ac:dyDescent="0.3">
      <c r="B78" s="178" t="s">
        <v>190</v>
      </c>
      <c r="C78" s="178">
        <v>2002</v>
      </c>
      <c r="D78" s="178" t="s">
        <v>167</v>
      </c>
      <c r="E78" s="178" t="s">
        <v>178</v>
      </c>
      <c r="F78" s="178" t="s">
        <v>1</v>
      </c>
      <c r="G78" s="179">
        <v>185</v>
      </c>
      <c r="H78" s="180">
        <v>215535074.20405626</v>
      </c>
      <c r="I78" s="180">
        <v>43107014.84081126</v>
      </c>
      <c r="J78" s="193">
        <f>BD_Costos[[#This Row],[Valor Reventa (VR), $]]/BD_Costos[[#This Row],[Inv. Inicial (II), $]]</f>
        <v>0.20000000000000004</v>
      </c>
      <c r="K78" s="179">
        <v>5</v>
      </c>
      <c r="L78" s="180">
        <f t="shared" si="1"/>
        <v>34485611.872648999</v>
      </c>
      <c r="M78" s="181">
        <v>0.9</v>
      </c>
      <c r="N78" s="227">
        <v>0.10599152995199999</v>
      </c>
      <c r="O78" s="193">
        <v>0.6</v>
      </c>
      <c r="P78" s="227">
        <v>0.36770000000000003</v>
      </c>
      <c r="Q78" s="193">
        <f>BD_Costos[[#This Row],[Factor Cons comb, lt/hrpr/hp]]*BD_Costos[[#This Row],[Potencia motor, hp]]</f>
        <v>19.608433041119998</v>
      </c>
      <c r="S78" s="121" t="s">
        <v>324</v>
      </c>
      <c r="T78" s="137" t="s">
        <v>182</v>
      </c>
      <c r="U78" s="137" t="e">
        <f>AVERAGEIFS( BD_Costos[Potencia motor, hp],  BD_Costos[Máquina], BD_Costos_CARGUÍO[[#This Row],[Máquina]])</f>
        <v>#DIV/0!</v>
      </c>
      <c r="V78" s="243" t="e">
        <f>AVERAGEIFS( BD_Costos[Inv. Inicial (II), $],  BD_Costos[Máquina], BD_Costos_CARGUÍO[[#This Row],[Máquina]])</f>
        <v>#DIV/0!</v>
      </c>
      <c r="W78" s="186" t="e">
        <f>AVERAGEIFS( BD_Costos[Vida Útil, años],  BD_Costos[Máquina], BD_Costos_CARGUÍO[[#This Row],[Máquina]])</f>
        <v>#DIV/0!</v>
      </c>
      <c r="X78" s="243" t="e">
        <f>AVERAGEIFS( BD_Costos[Depreciación ($/año)],  BD_Costos[Máquina], BD_Costos_CARGUÍO[[#This Row],[Máquina]])</f>
        <v>#DIV/0!</v>
      </c>
      <c r="Y78" s="137" t="e">
        <f>AVERAGEIFS( BD_Costos[Mantención &amp; Reparación, %],  BD_Costos[Máquina], BD_Costos_CARGUÍO[[#This Row],[Máquina]])</f>
        <v>#DIV/0!</v>
      </c>
      <c r="Z78" s="137" t="e">
        <f>AVERAGEIFS( BD_Costos[Factor Cons comb, lt/hrpr/hp],  BD_Costos[Máquina], BD_Costos_CARGUÍO[[#This Row],[Máquina]])</f>
        <v>#DIV/0!</v>
      </c>
      <c r="AA78" s="137" t="e">
        <f>AVERAGEIFS( BD_Costos[Factor Lubricantes, %],  BD_Costos[Máquina], BD_Costos_CARGUÍO[[#This Row],[Máquina]])</f>
        <v>#DIV/0!</v>
      </c>
      <c r="AB78" s="137" t="e">
        <f>AVERAGEIFS( BD_Costos[Factor de Reventa, %],  BD_Costos[Máquina], BD_Costos_CARGUÍO[[#This Row],[Máquina]])</f>
        <v>#DIV/0!</v>
      </c>
      <c r="AC78" s="245" t="e">
        <f>AVERAGEIFS(   BD_Costos[Cons comb, lt/hrpr],   BD_Costos[Máquina],       BD_Costos_CARGUÍO[[#This Row],[Máquina]])</f>
        <v>#DIV/0!</v>
      </c>
      <c r="AD78" s="141" t="e">
        <f>AVERAGEIFS( BD_Costos[Productividad, %],  BD_Costos[Máquina], BD_Costos_CARGUÍO[[#This Row],[Máquina]])</f>
        <v>#DIV/0!</v>
      </c>
    </row>
    <row r="79" spans="2:30" x14ac:dyDescent="0.3">
      <c r="B79" s="178" t="s">
        <v>190</v>
      </c>
      <c r="C79" s="178">
        <v>2002</v>
      </c>
      <c r="D79" s="178" t="s">
        <v>167</v>
      </c>
      <c r="E79" s="178" t="s">
        <v>178</v>
      </c>
      <c r="F79" s="178" t="s">
        <v>1</v>
      </c>
      <c r="G79" s="179">
        <v>230</v>
      </c>
      <c r="H79" s="180">
        <v>220223301.34759042</v>
      </c>
      <c r="I79" s="180">
        <v>44044660.269518085</v>
      </c>
      <c r="J79" s="193">
        <f>BD_Costos[[#This Row],[Valor Reventa (VR), $]]/BD_Costos[[#This Row],[Inv. Inicial (II), $]]</f>
        <v>0.2</v>
      </c>
      <c r="K79" s="179">
        <v>5</v>
      </c>
      <c r="L79" s="180">
        <f t="shared" si="1"/>
        <v>35235728.215614468</v>
      </c>
      <c r="M79" s="181">
        <v>0.9</v>
      </c>
      <c r="N79" s="227">
        <v>0.10599152995199999</v>
      </c>
      <c r="O79" s="193">
        <v>0.6</v>
      </c>
      <c r="P79" s="227">
        <v>0.36770000000000003</v>
      </c>
      <c r="Q79" s="193">
        <f>BD_Costos[[#This Row],[Factor Cons comb, lt/hrpr/hp]]*BD_Costos[[#This Row],[Potencia motor, hp]]</f>
        <v>24.378051888959998</v>
      </c>
      <c r="S79" s="121" t="s">
        <v>324</v>
      </c>
      <c r="T79" s="48" t="s">
        <v>183</v>
      </c>
      <c r="U79" s="48">
        <f>_xlfn.MINIFS( BD_Costos[Potencia motor, hp],  BD_Costos[Máquina], BD_Costos_CARGUÍO[[#This Row],[Máquina]])</f>
        <v>0</v>
      </c>
      <c r="V79" s="242">
        <f>_xlfn.MINIFS( BD_Costos[Inv. Inicial (II), $],  BD_Costos[Máquina], BD_Costos_CARGUÍO[[#This Row],[Máquina]] )</f>
        <v>0</v>
      </c>
      <c r="W79" s="49">
        <f>_xlfn.MINIFS( BD_Costos[Vida Útil, años],  BD_Costos[Máquina], BD_Costos_CARGUÍO[[#This Row],[Máquina]] )</f>
        <v>0</v>
      </c>
      <c r="X79" s="242">
        <f>_xlfn.MINIFS( BD_Costos[Depreciación ($/año)],  BD_Costos[Máquina], BD_Costos_CARGUÍO[[#This Row],[Máquina]] )</f>
        <v>0</v>
      </c>
      <c r="Y79" s="48">
        <f>_xlfn.MINIFS( BD_Costos[Mantención &amp; Reparación, %],  BD_Costos[Máquina], BD_Costos_CARGUÍO[[#This Row],[Máquina]] )</f>
        <v>0</v>
      </c>
      <c r="Z79" s="48">
        <f>_xlfn.MINIFS( BD_Costos[Factor Cons comb, lt/hrpr/hp],  BD_Costos[Máquina], BD_Costos_CARGUÍO[[#This Row],[Máquina]] )</f>
        <v>0</v>
      </c>
      <c r="AA79" s="48">
        <f>_xlfn.MINIFS( BD_Costos[Factor Lubricantes, %],  BD_Costos[Máquina], BD_Costos_CARGUÍO[[#This Row],[Máquina]] )</f>
        <v>0</v>
      </c>
      <c r="AB79" s="48">
        <f>_xlfn.MINIFS( BD_Costos[Factor de Reventa, %],  BD_Costos[Máquina], BD_Costos_CARGUÍO[[#This Row],[Máquina]] )</f>
        <v>0</v>
      </c>
      <c r="AC79" s="246">
        <f>_xlfn.MINIFS(  BD_Costos[Cons comb, lt/hrpr],   BD_Costos[Máquina],       BD_Costos_CARGUÍO[[#This Row],[Máquina]])</f>
        <v>0</v>
      </c>
      <c r="AD79" s="141">
        <f>_xlfn.MINIFS( BD_Costos[Productividad, %],  BD_Costos[Máquina], BD_Costos_CARGUÍO[[#This Row],[Máquina]] )</f>
        <v>0</v>
      </c>
    </row>
    <row r="80" spans="2:30" x14ac:dyDescent="0.3">
      <c r="B80" s="178" t="s">
        <v>190</v>
      </c>
      <c r="C80" s="178">
        <v>2002</v>
      </c>
      <c r="D80" s="178" t="s">
        <v>167</v>
      </c>
      <c r="E80" s="178" t="s">
        <v>178</v>
      </c>
      <c r="F80" s="178" t="s">
        <v>1</v>
      </c>
      <c r="G80" s="179">
        <v>174</v>
      </c>
      <c r="H80" s="180">
        <v>212857849.75630125</v>
      </c>
      <c r="I80" s="180">
        <v>42571569.951260254</v>
      </c>
      <c r="J80" s="193">
        <f>BD_Costos[[#This Row],[Valor Reventa (VR), $]]/BD_Costos[[#This Row],[Inv. Inicial (II), $]]</f>
        <v>0.2</v>
      </c>
      <c r="K80" s="179">
        <v>5</v>
      </c>
      <c r="L80" s="180">
        <f t="shared" si="1"/>
        <v>34057255.961008206</v>
      </c>
      <c r="M80" s="181">
        <v>0.9</v>
      </c>
      <c r="N80" s="227">
        <v>0.10599152995199999</v>
      </c>
      <c r="O80" s="193">
        <v>0.6</v>
      </c>
      <c r="P80" s="227">
        <v>0.36770000000000003</v>
      </c>
      <c r="Q80" s="193">
        <f>BD_Costos[[#This Row],[Factor Cons comb, lt/hrpr/hp]]*BD_Costos[[#This Row],[Potencia motor, hp]]</f>
        <v>18.442526211647998</v>
      </c>
      <c r="S80" s="121" t="s">
        <v>324</v>
      </c>
      <c r="T80" s="48" t="s">
        <v>184</v>
      </c>
      <c r="U80" s="48">
        <f>_xlfn.MAXIFS( BD_Costos[Potencia motor, hp],  BD_Costos[Máquina], BD_Costos_CARGUÍO[[#This Row],[Máquina]])</f>
        <v>0</v>
      </c>
      <c r="V80" s="242">
        <f>_xlfn.MAXIFS( BD_Costos[Inv. Inicial (II), $],  BD_Costos[Máquina], BD_Costos_CARGUÍO[[#This Row],[Máquina]])</f>
        <v>0</v>
      </c>
      <c r="W80" s="49">
        <f>_xlfn.MAXIFS( BD_Costos[Vida Útil, años],  BD_Costos[Máquina], BD_Costos_CARGUÍO[[#This Row],[Máquina]])</f>
        <v>0</v>
      </c>
      <c r="X80" s="242">
        <f>_xlfn.MAXIFS( BD_Costos[Depreciación ($/año)],  BD_Costos[Máquina], BD_Costos_CARGUÍO[[#This Row],[Máquina]])</f>
        <v>0</v>
      </c>
      <c r="Y80" s="48">
        <f>_xlfn.MAXIFS( BD_Costos[Mantención &amp; Reparación, %],  BD_Costos[Máquina], BD_Costos_CARGUÍO[[#This Row],[Máquina]])</f>
        <v>0</v>
      </c>
      <c r="Z80" s="48">
        <f>_xlfn.MAXIFS( BD_Costos[Factor Cons comb, lt/hrpr/hp],  BD_Costos[Máquina], BD_Costos_CARGUÍO[[#This Row],[Máquina]])</f>
        <v>0</v>
      </c>
      <c r="AA80" s="48">
        <f>_xlfn.MAXIFS( BD_Costos[Factor Lubricantes, %],  BD_Costos[Máquina], BD_Costos_CARGUÍO[[#This Row],[Máquina]])</f>
        <v>0</v>
      </c>
      <c r="AB80" s="48">
        <f>_xlfn.MAXIFS( BD_Costos[Factor de Reventa, %],  BD_Costos[Máquina], BD_Costos_CARGUÍO[[#This Row],[Máquina]])</f>
        <v>0</v>
      </c>
      <c r="AC80" s="246">
        <f>_xlfn.MAXIFS(  BD_Costos[Cons comb, lt/hrpr],   BD_Costos[Máquina],       BD_Costos_CARGUÍO[[#This Row],[Máquina]])</f>
        <v>0</v>
      </c>
      <c r="AD80" s="141">
        <f>_xlfn.MAXIFS( BD_Costos[Productividad, %],  BD_Costos[Máquina], BD_Costos_CARGUÍO[[#This Row],[Máquina]])</f>
        <v>0</v>
      </c>
    </row>
    <row r="81" spans="2:30" x14ac:dyDescent="0.3">
      <c r="B81" s="178" t="s">
        <v>190</v>
      </c>
      <c r="C81" s="178">
        <v>2002</v>
      </c>
      <c r="D81" s="178" t="s">
        <v>167</v>
      </c>
      <c r="E81" s="178" t="s">
        <v>178</v>
      </c>
      <c r="F81" s="178" t="s">
        <v>1</v>
      </c>
      <c r="G81" s="179">
        <v>240</v>
      </c>
      <c r="H81" s="180">
        <v>248253964.68998399</v>
      </c>
      <c r="I81" s="180">
        <v>49650792.937996797</v>
      </c>
      <c r="J81" s="193">
        <f>BD_Costos[[#This Row],[Valor Reventa (VR), $]]/BD_Costos[[#This Row],[Inv. Inicial (II), $]]</f>
        <v>0.19999999999999998</v>
      </c>
      <c r="K81" s="179">
        <v>5</v>
      </c>
      <c r="L81" s="180">
        <f t="shared" si="1"/>
        <v>39720634.350397438</v>
      </c>
      <c r="M81" s="181">
        <v>0.9</v>
      </c>
      <c r="N81" s="227">
        <v>0.10599152995199999</v>
      </c>
      <c r="O81" s="193">
        <v>0.6</v>
      </c>
      <c r="P81" s="227">
        <v>0.36770000000000003</v>
      </c>
      <c r="Q81" s="193">
        <f>BD_Costos[[#This Row],[Factor Cons comb, lt/hrpr/hp]]*BD_Costos[[#This Row],[Potencia motor, hp]]</f>
        <v>25.437967188479998</v>
      </c>
    </row>
    <row r="82" spans="2:30" x14ac:dyDescent="0.3">
      <c r="B82" s="178" t="s">
        <v>190</v>
      </c>
      <c r="C82" s="178">
        <v>2002</v>
      </c>
      <c r="D82" s="178" t="s">
        <v>167</v>
      </c>
      <c r="E82" s="178" t="s">
        <v>178</v>
      </c>
      <c r="F82" s="178" t="s">
        <v>1</v>
      </c>
      <c r="G82" s="179">
        <v>240</v>
      </c>
      <c r="H82" s="180">
        <v>332222580.31865072</v>
      </c>
      <c r="I82" s="180">
        <v>66444516.063730128</v>
      </c>
      <c r="J82" s="193">
        <f>BD_Costos[[#This Row],[Valor Reventa (VR), $]]/BD_Costos[[#This Row],[Inv. Inicial (II), $]]</f>
        <v>0.19999999999999996</v>
      </c>
      <c r="K82" s="179">
        <v>5</v>
      </c>
      <c r="L82" s="180">
        <f t="shared" si="1"/>
        <v>53155612.850984119</v>
      </c>
      <c r="M82" s="181">
        <v>0.9</v>
      </c>
      <c r="N82" s="227">
        <v>0.10599152995199999</v>
      </c>
      <c r="O82" s="193">
        <v>0.6</v>
      </c>
      <c r="P82" s="227">
        <v>0.36770000000000003</v>
      </c>
      <c r="Q82" s="193">
        <f>BD_Costos[[#This Row],[Factor Cons comb, lt/hrpr/hp]]*BD_Costos[[#This Row],[Potencia motor, hp]]</f>
        <v>25.437967188479998</v>
      </c>
    </row>
    <row r="83" spans="2:30" x14ac:dyDescent="0.3">
      <c r="B83" s="178" t="s">
        <v>190</v>
      </c>
      <c r="C83" s="178">
        <v>2002</v>
      </c>
      <c r="D83" s="178" t="s">
        <v>167</v>
      </c>
      <c r="E83" s="178" t="s">
        <v>178</v>
      </c>
      <c r="F83" s="178" t="s">
        <v>1</v>
      </c>
      <c r="G83" s="179">
        <v>148</v>
      </c>
      <c r="H83" s="180">
        <v>176948497.32480004</v>
      </c>
      <c r="I83" s="180">
        <v>35389699.464960016</v>
      </c>
      <c r="J83" s="193">
        <f>BD_Costos[[#This Row],[Valor Reventa (VR), $]]/BD_Costos[[#This Row],[Inv. Inicial (II), $]]</f>
        <v>0.20000000000000004</v>
      </c>
      <c r="K83" s="179">
        <v>5</v>
      </c>
      <c r="L83" s="180">
        <f t="shared" si="1"/>
        <v>28311759.571968008</v>
      </c>
      <c r="M83" s="181">
        <v>0.9</v>
      </c>
      <c r="N83" s="227">
        <v>0.10599152995199999</v>
      </c>
      <c r="O83" s="193">
        <v>0.6</v>
      </c>
      <c r="P83" s="227">
        <v>0.36770000000000003</v>
      </c>
      <c r="Q83" s="193">
        <f>BD_Costos[[#This Row],[Factor Cons comb, lt/hrpr/hp]]*BD_Costos[[#This Row],[Potencia motor, hp]]</f>
        <v>15.686746432895999</v>
      </c>
    </row>
    <row r="84" spans="2:30" x14ac:dyDescent="0.3">
      <c r="B84" s="178" t="s">
        <v>190</v>
      </c>
      <c r="C84" s="178">
        <v>2002</v>
      </c>
      <c r="D84" s="178" t="s">
        <v>167</v>
      </c>
      <c r="E84" s="178" t="s">
        <v>178</v>
      </c>
      <c r="F84" s="178" t="s">
        <v>1</v>
      </c>
      <c r="G84" s="179">
        <v>148</v>
      </c>
      <c r="H84" s="180">
        <v>198547653.27265587</v>
      </c>
      <c r="I84" s="180">
        <v>39709530.654531173</v>
      </c>
      <c r="J84" s="193">
        <f>BD_Costos[[#This Row],[Valor Reventa (VR), $]]/BD_Costos[[#This Row],[Inv. Inicial (II), $]]</f>
        <v>0.19999999999999998</v>
      </c>
      <c r="K84" s="179">
        <v>5</v>
      </c>
      <c r="L84" s="180">
        <f t="shared" ref="L84:L115" si="2">(H84-I84)/K84</f>
        <v>31767624.523624938</v>
      </c>
      <c r="M84" s="181">
        <v>0.9</v>
      </c>
      <c r="N84" s="227">
        <v>0.10599152995199999</v>
      </c>
      <c r="O84" s="193">
        <v>0.6</v>
      </c>
      <c r="P84" s="227">
        <v>0.36770000000000003</v>
      </c>
      <c r="Q84" s="193">
        <f>BD_Costos[[#This Row],[Factor Cons comb, lt/hrpr/hp]]*BD_Costos[[#This Row],[Potencia motor, hp]]</f>
        <v>15.686746432895999</v>
      </c>
    </row>
    <row r="85" spans="2:30" x14ac:dyDescent="0.3">
      <c r="B85" s="178" t="s">
        <v>190</v>
      </c>
      <c r="C85" s="178">
        <v>2002</v>
      </c>
      <c r="D85" s="178" t="s">
        <v>167</v>
      </c>
      <c r="E85" s="178" t="s">
        <v>178</v>
      </c>
      <c r="F85" s="178" t="s">
        <v>1</v>
      </c>
      <c r="G85" s="179">
        <v>174</v>
      </c>
      <c r="H85" s="180">
        <v>190710911.47904304</v>
      </c>
      <c r="I85" s="180">
        <v>38142182.295808606</v>
      </c>
      <c r="J85" s="193">
        <f>BD_Costos[[#This Row],[Valor Reventa (VR), $]]/BD_Costos[[#This Row],[Inv. Inicial (II), $]]</f>
        <v>0.19999999999999998</v>
      </c>
      <c r="K85" s="179">
        <v>5</v>
      </c>
      <c r="L85" s="180">
        <f t="shared" si="2"/>
        <v>30513745.836646885</v>
      </c>
      <c r="M85" s="181">
        <v>0.9</v>
      </c>
      <c r="N85" s="227">
        <v>0.10599152995199999</v>
      </c>
      <c r="O85" s="193">
        <v>0.6</v>
      </c>
      <c r="P85" s="227">
        <v>0.36770000000000003</v>
      </c>
      <c r="Q85" s="193">
        <f>BD_Costos[[#This Row],[Factor Cons comb, lt/hrpr/hp]]*BD_Costos[[#This Row],[Potencia motor, hp]]</f>
        <v>18.442526211647998</v>
      </c>
    </row>
    <row r="86" spans="2:30" ht="15" thickBot="1" x14ac:dyDescent="0.35">
      <c r="B86" s="178" t="s">
        <v>190</v>
      </c>
      <c r="C86" s="178">
        <v>2002</v>
      </c>
      <c r="D86" s="178" t="s">
        <v>167</v>
      </c>
      <c r="E86" s="178" t="s">
        <v>178</v>
      </c>
      <c r="F86" s="178" t="s">
        <v>1</v>
      </c>
      <c r="G86" s="179">
        <v>174</v>
      </c>
      <c r="H86" s="180">
        <v>213248946.59959081</v>
      </c>
      <c r="I86" s="180">
        <v>42649789.319918163</v>
      </c>
      <c r="J86" s="193">
        <f>BD_Costos[[#This Row],[Valor Reventa (VR), $]]/BD_Costos[[#This Row],[Inv. Inicial (II), $]]</f>
        <v>0.2</v>
      </c>
      <c r="K86" s="179">
        <v>5</v>
      </c>
      <c r="L86" s="180">
        <f t="shared" si="2"/>
        <v>34119831.455934532</v>
      </c>
      <c r="M86" s="181">
        <v>0.9</v>
      </c>
      <c r="N86" s="227">
        <v>0.10599152995199999</v>
      </c>
      <c r="O86" s="193">
        <v>0.6</v>
      </c>
      <c r="P86" s="227">
        <v>0.36770000000000003</v>
      </c>
      <c r="Q86" s="193">
        <f>BD_Costos[[#This Row],[Factor Cons comb, lt/hrpr/hp]]*BD_Costos[[#This Row],[Potencia motor, hp]]</f>
        <v>18.442526211647998</v>
      </c>
      <c r="S86" s="251" t="s">
        <v>4</v>
      </c>
      <c r="T86" s="79" t="s">
        <v>317</v>
      </c>
      <c r="U86" s="79" t="s">
        <v>165</v>
      </c>
      <c r="V86" s="79" t="s">
        <v>170</v>
      </c>
      <c r="W86" s="79" t="s">
        <v>172</v>
      </c>
      <c r="X86" s="79" t="s">
        <v>173</v>
      </c>
      <c r="Y86" s="185" t="s">
        <v>309</v>
      </c>
      <c r="Z86" s="241" t="s">
        <v>263</v>
      </c>
      <c r="AA86" s="79" t="s">
        <v>176</v>
      </c>
      <c r="AB86" s="79" t="s">
        <v>307</v>
      </c>
      <c r="AC86" s="241" t="s">
        <v>264</v>
      </c>
      <c r="AD86" s="252" t="s">
        <v>57</v>
      </c>
    </row>
    <row r="87" spans="2:30" x14ac:dyDescent="0.3">
      <c r="B87" s="178" t="s">
        <v>190</v>
      </c>
      <c r="C87" s="178">
        <v>2002</v>
      </c>
      <c r="D87" s="178" t="s">
        <v>167</v>
      </c>
      <c r="E87" s="178" t="s">
        <v>178</v>
      </c>
      <c r="F87" s="178" t="s">
        <v>1</v>
      </c>
      <c r="G87" s="179">
        <v>185</v>
      </c>
      <c r="H87" s="180">
        <v>275037312.86340046</v>
      </c>
      <c r="I87" s="180">
        <v>55007462.572680093</v>
      </c>
      <c r="J87" s="193">
        <f>BD_Costos[[#This Row],[Valor Reventa (VR), $]]/BD_Costos[[#This Row],[Inv. Inicial (II), $]]</f>
        <v>0.2</v>
      </c>
      <c r="K87" s="179">
        <v>5</v>
      </c>
      <c r="L87" s="180">
        <f t="shared" si="2"/>
        <v>44005970.058144078</v>
      </c>
      <c r="M87" s="181">
        <v>0.9</v>
      </c>
      <c r="N87" s="227">
        <v>0.10599152995199999</v>
      </c>
      <c r="O87" s="193">
        <v>0.6</v>
      </c>
      <c r="P87" s="227">
        <v>0.36770000000000003</v>
      </c>
      <c r="Q87" s="193">
        <f>BD_Costos[[#This Row],[Factor Cons comb, lt/hrpr/hp]]*BD_Costos[[#This Row],[Potencia motor, hp]]</f>
        <v>19.608433041119998</v>
      </c>
      <c r="S87" s="119" t="s">
        <v>40</v>
      </c>
      <c r="T87" s="137" t="s">
        <v>182</v>
      </c>
      <c r="U87" s="137" t="e">
        <f>AVERAGEIFS( BD_Costos[Potencia motor, hp],  BD_Costos[Máquina], BD_Costos_TRANSPORTE[[#This Row],[Máquina]])</f>
        <v>#DIV/0!</v>
      </c>
      <c r="V87" s="243">
        <f>AVERAGEIFS( BD_Costos[Inv. Inicial (II), $],  BD_Costos[Máquina], BD_Costos_TRANSPORTE[[#This Row],[Máquina]])</f>
        <v>76900000</v>
      </c>
      <c r="W87" s="186" t="e">
        <f>AVERAGEIFS( BD_Costos[Vida Útil, años],  BD_Costos[Máquina], BD_Costos_TRANSPORTE[[#This Row],[Máquina]])</f>
        <v>#DIV/0!</v>
      </c>
      <c r="X87" s="243" t="e">
        <f>AVERAGEIFS( BD_Costos[Depreciación ($/año)],  BD_Costos[Máquina], BD_Costos_TRANSPORTE[[#This Row],[Máquina]])</f>
        <v>#DIV/0!</v>
      </c>
      <c r="Y87" s="137">
        <f>AVERAGEIFS( BD_Costos[Mantención &amp; Reparación, %],  BD_Costos[Máquina], BD_Costos_TRANSPORTE[[#This Row],[Máquina]])</f>
        <v>0.9</v>
      </c>
      <c r="Z87" s="137" t="e">
        <f>AVERAGEIFS( BD_Costos[Factor Cons comb, lt/hrpr/hp],  BD_Costos[Máquina], BD_Costos_TRANSPORTE[[#This Row],[Máquina]])</f>
        <v>#DIV/0!</v>
      </c>
      <c r="AA87" s="137" t="e">
        <f>AVERAGEIFS( BD_Costos[Factor Lubricantes, %],  BD_Costos[Máquina], BD_Costos_TRANSPORTE[[#This Row],[Máquina]])</f>
        <v>#DIV/0!</v>
      </c>
      <c r="AB87" s="137">
        <f>AVERAGEIFS( BD_Costos[Factor de Reventa, %],  BD_Costos[Máquina], BD_Costos_TRANSPORTE[[#This Row],[Máquina]])</f>
        <v>0</v>
      </c>
      <c r="AC87" s="245">
        <f>AVERAGEIFS(   BD_Costos[Cons comb, lt/hrpr],   BD_Costos[Máquina],       BD_Costos_TRANSPORTE[[#This Row],[Máquina]])</f>
        <v>63.156049999999993</v>
      </c>
      <c r="AD87" s="145">
        <f>AVERAGEIFS( BD_Costos[Productividad, %],  BD_Costos[Máquina], BD_Costos_TRANSPORTE[[#This Row],[Máquina]])</f>
        <v>0.8</v>
      </c>
    </row>
    <row r="88" spans="2:30" x14ac:dyDescent="0.3">
      <c r="B88" s="178" t="s">
        <v>190</v>
      </c>
      <c r="C88" s="178">
        <v>2002</v>
      </c>
      <c r="D88" s="178" t="s">
        <v>167</v>
      </c>
      <c r="E88" s="178" t="s">
        <v>178</v>
      </c>
      <c r="F88" s="178" t="s">
        <v>1</v>
      </c>
      <c r="G88" s="179">
        <v>215</v>
      </c>
      <c r="H88" s="180">
        <v>245518754.27492738</v>
      </c>
      <c r="I88" s="180">
        <v>49103750.854985483</v>
      </c>
      <c r="J88" s="193">
        <f>BD_Costos[[#This Row],[Valor Reventa (VR), $]]/BD_Costos[[#This Row],[Inv. Inicial (II), $]]</f>
        <v>0.20000000000000004</v>
      </c>
      <c r="K88" s="179">
        <v>5</v>
      </c>
      <c r="L88" s="180">
        <f t="shared" si="2"/>
        <v>39283000.683988377</v>
      </c>
      <c r="M88" s="181">
        <v>0.9</v>
      </c>
      <c r="N88" s="227">
        <v>0.10599152995199999</v>
      </c>
      <c r="O88" s="193">
        <v>0.6</v>
      </c>
      <c r="P88" s="227">
        <v>0.36770000000000003</v>
      </c>
      <c r="Q88" s="193">
        <f>BD_Costos[[#This Row],[Factor Cons comb, lt/hrpr/hp]]*BD_Costos[[#This Row],[Potencia motor, hp]]</f>
        <v>22.788178939679998</v>
      </c>
      <c r="S88" s="121" t="s">
        <v>40</v>
      </c>
      <c r="T88" s="48" t="s">
        <v>183</v>
      </c>
      <c r="U88" s="48">
        <f>_xlfn.MINIFS( BD_Costos[Potencia motor, hp],  BD_Costos[Máquina], BD_Costos_TRANSPORTE[[#This Row],[Máquina]])</f>
        <v>0</v>
      </c>
      <c r="V88" s="242">
        <f>_xlfn.MINIFS( BD_Costos[Inv. Inicial (II), $],  BD_Costos[Máquina], BD_Costos_TRANSPORTE[[#This Row],[Máquina]] )</f>
        <v>76900000</v>
      </c>
      <c r="W88" s="49">
        <f>_xlfn.MINIFS( BD_Costos[Vida Útil, años],  BD_Costos[Máquina], BD_Costos_TRANSPORTE[[#This Row],[Máquina]] )</f>
        <v>0</v>
      </c>
      <c r="X88" s="242" t="e">
        <f>_xlfn.MINIFS( BD_Costos[Depreciación ($/año)],  BD_Costos[Máquina], BD_Costos_TRANSPORTE[[#This Row],[Máquina]] )</f>
        <v>#DIV/0!</v>
      </c>
      <c r="Y88" s="48">
        <f>_xlfn.MINIFS( BD_Costos[Mantención &amp; Reparación, %],  BD_Costos[Máquina], BD_Costos_TRANSPORTE[[#This Row],[Máquina]] )</f>
        <v>0.9</v>
      </c>
      <c r="Z88" s="48">
        <f>_xlfn.MINIFS( BD_Costos[Factor Cons comb, lt/hrpr/hp],  BD_Costos[Máquina], BD_Costos_TRANSPORTE[[#This Row],[Máquina]] )</f>
        <v>0</v>
      </c>
      <c r="AA88" s="48">
        <f>_xlfn.MINIFS( BD_Costos[Factor Lubricantes, %],  BD_Costos[Máquina], BD_Costos_TRANSPORTE[[#This Row],[Máquina]] )</f>
        <v>0</v>
      </c>
      <c r="AB88" s="48">
        <f>_xlfn.MINIFS( BD_Costos[Factor de Reventa, %],  BD_Costos[Máquina], BD_Costos_TRANSPORTE[[#This Row],[Máquina]] )</f>
        <v>0</v>
      </c>
      <c r="AC88" s="246">
        <f>_xlfn.MINIFS(  BD_Costos[Cons comb, lt/hrpr],   BD_Costos[Máquina],       BD_Costos_TRANSPORTE[[#This Row],[Máquina]])</f>
        <v>27.4</v>
      </c>
      <c r="AD88" s="141">
        <f>_xlfn.MINIFS( BD_Costos[Productividad, %],  BD_Costos[Máquina], BD_Costos_TRANSPORTE[[#This Row],[Máquina]] )</f>
        <v>0.8</v>
      </c>
    </row>
    <row r="89" spans="2:30" ht="15" thickBot="1" x14ac:dyDescent="0.35">
      <c r="B89" s="178" t="s">
        <v>190</v>
      </c>
      <c r="C89" s="178">
        <v>2002</v>
      </c>
      <c r="D89" s="178" t="s">
        <v>167</v>
      </c>
      <c r="E89" s="178" t="s">
        <v>178</v>
      </c>
      <c r="F89" s="178" t="s">
        <v>1</v>
      </c>
      <c r="G89" s="179">
        <v>215</v>
      </c>
      <c r="H89" s="180">
        <v>299994719.93880892</v>
      </c>
      <c r="I89" s="180">
        <v>59998943.987761788</v>
      </c>
      <c r="J89" s="193">
        <f>BD_Costos[[#This Row],[Valor Reventa (VR), $]]/BD_Costos[[#This Row],[Inv. Inicial (II), $]]</f>
        <v>0.2</v>
      </c>
      <c r="K89" s="179">
        <v>5</v>
      </c>
      <c r="L89" s="180">
        <f t="shared" si="2"/>
        <v>47999155.190209426</v>
      </c>
      <c r="M89" s="181">
        <v>0.9</v>
      </c>
      <c r="N89" s="227">
        <v>0.10599152995199999</v>
      </c>
      <c r="O89" s="193">
        <v>0.6</v>
      </c>
      <c r="P89" s="227">
        <v>0.36770000000000003</v>
      </c>
      <c r="Q89" s="193">
        <f>BD_Costos[[#This Row],[Factor Cons comb, lt/hrpr/hp]]*BD_Costos[[#This Row],[Potencia motor, hp]]</f>
        <v>22.788178939679998</v>
      </c>
      <c r="S89" s="123" t="s">
        <v>40</v>
      </c>
      <c r="T89" s="138" t="s">
        <v>184</v>
      </c>
      <c r="U89" s="138">
        <f>_xlfn.MAXIFS( BD_Costos[Potencia motor, hp],  BD_Costos[Máquina], BD_Costos_TRANSPORTE[[#This Row],[Máquina]])</f>
        <v>0</v>
      </c>
      <c r="V89" s="244">
        <f>_xlfn.MAXIFS( BD_Costos[Inv. Inicial (II), $],  BD_Costos[Máquina], BD_Costos_TRANSPORTE[[#This Row],[Máquina]])</f>
        <v>76900000</v>
      </c>
      <c r="W89" s="131">
        <f>_xlfn.MAXIFS( BD_Costos[Vida Útil, años],  BD_Costos[Máquina], BD_Costos_TRANSPORTE[[#This Row],[Máquina]])</f>
        <v>0</v>
      </c>
      <c r="X89" s="244" t="e">
        <f>_xlfn.MAXIFS( BD_Costos[Depreciación ($/año)],  BD_Costos[Máquina], BD_Costos_TRANSPORTE[[#This Row],[Máquina]])</f>
        <v>#DIV/0!</v>
      </c>
      <c r="Y89" s="138">
        <f>_xlfn.MAXIFS( BD_Costos[Mantención &amp; Reparación, %],  BD_Costos[Máquina], BD_Costos_TRANSPORTE[[#This Row],[Máquina]])</f>
        <v>0.9</v>
      </c>
      <c r="Z89" s="138">
        <f>_xlfn.MAXIFS( BD_Costos[Factor Cons comb, lt/hrpr/hp],  BD_Costos[Máquina], BD_Costos_TRANSPORTE[[#This Row],[Máquina]])</f>
        <v>0</v>
      </c>
      <c r="AA89" s="138">
        <f>_xlfn.MAXIFS( BD_Costos[Factor Lubricantes, %],  BD_Costos[Máquina], BD_Costos_TRANSPORTE[[#This Row],[Máquina]])</f>
        <v>0</v>
      </c>
      <c r="AB89" s="138">
        <f>_xlfn.MAXIFS( BD_Costos[Factor de Reventa, %],  BD_Costos[Máquina], BD_Costos_TRANSPORTE[[#This Row],[Máquina]])</f>
        <v>0</v>
      </c>
      <c r="AC89" s="247">
        <f>_xlfn.MAXIFS(  BD_Costos[Cons comb, lt/hrpr],   BD_Costos[Máquina],       BD_Costos_TRANSPORTE[[#This Row],[Máquina]])</f>
        <v>98.912099999999995</v>
      </c>
      <c r="AD89" s="142">
        <f>_xlfn.MAXIFS( BD_Costos[Productividad, %],  BD_Costos[Máquina], BD_Costos_TRANSPORTE[[#This Row],[Máquina]])</f>
        <v>0.8</v>
      </c>
    </row>
    <row r="90" spans="2:30" x14ac:dyDescent="0.3">
      <c r="B90" s="178" t="s">
        <v>190</v>
      </c>
      <c r="C90" s="178">
        <v>2002</v>
      </c>
      <c r="D90" s="178" t="s">
        <v>167</v>
      </c>
      <c r="E90" s="178" t="s">
        <v>178</v>
      </c>
      <c r="F90" s="178" t="s">
        <v>1</v>
      </c>
      <c r="G90" s="179">
        <v>136</v>
      </c>
      <c r="H90" s="180">
        <v>294704425.73052621</v>
      </c>
      <c r="I90" s="180">
        <v>58940885.146105237</v>
      </c>
      <c r="J90" s="193">
        <f>BD_Costos[[#This Row],[Valor Reventa (VR), $]]/BD_Costos[[#This Row],[Inv. Inicial (II), $]]</f>
        <v>0.19999999999999998</v>
      </c>
      <c r="K90" s="179">
        <v>5</v>
      </c>
      <c r="L90" s="180">
        <f t="shared" si="2"/>
        <v>47152708.116884194</v>
      </c>
      <c r="M90" s="181">
        <v>0.9</v>
      </c>
      <c r="N90" s="227">
        <v>0.10599152995199999</v>
      </c>
      <c r="O90" s="193">
        <v>0.6</v>
      </c>
      <c r="P90" s="227">
        <v>0.36770000000000003</v>
      </c>
      <c r="Q90" s="193">
        <f>BD_Costos[[#This Row],[Factor Cons comb, lt/hrpr/hp]]*BD_Costos[[#This Row],[Potencia motor, hp]]</f>
        <v>14.414848073471999</v>
      </c>
    </row>
    <row r="91" spans="2:30" x14ac:dyDescent="0.3">
      <c r="B91" s="178" t="s">
        <v>190</v>
      </c>
      <c r="C91" s="178">
        <v>2002</v>
      </c>
      <c r="D91" s="178" t="s">
        <v>167</v>
      </c>
      <c r="E91" s="178" t="s">
        <v>178</v>
      </c>
      <c r="F91" s="178" t="s">
        <v>1</v>
      </c>
      <c r="G91" s="179">
        <v>166</v>
      </c>
      <c r="H91" s="180">
        <v>346498231.97071213</v>
      </c>
      <c r="I91" s="180">
        <v>69299646.394142434</v>
      </c>
      <c r="J91" s="193">
        <f>BD_Costos[[#This Row],[Valor Reventa (VR), $]]/BD_Costos[[#This Row],[Inv. Inicial (II), $]]</f>
        <v>0.20000000000000004</v>
      </c>
      <c r="K91" s="179">
        <v>5</v>
      </c>
      <c r="L91" s="180">
        <f t="shared" si="2"/>
        <v>55439717.115313932</v>
      </c>
      <c r="M91" s="181">
        <v>0.9</v>
      </c>
      <c r="N91" s="227">
        <v>0.10599152995199999</v>
      </c>
      <c r="O91" s="193">
        <v>0.6</v>
      </c>
      <c r="P91" s="227">
        <v>0.36770000000000003</v>
      </c>
      <c r="Q91" s="193">
        <f>BD_Costos[[#This Row],[Factor Cons comb, lt/hrpr/hp]]*BD_Costos[[#This Row],[Potencia motor, hp]]</f>
        <v>17.594593972031998</v>
      </c>
    </row>
    <row r="92" spans="2:30" x14ac:dyDescent="0.3">
      <c r="B92" s="178" t="s">
        <v>190</v>
      </c>
      <c r="C92" s="178">
        <v>2002</v>
      </c>
      <c r="D92" s="178" t="s">
        <v>167</v>
      </c>
      <c r="E92" s="178" t="s">
        <v>178</v>
      </c>
      <c r="F92" s="178" t="s">
        <v>1</v>
      </c>
      <c r="G92" s="179">
        <v>240</v>
      </c>
      <c r="H92" s="180">
        <v>322253928.91871494</v>
      </c>
      <c r="I92" s="180">
        <v>64450785.783742994</v>
      </c>
      <c r="J92" s="193">
        <f>BD_Costos[[#This Row],[Valor Reventa (VR), $]]/BD_Costos[[#This Row],[Inv. Inicial (II), $]]</f>
        <v>0.2</v>
      </c>
      <c r="K92" s="179">
        <v>5</v>
      </c>
      <c r="L92" s="180">
        <f t="shared" si="2"/>
        <v>51560628.626994386</v>
      </c>
      <c r="M92" s="181">
        <v>1</v>
      </c>
      <c r="N92" s="227">
        <v>0.10599152995199999</v>
      </c>
      <c r="O92" s="193">
        <v>0.65</v>
      </c>
      <c r="P92" s="227">
        <v>0.36770000000000003</v>
      </c>
      <c r="Q92" s="193">
        <f>BD_Costos[[#This Row],[Factor Cons comb, lt/hrpr/hp]]*BD_Costos[[#This Row],[Potencia motor, hp]]</f>
        <v>25.437967188479998</v>
      </c>
    </row>
    <row r="93" spans="2:30" x14ac:dyDescent="0.3">
      <c r="B93" s="178" t="s">
        <v>190</v>
      </c>
      <c r="C93" s="178">
        <v>2002</v>
      </c>
      <c r="D93" s="178" t="s">
        <v>166</v>
      </c>
      <c r="E93" s="178" t="s">
        <v>178</v>
      </c>
      <c r="F93" s="178" t="s">
        <v>1</v>
      </c>
      <c r="G93" s="179">
        <v>260</v>
      </c>
      <c r="H93" s="180">
        <v>363164879.465976</v>
      </c>
      <c r="I93" s="180">
        <v>72632975.893195197</v>
      </c>
      <c r="J93" s="193">
        <f>BD_Costos[[#This Row],[Valor Reventa (VR), $]]/BD_Costos[[#This Row],[Inv. Inicial (II), $]]</f>
        <v>0.19999999999999998</v>
      </c>
      <c r="K93" s="179">
        <v>5</v>
      </c>
      <c r="L93" s="180">
        <f t="shared" si="2"/>
        <v>58106380.714556158</v>
      </c>
      <c r="M93" s="181">
        <v>1</v>
      </c>
      <c r="N93" s="227">
        <v>0.10599152995199999</v>
      </c>
      <c r="O93" s="193">
        <v>0.65</v>
      </c>
      <c r="P93" s="227">
        <v>0.36770000000000003</v>
      </c>
      <c r="Q93" s="193">
        <f>BD_Costos[[#This Row],[Factor Cons comb, lt/hrpr/hp]]*BD_Costos[[#This Row],[Potencia motor, hp]]</f>
        <v>27.557797787519998</v>
      </c>
    </row>
    <row r="94" spans="2:30" x14ac:dyDescent="0.3">
      <c r="B94" s="178" t="s">
        <v>190</v>
      </c>
      <c r="C94" s="178">
        <v>2002</v>
      </c>
      <c r="D94" s="178" t="s">
        <v>166</v>
      </c>
      <c r="E94" s="178" t="s">
        <v>178</v>
      </c>
      <c r="F94" s="178" t="s">
        <v>1</v>
      </c>
      <c r="G94" s="179">
        <v>260</v>
      </c>
      <c r="H94" s="180">
        <v>369181848.8815065</v>
      </c>
      <c r="I94" s="180">
        <v>73836369.776301309</v>
      </c>
      <c r="J94" s="193">
        <f>BD_Costos[[#This Row],[Valor Reventa (VR), $]]/BD_Costos[[#This Row],[Inv. Inicial (II), $]]</f>
        <v>0.2</v>
      </c>
      <c r="K94" s="179">
        <v>5</v>
      </c>
      <c r="L94" s="180">
        <f t="shared" si="2"/>
        <v>59069095.821041033</v>
      </c>
      <c r="M94" s="181">
        <v>1</v>
      </c>
      <c r="N94" s="227">
        <v>0.10599152995199999</v>
      </c>
      <c r="O94" s="193">
        <v>0.65</v>
      </c>
      <c r="P94" s="227">
        <v>0.36770000000000003</v>
      </c>
      <c r="Q94" s="193">
        <f>BD_Costos[[#This Row],[Factor Cons comb, lt/hrpr/hp]]*BD_Costos[[#This Row],[Potencia motor, hp]]</f>
        <v>27.557797787519998</v>
      </c>
    </row>
    <row r="95" spans="2:30" x14ac:dyDescent="0.3">
      <c r="B95" s="178" t="s">
        <v>190</v>
      </c>
      <c r="C95" s="178">
        <v>2002</v>
      </c>
      <c r="D95" s="178" t="s">
        <v>20</v>
      </c>
      <c r="E95" s="178" t="s">
        <v>178</v>
      </c>
      <c r="F95" s="178" t="s">
        <v>192</v>
      </c>
      <c r="G95" s="179">
        <v>163</v>
      </c>
      <c r="H95" s="180">
        <v>445578977.67336559</v>
      </c>
      <c r="I95" s="180">
        <v>89115795.53467311</v>
      </c>
      <c r="J95" s="193">
        <f>BD_Costos[[#This Row],[Valor Reventa (VR), $]]/BD_Costos[[#This Row],[Inv. Inicial (II), $]]</f>
        <v>0.19999999999999998</v>
      </c>
      <c r="K95" s="179">
        <v>6</v>
      </c>
      <c r="L95" s="180">
        <f t="shared" si="2"/>
        <v>59410530.356448747</v>
      </c>
      <c r="M95" s="181">
        <v>0.3</v>
      </c>
      <c r="N95" s="229">
        <v>9.4181045185919993E-2</v>
      </c>
      <c r="O95" s="193">
        <v>0.8</v>
      </c>
      <c r="P95" s="228">
        <v>0.36770000000000003</v>
      </c>
      <c r="Q95" s="193">
        <f>BD_Costos[[#This Row],[Factor Cons comb, lt/hrpr/hp]]*BD_Costos[[#This Row],[Potencia motor, hp]]</f>
        <v>15.351510365304959</v>
      </c>
    </row>
    <row r="96" spans="2:30" x14ac:dyDescent="0.3">
      <c r="B96" s="178" t="s">
        <v>190</v>
      </c>
      <c r="C96" s="178">
        <v>2002</v>
      </c>
      <c r="D96" s="178" t="s">
        <v>20</v>
      </c>
      <c r="E96" s="178" t="s">
        <v>178</v>
      </c>
      <c r="F96" s="178" t="s">
        <v>192</v>
      </c>
      <c r="G96" s="179">
        <v>116</v>
      </c>
      <c r="H96" s="180">
        <v>233917859.58265066</v>
      </c>
      <c r="I96" s="180">
        <v>46783571.916530132</v>
      </c>
      <c r="J96" s="193">
        <f>BD_Costos[[#This Row],[Valor Reventa (VR), $]]/BD_Costos[[#This Row],[Inv. Inicial (II), $]]</f>
        <v>0.2</v>
      </c>
      <c r="K96" s="179">
        <v>6</v>
      </c>
      <c r="L96" s="180">
        <f t="shared" si="2"/>
        <v>31189047.94435342</v>
      </c>
      <c r="M96" s="181">
        <v>0.3</v>
      </c>
      <c r="N96" s="229">
        <v>9.4181045185919993E-2</v>
      </c>
      <c r="O96" s="193">
        <v>0.8</v>
      </c>
      <c r="P96" s="228">
        <v>0.36770000000000003</v>
      </c>
      <c r="Q96" s="193">
        <f>BD_Costos[[#This Row],[Factor Cons comb, lt/hrpr/hp]]*BD_Costos[[#This Row],[Potencia motor, hp]]</f>
        <v>10.925001241566719</v>
      </c>
    </row>
    <row r="97" spans="2:17" x14ac:dyDescent="0.3">
      <c r="B97" s="178" t="s">
        <v>190</v>
      </c>
      <c r="C97" s="178">
        <v>2002</v>
      </c>
      <c r="D97" s="178" t="s">
        <v>20</v>
      </c>
      <c r="E97" s="178" t="s">
        <v>178</v>
      </c>
      <c r="F97" s="178" t="s">
        <v>192</v>
      </c>
      <c r="G97" s="179">
        <v>152</v>
      </c>
      <c r="H97" s="180">
        <v>260443355.26317278</v>
      </c>
      <c r="I97" s="180">
        <v>52088671.052634552</v>
      </c>
      <c r="J97" s="193">
        <f>BD_Costos[[#This Row],[Valor Reventa (VR), $]]/BD_Costos[[#This Row],[Inv. Inicial (II), $]]</f>
        <v>0.19999999999999998</v>
      </c>
      <c r="K97" s="179">
        <v>6</v>
      </c>
      <c r="L97" s="180">
        <f t="shared" si="2"/>
        <v>34725780.701756366</v>
      </c>
      <c r="M97" s="181">
        <v>0.3</v>
      </c>
      <c r="N97" s="229">
        <v>9.4181045185919993E-2</v>
      </c>
      <c r="O97" s="193">
        <v>0.8</v>
      </c>
      <c r="P97" s="228">
        <v>0.36770000000000003</v>
      </c>
      <c r="Q97" s="193">
        <f>BD_Costos[[#This Row],[Factor Cons comb, lt/hrpr/hp]]*BD_Costos[[#This Row],[Potencia motor, hp]]</f>
        <v>14.315518868259838</v>
      </c>
    </row>
    <row r="98" spans="2:17" x14ac:dyDescent="0.3">
      <c r="B98" s="178" t="s">
        <v>190</v>
      </c>
      <c r="C98" s="178">
        <v>2002</v>
      </c>
      <c r="D98" s="178" t="s">
        <v>20</v>
      </c>
      <c r="E98" s="178" t="s">
        <v>178</v>
      </c>
      <c r="F98" s="178" t="s">
        <v>192</v>
      </c>
      <c r="G98" s="179">
        <v>122</v>
      </c>
      <c r="H98" s="180">
        <v>304117892.33714867</v>
      </c>
      <c r="I98" s="180">
        <v>60823578.467429735</v>
      </c>
      <c r="J98" s="193">
        <f>BD_Costos[[#This Row],[Valor Reventa (VR), $]]/BD_Costos[[#This Row],[Inv. Inicial (II), $]]</f>
        <v>0.2</v>
      </c>
      <c r="K98" s="179">
        <v>6</v>
      </c>
      <c r="L98" s="180">
        <f t="shared" si="2"/>
        <v>40549052.311619826</v>
      </c>
      <c r="M98" s="181">
        <v>0.3</v>
      </c>
      <c r="N98" s="229">
        <v>9.4181045185919993E-2</v>
      </c>
      <c r="O98" s="193">
        <v>0.8</v>
      </c>
      <c r="P98" s="228">
        <v>0.36770000000000003</v>
      </c>
      <c r="Q98" s="193">
        <f>BD_Costos[[#This Row],[Factor Cons comb, lt/hrpr/hp]]*BD_Costos[[#This Row],[Potencia motor, hp]]</f>
        <v>11.490087512682239</v>
      </c>
    </row>
    <row r="99" spans="2:17" x14ac:dyDescent="0.3">
      <c r="B99" s="178" t="s">
        <v>190</v>
      </c>
      <c r="C99" s="178">
        <v>2002</v>
      </c>
      <c r="D99" s="178" t="s">
        <v>20</v>
      </c>
      <c r="E99" s="178" t="s">
        <v>178</v>
      </c>
      <c r="F99" s="178" t="s">
        <v>192</v>
      </c>
      <c r="G99" s="179">
        <v>159</v>
      </c>
      <c r="H99" s="180">
        <v>323240924.10682738</v>
      </c>
      <c r="I99" s="180">
        <v>64648184.821365476</v>
      </c>
      <c r="J99" s="193">
        <f>BD_Costos[[#This Row],[Valor Reventa (VR), $]]/BD_Costos[[#This Row],[Inv. Inicial (II), $]]</f>
        <v>0.2</v>
      </c>
      <c r="K99" s="179">
        <v>6</v>
      </c>
      <c r="L99" s="180">
        <f t="shared" si="2"/>
        <v>43098789.880910315</v>
      </c>
      <c r="M99" s="181">
        <v>0.3</v>
      </c>
      <c r="N99" s="229">
        <v>9.4181045185919993E-2</v>
      </c>
      <c r="O99" s="193">
        <v>0.8</v>
      </c>
      <c r="P99" s="228">
        <v>0.36770000000000003</v>
      </c>
      <c r="Q99" s="193">
        <f>BD_Costos[[#This Row],[Factor Cons comb, lt/hrpr/hp]]*BD_Costos[[#This Row],[Potencia motor, hp]]</f>
        <v>14.974786184561278</v>
      </c>
    </row>
    <row r="100" spans="2:17" x14ac:dyDescent="0.3">
      <c r="B100" s="178" t="s">
        <v>190</v>
      </c>
      <c r="C100" s="178">
        <v>2002</v>
      </c>
      <c r="D100" s="178" t="s">
        <v>20</v>
      </c>
      <c r="E100" s="178" t="s">
        <v>178</v>
      </c>
      <c r="F100" s="178" t="s">
        <v>192</v>
      </c>
      <c r="G100" s="179">
        <v>210</v>
      </c>
      <c r="H100" s="180">
        <v>382460635.39357442</v>
      </c>
      <c r="I100" s="180">
        <v>76492127.078714877</v>
      </c>
      <c r="J100" s="193">
        <f>BD_Costos[[#This Row],[Valor Reventa (VR), $]]/BD_Costos[[#This Row],[Inv. Inicial (II), $]]</f>
        <v>0.19999999999999998</v>
      </c>
      <c r="K100" s="179">
        <v>6</v>
      </c>
      <c r="L100" s="180">
        <f t="shared" si="2"/>
        <v>50994751.385809921</v>
      </c>
      <c r="M100" s="181">
        <v>0.3</v>
      </c>
      <c r="N100" s="229">
        <v>9.4181045185919993E-2</v>
      </c>
      <c r="O100" s="193">
        <v>0.8</v>
      </c>
      <c r="P100" s="228">
        <v>0.36770000000000003</v>
      </c>
      <c r="Q100" s="193">
        <f>BD_Costos[[#This Row],[Factor Cons comb, lt/hrpr/hp]]*BD_Costos[[#This Row],[Potencia motor, hp]]</f>
        <v>19.778019489043199</v>
      </c>
    </row>
    <row r="101" spans="2:17" x14ac:dyDescent="0.3">
      <c r="B101" s="178" t="s">
        <v>190</v>
      </c>
      <c r="C101" s="178">
        <v>2002</v>
      </c>
      <c r="D101" s="178" t="s">
        <v>20</v>
      </c>
      <c r="E101" s="178" t="s">
        <v>178</v>
      </c>
      <c r="F101" s="178" t="s">
        <v>192</v>
      </c>
      <c r="G101" s="179">
        <v>125</v>
      </c>
      <c r="H101" s="180">
        <v>271423676.73092377</v>
      </c>
      <c r="I101" s="180">
        <v>54284735.346184753</v>
      </c>
      <c r="J101" s="193">
        <f>BD_Costos[[#This Row],[Valor Reventa (VR), $]]/BD_Costos[[#This Row],[Inv. Inicial (II), $]]</f>
        <v>0.19999999999999998</v>
      </c>
      <c r="K101" s="179">
        <v>6</v>
      </c>
      <c r="L101" s="180">
        <f t="shared" si="2"/>
        <v>36189823.564123169</v>
      </c>
      <c r="M101" s="181">
        <v>0.3</v>
      </c>
      <c r="N101" s="229">
        <v>9.4181045185919993E-2</v>
      </c>
      <c r="O101" s="193">
        <v>0.8</v>
      </c>
      <c r="P101" s="228">
        <v>0.36770000000000003</v>
      </c>
      <c r="Q101" s="193">
        <f>BD_Costos[[#This Row],[Factor Cons comb, lt/hrpr/hp]]*BD_Costos[[#This Row],[Potencia motor, hp]]</f>
        <v>11.77263064824</v>
      </c>
    </row>
    <row r="102" spans="2:17" x14ac:dyDescent="0.3">
      <c r="B102" s="178" t="s">
        <v>190</v>
      </c>
      <c r="C102" s="178">
        <v>2002</v>
      </c>
      <c r="D102" s="178" t="s">
        <v>20</v>
      </c>
      <c r="E102" s="178" t="s">
        <v>178</v>
      </c>
      <c r="F102" s="178" t="s">
        <v>192</v>
      </c>
      <c r="G102" s="179">
        <v>125</v>
      </c>
      <c r="H102" s="180">
        <v>289929836.5080322</v>
      </c>
      <c r="I102" s="180">
        <v>57985967.301606439</v>
      </c>
      <c r="J102" s="193">
        <f>BD_Costos[[#This Row],[Valor Reventa (VR), $]]/BD_Costos[[#This Row],[Inv. Inicial (II), $]]</f>
        <v>0.19999999999999998</v>
      </c>
      <c r="K102" s="179">
        <v>6</v>
      </c>
      <c r="L102" s="180">
        <f t="shared" si="2"/>
        <v>38657311.534404293</v>
      </c>
      <c r="M102" s="181">
        <v>0.3</v>
      </c>
      <c r="N102" s="229">
        <v>9.4181045185919993E-2</v>
      </c>
      <c r="O102" s="193">
        <v>0.8</v>
      </c>
      <c r="P102" s="228">
        <v>0.36770000000000003</v>
      </c>
      <c r="Q102" s="193">
        <f>BD_Costos[[#This Row],[Factor Cons comb, lt/hrpr/hp]]*BD_Costos[[#This Row],[Potencia motor, hp]]</f>
        <v>11.77263064824</v>
      </c>
    </row>
    <row r="103" spans="2:17" x14ac:dyDescent="0.3">
      <c r="B103" s="178" t="s">
        <v>190</v>
      </c>
      <c r="C103" s="178">
        <v>2002</v>
      </c>
      <c r="D103" s="178" t="s">
        <v>20</v>
      </c>
      <c r="E103" s="178" t="s">
        <v>178</v>
      </c>
      <c r="F103" s="178" t="s">
        <v>192</v>
      </c>
      <c r="G103" s="179">
        <v>185</v>
      </c>
      <c r="H103" s="180">
        <v>326942156.06224906</v>
      </c>
      <c r="I103" s="180">
        <v>65388431.212449811</v>
      </c>
      <c r="J103" s="193">
        <f>BD_Costos[[#This Row],[Valor Reventa (VR), $]]/BD_Costos[[#This Row],[Inv. Inicial (II), $]]</f>
        <v>0.19999999999999998</v>
      </c>
      <c r="K103" s="179">
        <v>6</v>
      </c>
      <c r="L103" s="180">
        <f t="shared" si="2"/>
        <v>43592287.474966541</v>
      </c>
      <c r="M103" s="181">
        <v>0.3</v>
      </c>
      <c r="N103" s="229">
        <v>9.4181045185919993E-2</v>
      </c>
      <c r="O103" s="193">
        <v>0.8</v>
      </c>
      <c r="P103" s="228">
        <v>0.36770000000000003</v>
      </c>
      <c r="Q103" s="193">
        <f>BD_Costos[[#This Row],[Factor Cons comb, lt/hrpr/hp]]*BD_Costos[[#This Row],[Potencia motor, hp]]</f>
        <v>17.423493359395199</v>
      </c>
    </row>
    <row r="104" spans="2:17" x14ac:dyDescent="0.3">
      <c r="B104" s="178" t="s">
        <v>190</v>
      </c>
      <c r="C104" s="178">
        <v>2002</v>
      </c>
      <c r="D104" s="178" t="s">
        <v>20</v>
      </c>
      <c r="E104" s="178" t="s">
        <v>178</v>
      </c>
      <c r="F104" s="178" t="s">
        <v>192</v>
      </c>
      <c r="G104" s="179">
        <v>185</v>
      </c>
      <c r="H104" s="180">
        <v>345448315.8393575</v>
      </c>
      <c r="I104" s="180">
        <v>69089663.167871505</v>
      </c>
      <c r="J104" s="193">
        <f>BD_Costos[[#This Row],[Valor Reventa (VR), $]]/BD_Costos[[#This Row],[Inv. Inicial (II), $]]</f>
        <v>0.2</v>
      </c>
      <c r="K104" s="179">
        <v>6</v>
      </c>
      <c r="L104" s="180">
        <f t="shared" si="2"/>
        <v>46059775.445247672</v>
      </c>
      <c r="M104" s="181">
        <v>0.3</v>
      </c>
      <c r="N104" s="229">
        <v>9.4181045185919993E-2</v>
      </c>
      <c r="O104" s="193">
        <v>0.8</v>
      </c>
      <c r="P104" s="228">
        <v>0.36770000000000003</v>
      </c>
      <c r="Q104" s="193">
        <f>BD_Costos[[#This Row],[Factor Cons comb, lt/hrpr/hp]]*BD_Costos[[#This Row],[Potencia motor, hp]]</f>
        <v>17.423493359395199</v>
      </c>
    </row>
    <row r="105" spans="2:17" x14ac:dyDescent="0.3">
      <c r="B105" s="178" t="s">
        <v>190</v>
      </c>
      <c r="C105" s="178">
        <v>2002</v>
      </c>
      <c r="D105" s="178" t="s">
        <v>20</v>
      </c>
      <c r="E105" s="178" t="s">
        <v>178</v>
      </c>
      <c r="F105" s="178" t="s">
        <v>192</v>
      </c>
      <c r="G105" s="179">
        <v>260</v>
      </c>
      <c r="H105" s="180">
        <v>342104869.63962656</v>
      </c>
      <c r="I105" s="180">
        <v>68420973.927925318</v>
      </c>
      <c r="J105" s="193">
        <f>BD_Costos[[#This Row],[Valor Reventa (VR), $]]/BD_Costos[[#This Row],[Inv. Inicial (II), $]]</f>
        <v>0.2</v>
      </c>
      <c r="K105" s="179">
        <v>6</v>
      </c>
      <c r="L105" s="180">
        <f t="shared" si="2"/>
        <v>45613982.618616879</v>
      </c>
      <c r="M105" s="181">
        <v>0.3</v>
      </c>
      <c r="N105" s="229">
        <v>9.4181045185919993E-2</v>
      </c>
      <c r="O105" s="193">
        <v>0.8</v>
      </c>
      <c r="P105" s="228">
        <v>0.36770000000000003</v>
      </c>
      <c r="Q105" s="193">
        <f>BD_Costos[[#This Row],[Factor Cons comb, lt/hrpr/hp]]*BD_Costos[[#This Row],[Potencia motor, hp]]</f>
        <v>24.487071748339197</v>
      </c>
    </row>
    <row r="106" spans="2:17" x14ac:dyDescent="0.3">
      <c r="B106" s="178" t="s">
        <v>190</v>
      </c>
      <c r="C106" s="178">
        <v>2002</v>
      </c>
      <c r="D106" s="178" t="s">
        <v>20</v>
      </c>
      <c r="E106" s="178" t="s">
        <v>178</v>
      </c>
      <c r="F106" s="178" t="s">
        <v>192</v>
      </c>
      <c r="G106" s="179">
        <v>110</v>
      </c>
      <c r="H106" s="180">
        <v>330834618.33536756</v>
      </c>
      <c r="I106" s="180">
        <v>66166923.667073511</v>
      </c>
      <c r="J106" s="193">
        <f>BD_Costos[[#This Row],[Valor Reventa (VR), $]]/BD_Costos[[#This Row],[Inv. Inicial (II), $]]</f>
        <v>0.19999999999999998</v>
      </c>
      <c r="K106" s="179">
        <v>6</v>
      </c>
      <c r="L106" s="180">
        <f t="shared" si="2"/>
        <v>44111282.444715671</v>
      </c>
      <c r="M106" s="181">
        <v>0.3</v>
      </c>
      <c r="N106" s="229">
        <v>9.4181045185919993E-2</v>
      </c>
      <c r="O106" s="193">
        <v>0.8</v>
      </c>
      <c r="P106" s="228">
        <v>0.36770000000000003</v>
      </c>
      <c r="Q106" s="193">
        <f>BD_Costos[[#This Row],[Factor Cons comb, lt/hrpr/hp]]*BD_Costos[[#This Row],[Potencia motor, hp]]</f>
        <v>10.359914970451198</v>
      </c>
    </row>
    <row r="107" spans="2:17" x14ac:dyDescent="0.3">
      <c r="B107" s="178" t="s">
        <v>190</v>
      </c>
      <c r="C107" s="178">
        <v>2002</v>
      </c>
      <c r="D107" s="178" t="s">
        <v>20</v>
      </c>
      <c r="E107" s="178" t="s">
        <v>178</v>
      </c>
      <c r="F107" s="178" t="s">
        <v>192</v>
      </c>
      <c r="G107" s="179">
        <v>168</v>
      </c>
      <c r="H107" s="180">
        <v>427062947.94437599</v>
      </c>
      <c r="I107" s="180">
        <v>85412589.588875204</v>
      </c>
      <c r="J107" s="193">
        <f>BD_Costos[[#This Row],[Valor Reventa (VR), $]]/BD_Costos[[#This Row],[Inv. Inicial (II), $]]</f>
        <v>0.2</v>
      </c>
      <c r="K107" s="179">
        <v>6</v>
      </c>
      <c r="L107" s="180">
        <f t="shared" si="2"/>
        <v>56941726.392583467</v>
      </c>
      <c r="M107" s="181">
        <v>0.3</v>
      </c>
      <c r="N107" s="229">
        <v>9.4181045185919993E-2</v>
      </c>
      <c r="O107" s="193">
        <v>0.8</v>
      </c>
      <c r="P107" s="228">
        <v>0.36770000000000003</v>
      </c>
      <c r="Q107" s="193">
        <f>BD_Costos[[#This Row],[Factor Cons comb, lt/hrpr/hp]]*BD_Costos[[#This Row],[Potencia motor, hp]]</f>
        <v>15.822415591234559</v>
      </c>
    </row>
    <row r="108" spans="2:17" x14ac:dyDescent="0.3">
      <c r="B108" s="178" t="s">
        <v>190</v>
      </c>
      <c r="C108" s="178">
        <v>2002</v>
      </c>
      <c r="D108" s="178" t="s">
        <v>20</v>
      </c>
      <c r="E108" s="178" t="s">
        <v>178</v>
      </c>
      <c r="F108" s="178" t="s">
        <v>192</v>
      </c>
      <c r="G108" s="179">
        <v>210</v>
      </c>
      <c r="H108" s="180">
        <v>517375475.14463544</v>
      </c>
      <c r="I108" s="180">
        <v>103475095.02892709</v>
      </c>
      <c r="J108" s="193">
        <f>BD_Costos[[#This Row],[Valor Reventa (VR), $]]/BD_Costos[[#This Row],[Inv. Inicial (II), $]]</f>
        <v>0.2</v>
      </c>
      <c r="K108" s="179">
        <v>6</v>
      </c>
      <c r="L108" s="180">
        <f t="shared" si="2"/>
        <v>68983396.685951397</v>
      </c>
      <c r="M108" s="181">
        <v>0.3</v>
      </c>
      <c r="N108" s="229">
        <v>9.4181045185919993E-2</v>
      </c>
      <c r="O108" s="193">
        <v>0.8</v>
      </c>
      <c r="P108" s="228">
        <v>0.36770000000000003</v>
      </c>
      <c r="Q108" s="193">
        <f>BD_Costos[[#This Row],[Factor Cons comb, lt/hrpr/hp]]*BD_Costos[[#This Row],[Potencia motor, hp]]</f>
        <v>19.778019489043199</v>
      </c>
    </row>
    <row r="109" spans="2:17" x14ac:dyDescent="0.3">
      <c r="B109" s="178" t="s">
        <v>190</v>
      </c>
      <c r="C109" s="178">
        <v>2002</v>
      </c>
      <c r="D109" s="178" t="s">
        <v>36</v>
      </c>
      <c r="E109" s="178" t="s">
        <v>178</v>
      </c>
      <c r="F109" s="178" t="s">
        <v>38</v>
      </c>
      <c r="G109" s="179">
        <v>140</v>
      </c>
      <c r="H109" s="180">
        <v>123997439.22655223</v>
      </c>
      <c r="I109" s="180">
        <v>24799487.845310446</v>
      </c>
      <c r="J109" s="193">
        <f>BD_Costos[[#This Row],[Valor Reventa (VR), $]]/BD_Costos[[#This Row],[Inv. Inicial (II), $]]</f>
        <v>0.19999999999999998</v>
      </c>
      <c r="K109" s="179">
        <v>5</v>
      </c>
      <c r="L109" s="180">
        <f t="shared" si="2"/>
        <v>19839590.276248358</v>
      </c>
      <c r="M109" s="181">
        <v>0.9</v>
      </c>
      <c r="N109" s="229">
        <v>8.1992019241439992E-2</v>
      </c>
      <c r="O109" s="193">
        <v>0.65</v>
      </c>
      <c r="P109" s="230">
        <v>0.36770000000000003</v>
      </c>
      <c r="Q109" s="193">
        <f>BD_Costos[[#This Row],[Factor Cons comb, lt/hrpr/hp]]*BD_Costos[[#This Row],[Potencia motor, hp]]</f>
        <v>11.4788826938016</v>
      </c>
    </row>
    <row r="110" spans="2:17" x14ac:dyDescent="0.3">
      <c r="B110" s="178" t="s">
        <v>190</v>
      </c>
      <c r="C110" s="178">
        <v>2002</v>
      </c>
      <c r="D110" s="178" t="s">
        <v>36</v>
      </c>
      <c r="E110" s="178" t="s">
        <v>178</v>
      </c>
      <c r="F110" s="178" t="s">
        <v>38</v>
      </c>
      <c r="G110" s="179">
        <v>140</v>
      </c>
      <c r="H110" s="180">
        <v>146741509.59261853</v>
      </c>
      <c r="I110" s="180">
        <v>29348301.918523699</v>
      </c>
      <c r="J110" s="193">
        <f>BD_Costos[[#This Row],[Valor Reventa (VR), $]]/BD_Costos[[#This Row],[Inv. Inicial (II), $]]</f>
        <v>0.19999999999999996</v>
      </c>
      <c r="K110" s="179">
        <v>5</v>
      </c>
      <c r="L110" s="180">
        <f t="shared" si="2"/>
        <v>23478641.534818966</v>
      </c>
      <c r="M110" s="181">
        <v>0.9</v>
      </c>
      <c r="N110" s="229">
        <v>8.1992019241439992E-2</v>
      </c>
      <c r="O110" s="193">
        <v>0.65</v>
      </c>
      <c r="P110" s="230">
        <v>0.36770000000000003</v>
      </c>
      <c r="Q110" s="193">
        <f>BD_Costos[[#This Row],[Factor Cons comb, lt/hrpr/hp]]*BD_Costos[[#This Row],[Potencia motor, hp]]</f>
        <v>11.4788826938016</v>
      </c>
    </row>
    <row r="111" spans="2:17" x14ac:dyDescent="0.3">
      <c r="B111" s="178" t="s">
        <v>190</v>
      </c>
      <c r="C111" s="178">
        <v>2002</v>
      </c>
      <c r="D111" s="178" t="s">
        <v>36</v>
      </c>
      <c r="E111" s="178" t="s">
        <v>178</v>
      </c>
      <c r="F111" s="178" t="s">
        <v>38</v>
      </c>
      <c r="G111" s="179">
        <v>166</v>
      </c>
      <c r="H111" s="180">
        <v>189120615.48219684</v>
      </c>
      <c r="I111" s="180">
        <v>37824123.096439362</v>
      </c>
      <c r="J111" s="193">
        <f>BD_Costos[[#This Row],[Valor Reventa (VR), $]]/BD_Costos[[#This Row],[Inv. Inicial (II), $]]</f>
        <v>0.19999999999999996</v>
      </c>
      <c r="K111" s="179">
        <v>5</v>
      </c>
      <c r="L111" s="180">
        <f t="shared" si="2"/>
        <v>30259298.477151494</v>
      </c>
      <c r="M111" s="181">
        <v>0.9</v>
      </c>
      <c r="N111" s="229">
        <v>8.1992019241439992E-2</v>
      </c>
      <c r="O111" s="193">
        <v>0.65</v>
      </c>
      <c r="P111" s="230">
        <v>0.36770000000000003</v>
      </c>
      <c r="Q111" s="193">
        <f>BD_Costos[[#This Row],[Factor Cons comb, lt/hrpr/hp]]*BD_Costos[[#This Row],[Potencia motor, hp]]</f>
        <v>13.61067519407904</v>
      </c>
    </row>
    <row r="112" spans="2:17" x14ac:dyDescent="0.3">
      <c r="B112" s="178" t="s">
        <v>190</v>
      </c>
      <c r="C112" s="178">
        <v>2002</v>
      </c>
      <c r="D112" s="178" t="s">
        <v>36</v>
      </c>
      <c r="E112" s="178" t="s">
        <v>178</v>
      </c>
      <c r="F112" s="178" t="s">
        <v>38</v>
      </c>
      <c r="G112" s="179">
        <v>174</v>
      </c>
      <c r="H112" s="180">
        <v>126458758.47690766</v>
      </c>
      <c r="I112" s="180">
        <v>25291751.695381533</v>
      </c>
      <c r="J112" s="193">
        <f>BD_Costos[[#This Row],[Valor Reventa (VR), $]]/BD_Costos[[#This Row],[Inv. Inicial (II), $]]</f>
        <v>0.2</v>
      </c>
      <c r="K112" s="179">
        <v>5</v>
      </c>
      <c r="L112" s="180">
        <f t="shared" si="2"/>
        <v>20233401.356305223</v>
      </c>
      <c r="M112" s="181">
        <v>0.9</v>
      </c>
      <c r="N112" s="229">
        <v>8.1992019241439992E-2</v>
      </c>
      <c r="O112" s="193">
        <v>0.65</v>
      </c>
      <c r="P112" s="230">
        <v>0.36770000000000003</v>
      </c>
      <c r="Q112" s="193">
        <f>BD_Costos[[#This Row],[Factor Cons comb, lt/hrpr/hp]]*BD_Costos[[#This Row],[Potencia motor, hp]]</f>
        <v>14.266611348010558</v>
      </c>
    </row>
    <row r="113" spans="2:17" x14ac:dyDescent="0.3">
      <c r="B113" s="178" t="s">
        <v>190</v>
      </c>
      <c r="C113" s="178">
        <v>2002</v>
      </c>
      <c r="D113" s="178" t="s">
        <v>36</v>
      </c>
      <c r="E113" s="178" t="s">
        <v>178</v>
      </c>
      <c r="F113" s="178" t="s">
        <v>38</v>
      </c>
      <c r="G113" s="179">
        <v>174</v>
      </c>
      <c r="H113" s="180">
        <v>157549106.90244985</v>
      </c>
      <c r="I113" s="180">
        <v>31509821.380489968</v>
      </c>
      <c r="J113" s="193">
        <f>BD_Costos[[#This Row],[Valor Reventa (VR), $]]/BD_Costos[[#This Row],[Inv. Inicial (II), $]]</f>
        <v>0.19999999999999998</v>
      </c>
      <c r="K113" s="179">
        <v>5</v>
      </c>
      <c r="L113" s="180">
        <f t="shared" si="2"/>
        <v>25207857.104391973</v>
      </c>
      <c r="M113" s="181">
        <v>0.9</v>
      </c>
      <c r="N113" s="229">
        <v>8.1992019241439992E-2</v>
      </c>
      <c r="O113" s="193">
        <v>0.65</v>
      </c>
      <c r="P113" s="230">
        <v>0.36770000000000003</v>
      </c>
      <c r="Q113" s="193">
        <f>BD_Costos[[#This Row],[Factor Cons comb, lt/hrpr/hp]]*BD_Costos[[#This Row],[Potencia motor, hp]]</f>
        <v>14.266611348010558</v>
      </c>
    </row>
    <row r="114" spans="2:17" x14ac:dyDescent="0.3">
      <c r="B114" s="178" t="s">
        <v>190</v>
      </c>
      <c r="C114" s="178">
        <v>2002</v>
      </c>
      <c r="D114" s="178" t="s">
        <v>36</v>
      </c>
      <c r="E114" s="178" t="s">
        <v>178</v>
      </c>
      <c r="F114" s="178" t="s">
        <v>38</v>
      </c>
      <c r="G114" s="179">
        <v>115</v>
      </c>
      <c r="H114" s="180">
        <v>91664710.607973516</v>
      </c>
      <c r="I114" s="180">
        <v>18332942.121594705</v>
      </c>
      <c r="J114" s="193">
        <f>BD_Costos[[#This Row],[Valor Reventa (VR), $]]/BD_Costos[[#This Row],[Inv. Inicial (II), $]]</f>
        <v>0.2</v>
      </c>
      <c r="K114" s="179">
        <v>5</v>
      </c>
      <c r="L114" s="180">
        <f t="shared" si="2"/>
        <v>14666353.697275763</v>
      </c>
      <c r="M114" s="181">
        <v>0.9</v>
      </c>
      <c r="N114" s="229">
        <v>8.1992019241439992E-2</v>
      </c>
      <c r="O114" s="193">
        <v>0.65</v>
      </c>
      <c r="P114" s="230">
        <v>0.36770000000000003</v>
      </c>
      <c r="Q114" s="193">
        <f>BD_Costos[[#This Row],[Factor Cons comb, lt/hrpr/hp]]*BD_Costos[[#This Row],[Potencia motor, hp]]</f>
        <v>9.4290822127656</v>
      </c>
    </row>
    <row r="115" spans="2:17" x14ac:dyDescent="0.3">
      <c r="B115" s="178" t="s">
        <v>190</v>
      </c>
      <c r="C115" s="178">
        <v>2002</v>
      </c>
      <c r="D115" s="178" t="s">
        <v>36</v>
      </c>
      <c r="E115" s="178" t="s">
        <v>178</v>
      </c>
      <c r="F115" s="178" t="s">
        <v>38</v>
      </c>
      <c r="G115" s="179">
        <v>115</v>
      </c>
      <c r="H115" s="180">
        <v>182130222.06239042</v>
      </c>
      <c r="I115" s="180">
        <v>36426044.412478082</v>
      </c>
      <c r="J115" s="193">
        <f>BD_Costos[[#This Row],[Valor Reventa (VR), $]]/BD_Costos[[#This Row],[Inv. Inicial (II), $]]</f>
        <v>0.19999999999999998</v>
      </c>
      <c r="K115" s="179">
        <v>5</v>
      </c>
      <c r="L115" s="180">
        <f t="shared" si="2"/>
        <v>29140835.529982466</v>
      </c>
      <c r="M115" s="181">
        <v>0.9</v>
      </c>
      <c r="N115" s="229">
        <v>8.1992019241439992E-2</v>
      </c>
      <c r="O115" s="193">
        <v>0.65</v>
      </c>
      <c r="P115" s="230">
        <v>0.36770000000000003</v>
      </c>
      <c r="Q115" s="193">
        <f>BD_Costos[[#This Row],[Factor Cons comb, lt/hrpr/hp]]*BD_Costos[[#This Row],[Potencia motor, hp]]</f>
        <v>9.4290822127656</v>
      </c>
    </row>
    <row r="116" spans="2:17" x14ac:dyDescent="0.3">
      <c r="B116" s="178" t="s">
        <v>190</v>
      </c>
      <c r="C116" s="178">
        <v>2002</v>
      </c>
      <c r="D116" s="178" t="s">
        <v>36</v>
      </c>
      <c r="E116" s="178" t="s">
        <v>178</v>
      </c>
      <c r="F116" s="178" t="s">
        <v>38</v>
      </c>
      <c r="G116" s="179">
        <v>115</v>
      </c>
      <c r="H116" s="180">
        <v>105845363.97317915</v>
      </c>
      <c r="I116" s="180">
        <v>21169072.794635832</v>
      </c>
      <c r="J116" s="193">
        <f>BD_Costos[[#This Row],[Valor Reventa (VR), $]]/BD_Costos[[#This Row],[Inv. Inicial (II), $]]</f>
        <v>0.20000000000000004</v>
      </c>
      <c r="K116" s="179">
        <v>5</v>
      </c>
      <c r="L116" s="180">
        <f t="shared" ref="L116:L128" si="3">(H116-I116)/K116</f>
        <v>16935258.235708661</v>
      </c>
      <c r="M116" s="181">
        <v>0.9</v>
      </c>
      <c r="N116" s="229">
        <v>8.1992019241439992E-2</v>
      </c>
      <c r="O116" s="193">
        <v>0.65</v>
      </c>
      <c r="P116" s="230">
        <v>0.36770000000000003</v>
      </c>
      <c r="Q116" s="193">
        <f>BD_Costos[[#This Row],[Factor Cons comb, lt/hrpr/hp]]*BD_Costos[[#This Row],[Potencia motor, hp]]</f>
        <v>9.4290822127656</v>
      </c>
    </row>
    <row r="117" spans="2:17" x14ac:dyDescent="0.3">
      <c r="B117" s="178" t="s">
        <v>190</v>
      </c>
      <c r="C117" s="178">
        <v>2002</v>
      </c>
      <c r="D117" s="178" t="s">
        <v>36</v>
      </c>
      <c r="E117" s="178" t="s">
        <v>178</v>
      </c>
      <c r="F117" s="178" t="s">
        <v>38</v>
      </c>
      <c r="G117" s="179">
        <v>115</v>
      </c>
      <c r="H117" s="180">
        <v>195777898.02601531</v>
      </c>
      <c r="I117" s="180">
        <v>39155579.605203062</v>
      </c>
      <c r="J117" s="193">
        <f>BD_Costos[[#This Row],[Valor Reventa (VR), $]]/BD_Costos[[#This Row],[Inv. Inicial (II), $]]</f>
        <v>0.2</v>
      </c>
      <c r="K117" s="179">
        <v>5</v>
      </c>
      <c r="L117" s="180">
        <f t="shared" si="3"/>
        <v>31324463.684162449</v>
      </c>
      <c r="M117" s="181">
        <v>0.9</v>
      </c>
      <c r="N117" s="229">
        <v>8.1992019241439992E-2</v>
      </c>
      <c r="O117" s="193">
        <v>0.65</v>
      </c>
      <c r="P117" s="230">
        <v>0.36770000000000003</v>
      </c>
      <c r="Q117" s="193">
        <f>BD_Costos[[#This Row],[Factor Cons comb, lt/hrpr/hp]]*BD_Costos[[#This Row],[Potencia motor, hp]]</f>
        <v>9.4290822127656</v>
      </c>
    </row>
    <row r="118" spans="2:17" x14ac:dyDescent="0.3">
      <c r="B118" s="178" t="s">
        <v>190</v>
      </c>
      <c r="C118" s="178">
        <v>2002</v>
      </c>
      <c r="D118" s="178" t="s">
        <v>36</v>
      </c>
      <c r="E118" s="178" t="s">
        <v>178</v>
      </c>
      <c r="F118" s="178" t="s">
        <v>38</v>
      </c>
      <c r="G118" s="179">
        <v>152</v>
      </c>
      <c r="H118" s="180">
        <v>136722274.68929198</v>
      </c>
      <c r="I118" s="180">
        <v>27344454.937858403</v>
      </c>
      <c r="J118" s="193">
        <f>BD_Costos[[#This Row],[Valor Reventa (VR), $]]/BD_Costos[[#This Row],[Inv. Inicial (II), $]]</f>
        <v>0.20000000000000004</v>
      </c>
      <c r="K118" s="179">
        <v>5</v>
      </c>
      <c r="L118" s="180">
        <f t="shared" si="3"/>
        <v>21875563.950286716</v>
      </c>
      <c r="M118" s="181">
        <v>0.9</v>
      </c>
      <c r="N118" s="229">
        <v>8.1992019241439992E-2</v>
      </c>
      <c r="O118" s="193">
        <v>0.65</v>
      </c>
      <c r="P118" s="230">
        <v>0.36770000000000003</v>
      </c>
      <c r="Q118" s="193">
        <f>BD_Costos[[#This Row],[Factor Cons comb, lt/hrpr/hp]]*BD_Costos[[#This Row],[Potencia motor, hp]]</f>
        <v>12.462786924698879</v>
      </c>
    </row>
    <row r="119" spans="2:17" x14ac:dyDescent="0.3">
      <c r="B119" s="178" t="s">
        <v>190</v>
      </c>
      <c r="C119" s="178">
        <v>2002</v>
      </c>
      <c r="D119" s="178" t="s">
        <v>36</v>
      </c>
      <c r="E119" s="178" t="s">
        <v>178</v>
      </c>
      <c r="F119" s="178" t="s">
        <v>38</v>
      </c>
      <c r="G119" s="179">
        <v>152</v>
      </c>
      <c r="H119" s="180">
        <v>220324468.35437194</v>
      </c>
      <c r="I119" s="180">
        <v>44064893.670874387</v>
      </c>
      <c r="J119" s="193">
        <f>BD_Costos[[#This Row],[Valor Reventa (VR), $]]/BD_Costos[[#This Row],[Inv. Inicial (II), $]]</f>
        <v>0.2</v>
      </c>
      <c r="K119" s="179">
        <v>5</v>
      </c>
      <c r="L119" s="180">
        <f t="shared" si="3"/>
        <v>35251914.93669951</v>
      </c>
      <c r="M119" s="181">
        <v>0.9</v>
      </c>
      <c r="N119" s="229">
        <v>8.1992019241439992E-2</v>
      </c>
      <c r="O119" s="193">
        <v>0.65</v>
      </c>
      <c r="P119" s="230">
        <v>0.36770000000000003</v>
      </c>
      <c r="Q119" s="193">
        <f>BD_Costos[[#This Row],[Factor Cons comb, lt/hrpr/hp]]*BD_Costos[[#This Row],[Potencia motor, hp]]</f>
        <v>12.462786924698879</v>
      </c>
    </row>
    <row r="120" spans="2:17" x14ac:dyDescent="0.3">
      <c r="B120" s="178" t="s">
        <v>190</v>
      </c>
      <c r="C120" s="178">
        <v>2002</v>
      </c>
      <c r="D120" s="178" t="s">
        <v>36</v>
      </c>
      <c r="E120" s="178" t="s">
        <v>178</v>
      </c>
      <c r="F120" s="178" t="s">
        <v>38</v>
      </c>
      <c r="G120" s="179">
        <v>174</v>
      </c>
      <c r="H120" s="180">
        <v>139012103.52571288</v>
      </c>
      <c r="I120" s="180">
        <v>27802420.70514258</v>
      </c>
      <c r="J120" s="193">
        <f>BD_Costos[[#This Row],[Valor Reventa (VR), $]]/BD_Costos[[#This Row],[Inv. Inicial (II), $]]</f>
        <v>0.20000000000000004</v>
      </c>
      <c r="K120" s="179">
        <v>5</v>
      </c>
      <c r="L120" s="180">
        <f t="shared" si="3"/>
        <v>22241936.564114057</v>
      </c>
      <c r="M120" s="181">
        <v>0.9</v>
      </c>
      <c r="N120" s="229">
        <v>8.1992019241439992E-2</v>
      </c>
      <c r="O120" s="193">
        <v>0.65</v>
      </c>
      <c r="P120" s="230">
        <v>0.36770000000000003</v>
      </c>
      <c r="Q120" s="193">
        <f>BD_Costos[[#This Row],[Factor Cons comb, lt/hrpr/hp]]*BD_Costos[[#This Row],[Potencia motor, hp]]</f>
        <v>14.266611348010558</v>
      </c>
    </row>
    <row r="121" spans="2:17" x14ac:dyDescent="0.3">
      <c r="B121" s="178" t="s">
        <v>190</v>
      </c>
      <c r="C121" s="178">
        <v>2002</v>
      </c>
      <c r="D121" s="178" t="s">
        <v>36</v>
      </c>
      <c r="E121" s="178" t="s">
        <v>178</v>
      </c>
      <c r="F121" s="178" t="s">
        <v>38</v>
      </c>
      <c r="G121" s="179">
        <v>174</v>
      </c>
      <c r="H121" s="180">
        <v>149369384.28096789</v>
      </c>
      <c r="I121" s="180">
        <v>29873876.85619358</v>
      </c>
      <c r="J121" s="193">
        <f>BD_Costos[[#This Row],[Valor Reventa (VR), $]]/BD_Costos[[#This Row],[Inv. Inicial (II), $]]</f>
        <v>0.2</v>
      </c>
      <c r="K121" s="179">
        <v>5</v>
      </c>
      <c r="L121" s="180">
        <f t="shared" si="3"/>
        <v>23899101.484954864</v>
      </c>
      <c r="M121" s="181">
        <v>0.9</v>
      </c>
      <c r="N121" s="229">
        <v>8.1992019241439992E-2</v>
      </c>
      <c r="O121" s="193">
        <v>0.65</v>
      </c>
      <c r="P121" s="230">
        <v>0.36770000000000003</v>
      </c>
      <c r="Q121" s="193">
        <f>BD_Costos[[#This Row],[Factor Cons comb, lt/hrpr/hp]]*BD_Costos[[#This Row],[Potencia motor, hp]]</f>
        <v>14.266611348010558</v>
      </c>
    </row>
    <row r="122" spans="2:17" x14ac:dyDescent="0.3">
      <c r="B122" s="178" t="s">
        <v>190</v>
      </c>
      <c r="C122" s="178">
        <v>2002</v>
      </c>
      <c r="D122" s="178" t="s">
        <v>36</v>
      </c>
      <c r="E122" s="178" t="s">
        <v>178</v>
      </c>
      <c r="F122" s="178" t="s">
        <v>38</v>
      </c>
      <c r="G122" s="179">
        <v>174</v>
      </c>
      <c r="H122" s="180">
        <v>223344673.62999606</v>
      </c>
      <c r="I122" s="180">
        <v>44668934.725999206</v>
      </c>
      <c r="J122" s="193">
        <f>BD_Costos[[#This Row],[Valor Reventa (VR), $]]/BD_Costos[[#This Row],[Inv. Inicial (II), $]]</f>
        <v>0.19999999999999998</v>
      </c>
      <c r="K122" s="179">
        <v>5</v>
      </c>
      <c r="L122" s="180">
        <f t="shared" si="3"/>
        <v>35735147.780799374</v>
      </c>
      <c r="M122" s="181">
        <v>0.9</v>
      </c>
      <c r="N122" s="229">
        <v>8.1992019241439992E-2</v>
      </c>
      <c r="O122" s="193">
        <v>0.65</v>
      </c>
      <c r="P122" s="230">
        <v>0.36770000000000003</v>
      </c>
      <c r="Q122" s="193">
        <f>BD_Costos[[#This Row],[Factor Cons comb, lt/hrpr/hp]]*BD_Costos[[#This Row],[Potencia motor, hp]]</f>
        <v>14.266611348010558</v>
      </c>
    </row>
    <row r="123" spans="2:17" x14ac:dyDescent="0.3">
      <c r="B123" s="178" t="s">
        <v>190</v>
      </c>
      <c r="C123" s="178">
        <v>2002</v>
      </c>
      <c r="D123" s="178" t="s">
        <v>36</v>
      </c>
      <c r="E123" s="178" t="s">
        <v>178</v>
      </c>
      <c r="F123" s="178" t="s">
        <v>38</v>
      </c>
      <c r="G123" s="179">
        <v>174</v>
      </c>
      <c r="H123" s="180">
        <v>236471709.63189164</v>
      </c>
      <c r="I123" s="180">
        <v>47294341.926378325</v>
      </c>
      <c r="J123" s="193">
        <f>BD_Costos[[#This Row],[Valor Reventa (VR), $]]/BD_Costos[[#This Row],[Inv. Inicial (II), $]]</f>
        <v>0.19999999999999998</v>
      </c>
      <c r="K123" s="179">
        <v>5</v>
      </c>
      <c r="L123" s="180">
        <f t="shared" si="3"/>
        <v>37835473.541102663</v>
      </c>
      <c r="M123" s="181">
        <v>0.9</v>
      </c>
      <c r="N123" s="229">
        <v>8.1992019241439992E-2</v>
      </c>
      <c r="O123" s="193">
        <v>0.65</v>
      </c>
      <c r="P123" s="230">
        <v>0.36770000000000003</v>
      </c>
      <c r="Q123" s="193">
        <f>BD_Costos[[#This Row],[Factor Cons comb, lt/hrpr/hp]]*BD_Costos[[#This Row],[Potencia motor, hp]]</f>
        <v>14.266611348010558</v>
      </c>
    </row>
    <row r="124" spans="2:17" x14ac:dyDescent="0.3">
      <c r="B124" s="178" t="s">
        <v>190</v>
      </c>
      <c r="C124" s="178">
        <v>2002</v>
      </c>
      <c r="D124" s="178" t="s">
        <v>36</v>
      </c>
      <c r="E124" s="178" t="s">
        <v>178</v>
      </c>
      <c r="F124" s="178" t="s">
        <v>38</v>
      </c>
      <c r="G124" s="179">
        <v>174</v>
      </c>
      <c r="H124" s="180">
        <v>253195109.35047194</v>
      </c>
      <c r="I124" s="180">
        <v>50639021.870094389</v>
      </c>
      <c r="J124" s="193">
        <f>BD_Costos[[#This Row],[Valor Reventa (VR), $]]/BD_Costos[[#This Row],[Inv. Inicial (II), $]]</f>
        <v>0.2</v>
      </c>
      <c r="K124" s="179">
        <v>5</v>
      </c>
      <c r="L124" s="180">
        <f t="shared" si="3"/>
        <v>40511217.496075511</v>
      </c>
      <c r="M124" s="181">
        <v>0.9</v>
      </c>
      <c r="N124" s="229">
        <v>8.1992019241439992E-2</v>
      </c>
      <c r="O124" s="193">
        <v>0.65</v>
      </c>
      <c r="P124" s="230">
        <v>0.36770000000000003</v>
      </c>
      <c r="Q124" s="193">
        <f>BD_Costos[[#This Row],[Factor Cons comb, lt/hrpr/hp]]*BD_Costos[[#This Row],[Potencia motor, hp]]</f>
        <v>14.266611348010558</v>
      </c>
    </row>
    <row r="125" spans="2:17" x14ac:dyDescent="0.3">
      <c r="B125" s="178" t="s">
        <v>190</v>
      </c>
      <c r="C125" s="178">
        <v>2002</v>
      </c>
      <c r="D125" s="178" t="s">
        <v>36</v>
      </c>
      <c r="E125" s="178" t="s">
        <v>178</v>
      </c>
      <c r="F125" s="178" t="s">
        <v>38</v>
      </c>
      <c r="G125" s="179">
        <v>148</v>
      </c>
      <c r="H125" s="180">
        <v>126076297.84151408</v>
      </c>
      <c r="I125" s="180">
        <v>25215259.568302818</v>
      </c>
      <c r="J125" s="193">
        <f>BD_Costos[[#This Row],[Valor Reventa (VR), $]]/BD_Costos[[#This Row],[Inv. Inicial (II), $]]</f>
        <v>0.2</v>
      </c>
      <c r="K125" s="179">
        <v>5</v>
      </c>
      <c r="L125" s="180">
        <f t="shared" si="3"/>
        <v>20172207.654642254</v>
      </c>
      <c r="M125" s="181">
        <v>0.9</v>
      </c>
      <c r="N125" s="229">
        <v>8.1992019241439992E-2</v>
      </c>
      <c r="O125" s="193">
        <v>0.65</v>
      </c>
      <c r="P125" s="230">
        <v>0.36770000000000003</v>
      </c>
      <c r="Q125" s="193">
        <f>BD_Costos[[#This Row],[Factor Cons comb, lt/hrpr/hp]]*BD_Costos[[#This Row],[Potencia motor, hp]]</f>
        <v>12.134818847733118</v>
      </c>
    </row>
    <row r="126" spans="2:17" x14ac:dyDescent="0.3">
      <c r="B126" s="178" t="s">
        <v>190</v>
      </c>
      <c r="C126" s="178">
        <v>2002</v>
      </c>
      <c r="D126" s="178" t="s">
        <v>36</v>
      </c>
      <c r="E126" s="178" t="s">
        <v>178</v>
      </c>
      <c r="F126" s="178" t="s">
        <v>38</v>
      </c>
      <c r="G126" s="179">
        <v>148</v>
      </c>
      <c r="H126" s="180">
        <v>148790758.351937</v>
      </c>
      <c r="I126" s="180">
        <v>29758151.670387398</v>
      </c>
      <c r="J126" s="193">
        <f>BD_Costos[[#This Row],[Valor Reventa (VR), $]]/BD_Costos[[#This Row],[Inv. Inicial (II), $]]</f>
        <v>0.19999999999999998</v>
      </c>
      <c r="K126" s="179">
        <v>5</v>
      </c>
      <c r="L126" s="180">
        <f t="shared" si="3"/>
        <v>23806521.336309917</v>
      </c>
      <c r="M126" s="181">
        <v>0.9</v>
      </c>
      <c r="N126" s="229">
        <v>8.1992019241439992E-2</v>
      </c>
      <c r="O126" s="193">
        <v>0.65</v>
      </c>
      <c r="P126" s="230">
        <v>0.36770000000000003</v>
      </c>
      <c r="Q126" s="193">
        <f>BD_Costos[[#This Row],[Factor Cons comb, lt/hrpr/hp]]*BD_Costos[[#This Row],[Potencia motor, hp]]</f>
        <v>12.134818847733118</v>
      </c>
    </row>
    <row r="127" spans="2:17" x14ac:dyDescent="0.3">
      <c r="B127" s="178" t="s">
        <v>190</v>
      </c>
      <c r="C127" s="178">
        <v>2002</v>
      </c>
      <c r="D127" s="178" t="s">
        <v>36</v>
      </c>
      <c r="E127" s="178" t="s">
        <v>178</v>
      </c>
      <c r="F127" s="178" t="s">
        <v>38</v>
      </c>
      <c r="G127" s="179">
        <v>148</v>
      </c>
      <c r="H127" s="180">
        <v>171045032.35590246</v>
      </c>
      <c r="I127" s="180">
        <v>34209006.471180491</v>
      </c>
      <c r="J127" s="193">
        <f>BD_Costos[[#This Row],[Valor Reventa (VR), $]]/BD_Costos[[#This Row],[Inv. Inicial (II), $]]</f>
        <v>0.19999999999999998</v>
      </c>
      <c r="K127" s="179">
        <v>5</v>
      </c>
      <c r="L127" s="180">
        <f t="shared" si="3"/>
        <v>27367205.176944394</v>
      </c>
      <c r="M127" s="181">
        <v>0.9</v>
      </c>
      <c r="N127" s="229">
        <v>8.1992019241439992E-2</v>
      </c>
      <c r="O127" s="193">
        <v>0.65</v>
      </c>
      <c r="P127" s="230">
        <v>0.36770000000000003</v>
      </c>
      <c r="Q127" s="193">
        <f>BD_Costos[[#This Row],[Factor Cons comb, lt/hrpr/hp]]*BD_Costos[[#This Row],[Potencia motor, hp]]</f>
        <v>12.134818847733118</v>
      </c>
    </row>
    <row r="128" spans="2:17" x14ac:dyDescent="0.3">
      <c r="B128" s="178" t="s">
        <v>190</v>
      </c>
      <c r="C128" s="178">
        <v>2002</v>
      </c>
      <c r="D128" s="178" t="s">
        <v>36</v>
      </c>
      <c r="E128" s="178" t="s">
        <v>178</v>
      </c>
      <c r="F128" s="178" t="s">
        <v>38</v>
      </c>
      <c r="G128" s="179">
        <v>240</v>
      </c>
      <c r="H128" s="180">
        <v>198724078.66253096</v>
      </c>
      <c r="I128" s="180">
        <v>39744815.732506201</v>
      </c>
      <c r="J128" s="193">
        <f>BD_Costos[[#This Row],[Valor Reventa (VR), $]]/BD_Costos[[#This Row],[Inv. Inicial (II), $]]</f>
        <v>0.20000000000000004</v>
      </c>
      <c r="K128" s="179">
        <v>5</v>
      </c>
      <c r="L128" s="180">
        <f t="shared" si="3"/>
        <v>31795852.58600495</v>
      </c>
      <c r="M128" s="181">
        <v>0.9</v>
      </c>
      <c r="N128" s="229">
        <v>8.1992019241439992E-2</v>
      </c>
      <c r="O128" s="193">
        <v>0.65</v>
      </c>
      <c r="P128" s="230">
        <v>0.36770000000000003</v>
      </c>
      <c r="Q128" s="193">
        <f>BD_Costos[[#This Row],[Factor Cons comb, lt/hrpr/hp]]*BD_Costos[[#This Row],[Potencia motor, hp]]</f>
        <v>19.678084617945597</v>
      </c>
    </row>
    <row r="129" spans="2:18" x14ac:dyDescent="0.3">
      <c r="B129" s="178" t="s">
        <v>193</v>
      </c>
      <c r="C129" s="178">
        <v>2004</v>
      </c>
      <c r="D129" s="178" t="s">
        <v>11</v>
      </c>
      <c r="E129" s="178" t="s">
        <v>48</v>
      </c>
      <c r="F129" s="178" t="s">
        <v>0</v>
      </c>
      <c r="G129" s="179">
        <v>5</v>
      </c>
      <c r="H129" s="180">
        <v>629056</v>
      </c>
      <c r="I129" s="180">
        <v>0</v>
      </c>
      <c r="J129" s="193">
        <f>BD_Costos[[#This Row],[Valor Reventa (VR), $]]/BD_Costos[[#This Row],[Inv. Inicial (II), $]]</f>
        <v>0</v>
      </c>
      <c r="K129" s="179">
        <v>1</v>
      </c>
      <c r="L129" s="180">
        <v>629056</v>
      </c>
      <c r="M129" s="181">
        <v>0.9</v>
      </c>
      <c r="N129" s="193">
        <v>0.14884232120000002</v>
      </c>
      <c r="O129" s="193">
        <v>0.5</v>
      </c>
      <c r="P129" s="193">
        <v>0.36770000000000003</v>
      </c>
      <c r="Q129" s="193">
        <f>BD_Costos[[#This Row],[Factor Cons comb, lt/hrpr/hp]]*BD_Costos[[#This Row],[Potencia motor, hp]]</f>
        <v>0.74421160600000014</v>
      </c>
    </row>
    <row r="130" spans="2:18" x14ac:dyDescent="0.3">
      <c r="B130" s="178" t="s">
        <v>193</v>
      </c>
      <c r="C130" s="178">
        <v>2004</v>
      </c>
      <c r="D130" s="178" t="s">
        <v>185</v>
      </c>
      <c r="E130" s="178" t="s">
        <v>48</v>
      </c>
      <c r="F130" s="178" t="s">
        <v>1</v>
      </c>
      <c r="G130" s="179">
        <v>174</v>
      </c>
      <c r="H130" s="180">
        <v>129667019.55378488</v>
      </c>
      <c r="I130" s="180">
        <v>24975862.843282871</v>
      </c>
      <c r="J130" s="193">
        <f>BD_Costos[[#This Row],[Valor Reventa (VR), $]]/BD_Costos[[#This Row],[Inv. Inicial (II), $]]</f>
        <v>0.1926153846153846</v>
      </c>
      <c r="K130" s="179">
        <v>5</v>
      </c>
      <c r="L130" s="180">
        <f>(H130-I130)/K130</f>
        <v>20938231.3421004</v>
      </c>
      <c r="M130" s="181">
        <v>0.5</v>
      </c>
      <c r="N130" s="193"/>
      <c r="O130" s="193">
        <v>0.65</v>
      </c>
      <c r="P130" s="193">
        <v>0.72</v>
      </c>
      <c r="Q130" s="193">
        <v>13.25</v>
      </c>
    </row>
    <row r="131" spans="2:18" x14ac:dyDescent="0.3">
      <c r="B131" s="178" t="s">
        <v>310</v>
      </c>
      <c r="C131" s="178">
        <v>2013</v>
      </c>
      <c r="D131" s="178" t="s">
        <v>185</v>
      </c>
      <c r="E131" s="178"/>
      <c r="F131" s="178" t="s">
        <v>1</v>
      </c>
      <c r="G131" s="179">
        <v>177</v>
      </c>
      <c r="H131" s="180"/>
      <c r="I131" s="180"/>
      <c r="J131" s="193"/>
      <c r="K131" s="179"/>
      <c r="L131" s="180"/>
      <c r="M131" s="181"/>
      <c r="N131" s="193"/>
      <c r="O131" s="193"/>
      <c r="P131" s="193"/>
      <c r="Q131" s="193"/>
      <c r="R131" s="67"/>
    </row>
    <row r="132" spans="2:18" x14ac:dyDescent="0.3">
      <c r="B132" s="178" t="s">
        <v>269</v>
      </c>
      <c r="C132" s="178">
        <v>2013</v>
      </c>
      <c r="D132" s="178" t="s">
        <v>11</v>
      </c>
      <c r="E132" s="178"/>
      <c r="F132" s="178" t="s">
        <v>0</v>
      </c>
      <c r="G132" s="179"/>
      <c r="H132" s="180">
        <v>1995468</v>
      </c>
      <c r="I132" s="180">
        <v>199546</v>
      </c>
      <c r="J132" s="193">
        <f>BD_Costos[[#This Row],[Valor Reventa (VR), $]]/BD_Costos[[#This Row],[Inv. Inicial (II), $]]</f>
        <v>9.9999599091541436E-2</v>
      </c>
      <c r="K132" s="179">
        <v>5</v>
      </c>
      <c r="L132" s="180">
        <v>359184.4</v>
      </c>
      <c r="M132" s="181"/>
      <c r="N132" s="193"/>
      <c r="O132" s="193">
        <v>0.7</v>
      </c>
      <c r="P132" s="193"/>
      <c r="Q132" s="193"/>
      <c r="R132" s="49"/>
    </row>
    <row r="133" spans="2:18" x14ac:dyDescent="0.3">
      <c r="B133" s="49" t="s">
        <v>270</v>
      </c>
      <c r="C133" s="49">
        <v>2015</v>
      </c>
      <c r="D133" s="178" t="s">
        <v>37</v>
      </c>
      <c r="E133" s="178"/>
      <c r="F133" s="178"/>
      <c r="G133" s="49">
        <v>241</v>
      </c>
      <c r="H133" s="180">
        <v>454437308</v>
      </c>
      <c r="I133" s="180"/>
      <c r="J133" s="193"/>
      <c r="K133" s="179"/>
      <c r="L133" s="180"/>
      <c r="M133" s="181"/>
      <c r="N133" s="193"/>
      <c r="O133" s="193"/>
      <c r="P133" s="193"/>
      <c r="Q133" s="193"/>
      <c r="R133" s="49"/>
    </row>
    <row r="134" spans="2:18" x14ac:dyDescent="0.3">
      <c r="B134" s="49" t="s">
        <v>270</v>
      </c>
      <c r="C134" s="49">
        <v>2015</v>
      </c>
      <c r="D134" s="178" t="s">
        <v>37</v>
      </c>
      <c r="E134" s="178"/>
      <c r="F134" s="178"/>
      <c r="G134" s="49">
        <v>247</v>
      </c>
      <c r="H134" s="180">
        <v>249329554</v>
      </c>
      <c r="I134" s="180"/>
      <c r="J134" s="193"/>
      <c r="K134" s="179"/>
      <c r="L134" s="180"/>
      <c r="M134" s="262"/>
      <c r="N134" s="193"/>
      <c r="O134" s="193"/>
      <c r="P134" s="193"/>
      <c r="Q134" s="193"/>
    </row>
    <row r="135" spans="2:18" x14ac:dyDescent="0.3">
      <c r="B135" s="49" t="s">
        <v>270</v>
      </c>
      <c r="C135" s="49">
        <v>2015</v>
      </c>
      <c r="D135" s="178" t="s">
        <v>37</v>
      </c>
      <c r="E135" s="178"/>
      <c r="F135" s="178"/>
      <c r="G135" s="49">
        <v>284</v>
      </c>
      <c r="H135" s="180">
        <v>375749844</v>
      </c>
      <c r="I135" s="180"/>
      <c r="J135" s="193"/>
      <c r="K135" s="179"/>
      <c r="L135" s="180"/>
      <c r="M135" s="181"/>
      <c r="N135" s="193"/>
      <c r="O135" s="193"/>
      <c r="P135" s="193"/>
      <c r="Q135" s="193"/>
    </row>
    <row r="136" spans="2:18" x14ac:dyDescent="0.3">
      <c r="B136" s="49" t="s">
        <v>270</v>
      </c>
      <c r="C136" s="49">
        <v>2015</v>
      </c>
      <c r="D136" s="49" t="s">
        <v>37</v>
      </c>
      <c r="E136" s="49"/>
      <c r="F136" s="49"/>
      <c r="G136" s="49">
        <v>284</v>
      </c>
      <c r="H136" s="232">
        <v>301364360</v>
      </c>
      <c r="I136" s="232"/>
      <c r="J136" s="193"/>
      <c r="K136" s="31"/>
      <c r="L136" s="232"/>
      <c r="M136" s="263"/>
      <c r="N136" s="67"/>
      <c r="O136" s="67"/>
      <c r="P136" s="67"/>
      <c r="Q136" s="67"/>
    </row>
    <row r="137" spans="2:18" x14ac:dyDescent="0.3">
      <c r="B137" s="49" t="s">
        <v>270</v>
      </c>
      <c r="C137" s="49">
        <v>2015</v>
      </c>
      <c r="D137" s="49" t="s">
        <v>37</v>
      </c>
      <c r="E137" s="49"/>
      <c r="F137" s="49"/>
      <c r="G137" s="49">
        <v>300</v>
      </c>
      <c r="H137" s="232">
        <v>414426403</v>
      </c>
      <c r="I137" s="232">
        <f>BD_Costos[[#This Row],[Inv. Inicial (II), $]]*0.15</f>
        <v>62163960.449999996</v>
      </c>
      <c r="J137" s="193">
        <f>BD_Costos[[#This Row],[Valor Reventa (VR), $]]/BD_Costos[[#This Row],[Inv. Inicial (II), $]]</f>
        <v>0.15</v>
      </c>
      <c r="K137" s="31">
        <v>5</v>
      </c>
      <c r="L137" s="232"/>
      <c r="M137" s="263">
        <v>0.75</v>
      </c>
      <c r="N137" s="67"/>
      <c r="O137" s="67">
        <v>0.6</v>
      </c>
      <c r="P137" s="67"/>
      <c r="Q137" s="67"/>
    </row>
    <row r="138" spans="2:18" x14ac:dyDescent="0.3">
      <c r="B138" s="49" t="s">
        <v>270</v>
      </c>
      <c r="C138" s="49">
        <v>2015</v>
      </c>
      <c r="D138" s="49" t="s">
        <v>37</v>
      </c>
      <c r="E138" s="49"/>
      <c r="F138" s="49"/>
      <c r="G138" s="49">
        <v>300</v>
      </c>
      <c r="H138" s="232">
        <v>365964903</v>
      </c>
      <c r="I138" s="232">
        <f>BD_Costos[[#This Row],[Inv. Inicial (II), $]]*0.15</f>
        <v>54894735.449999996</v>
      </c>
      <c r="J138" s="193">
        <f>BD_Costos[[#This Row],[Valor Reventa (VR), $]]/BD_Costos[[#This Row],[Inv. Inicial (II), $]]</f>
        <v>0.15</v>
      </c>
      <c r="K138" s="31">
        <v>5</v>
      </c>
      <c r="L138" s="232"/>
      <c r="M138" s="263">
        <v>0.75</v>
      </c>
      <c r="N138" s="67"/>
      <c r="O138" s="67">
        <v>0.6</v>
      </c>
      <c r="P138" s="67"/>
      <c r="Q138" s="67"/>
    </row>
    <row r="139" spans="2:18" x14ac:dyDescent="0.3">
      <c r="B139" s="49" t="s">
        <v>270</v>
      </c>
      <c r="C139" s="49">
        <v>2015</v>
      </c>
      <c r="D139" s="49" t="s">
        <v>37</v>
      </c>
      <c r="E139" s="49"/>
      <c r="F139" s="49"/>
      <c r="G139" s="49">
        <v>300</v>
      </c>
      <c r="H139" s="232">
        <v>391929368</v>
      </c>
      <c r="I139" s="232">
        <f>BD_Costos[[#This Row],[Inv. Inicial (II), $]]*0.15</f>
        <v>58789405.199999996</v>
      </c>
      <c r="J139" s="193">
        <f>BD_Costos[[#This Row],[Valor Reventa (VR), $]]/BD_Costos[[#This Row],[Inv. Inicial (II), $]]</f>
        <v>0.15</v>
      </c>
      <c r="K139" s="31">
        <v>5</v>
      </c>
      <c r="L139" s="232"/>
      <c r="M139" s="263">
        <v>0.75</v>
      </c>
      <c r="N139" s="67"/>
      <c r="O139" s="67">
        <v>0.6</v>
      </c>
      <c r="P139" s="67"/>
      <c r="Q139" s="67"/>
    </row>
    <row r="140" spans="2:18" x14ac:dyDescent="0.3">
      <c r="B140" s="49" t="s">
        <v>270</v>
      </c>
      <c r="C140" s="49">
        <v>2015</v>
      </c>
      <c r="D140" s="49" t="s">
        <v>37</v>
      </c>
      <c r="E140" s="49"/>
      <c r="F140" s="49"/>
      <c r="G140" s="49">
        <v>305</v>
      </c>
      <c r="H140" s="232">
        <v>322298172</v>
      </c>
      <c r="I140" s="232">
        <f>BD_Costos[[#This Row],[Inv. Inicial (II), $]]*0.15</f>
        <v>48344725.799999997</v>
      </c>
      <c r="J140" s="193">
        <f>BD_Costos[[#This Row],[Valor Reventa (VR), $]]/BD_Costos[[#This Row],[Inv. Inicial (II), $]]</f>
        <v>0.15</v>
      </c>
      <c r="K140" s="31">
        <v>5</v>
      </c>
      <c r="L140" s="232"/>
      <c r="M140" s="263">
        <v>0.75</v>
      </c>
      <c r="N140" s="67"/>
      <c r="O140" s="67">
        <v>0.6</v>
      </c>
      <c r="P140" s="67"/>
      <c r="Q140" s="67"/>
    </row>
    <row r="141" spans="2:18" x14ac:dyDescent="0.3">
      <c r="B141" s="49" t="s">
        <v>270</v>
      </c>
      <c r="C141" s="49">
        <v>2015</v>
      </c>
      <c r="D141" s="49" t="s">
        <v>37</v>
      </c>
      <c r="E141" s="49"/>
      <c r="F141" s="49"/>
      <c r="G141" s="49">
        <v>305</v>
      </c>
      <c r="H141" s="232">
        <v>399782077</v>
      </c>
      <c r="I141" s="232">
        <f>BD_Costos[[#This Row],[Inv. Inicial (II), $]]*0.15</f>
        <v>59967311.549999997</v>
      </c>
      <c r="J141" s="193">
        <f>BD_Costos[[#This Row],[Valor Reventa (VR), $]]/BD_Costos[[#This Row],[Inv. Inicial (II), $]]</f>
        <v>0.15</v>
      </c>
      <c r="K141" s="31">
        <v>5</v>
      </c>
      <c r="L141" s="232"/>
      <c r="M141" s="263">
        <v>0.75</v>
      </c>
      <c r="N141" s="67"/>
      <c r="O141" s="67">
        <v>0.6</v>
      </c>
      <c r="P141" s="67"/>
      <c r="Q141" s="67"/>
    </row>
    <row r="142" spans="2:18" x14ac:dyDescent="0.3">
      <c r="B142" s="49" t="s">
        <v>270</v>
      </c>
      <c r="C142" s="49">
        <v>2015</v>
      </c>
      <c r="D142" s="49" t="s">
        <v>37</v>
      </c>
      <c r="E142" s="49"/>
      <c r="F142" s="49"/>
      <c r="G142" s="49">
        <v>308</v>
      </c>
      <c r="H142" s="232">
        <v>362087204</v>
      </c>
      <c r="I142" s="232">
        <f>BD_Costos[[#This Row],[Inv. Inicial (II), $]]*0.15</f>
        <v>54313080.600000001</v>
      </c>
      <c r="J142" s="193">
        <f>BD_Costos[[#This Row],[Valor Reventa (VR), $]]/BD_Costos[[#This Row],[Inv. Inicial (II), $]]</f>
        <v>0.15</v>
      </c>
      <c r="K142" s="31">
        <v>5</v>
      </c>
      <c r="L142" s="232"/>
      <c r="M142" s="263">
        <v>0.75</v>
      </c>
      <c r="N142" s="67"/>
      <c r="O142" s="67">
        <v>0.6</v>
      </c>
      <c r="P142" s="67"/>
      <c r="Q142" s="67"/>
    </row>
    <row r="143" spans="2:18" x14ac:dyDescent="0.3">
      <c r="B143" s="49" t="s">
        <v>270</v>
      </c>
      <c r="C143" s="49">
        <v>2015</v>
      </c>
      <c r="D143" s="49" t="s">
        <v>37</v>
      </c>
      <c r="E143" s="49"/>
      <c r="F143" s="49"/>
      <c r="G143" s="49">
        <v>300</v>
      </c>
      <c r="H143" s="232">
        <v>389249000</v>
      </c>
      <c r="I143" s="232">
        <f>BD_Costos[[#This Row],[Inv. Inicial (II), $]]*0.15</f>
        <v>58387350</v>
      </c>
      <c r="J143" s="193">
        <f>BD_Costos[[#This Row],[Valor Reventa (VR), $]]/BD_Costos[[#This Row],[Inv. Inicial (II), $]]</f>
        <v>0.15</v>
      </c>
      <c r="K143" s="31">
        <v>5</v>
      </c>
      <c r="L143" s="232"/>
      <c r="M143" s="263">
        <v>0.75</v>
      </c>
      <c r="N143" s="67"/>
      <c r="O143" s="67">
        <v>0.6</v>
      </c>
      <c r="P143" s="67"/>
      <c r="Q143" s="67"/>
    </row>
    <row r="144" spans="2:18" x14ac:dyDescent="0.3">
      <c r="B144" s="49" t="s">
        <v>270</v>
      </c>
      <c r="C144" s="49">
        <v>2015</v>
      </c>
      <c r="D144" s="49" t="s">
        <v>167</v>
      </c>
      <c r="E144" s="49"/>
      <c r="F144" s="49"/>
      <c r="G144" s="49">
        <v>152</v>
      </c>
      <c r="H144" s="232">
        <v>227758931</v>
      </c>
      <c r="I144" s="232">
        <f>BD_Costos[[#This Row],[Inv. Inicial (II), $]]*0.15</f>
        <v>34163839.649999999</v>
      </c>
      <c r="J144" s="193">
        <f>BD_Costos[[#This Row],[Valor Reventa (VR), $]]/BD_Costos[[#This Row],[Inv. Inicial (II), $]]</f>
        <v>0.15</v>
      </c>
      <c r="K144" s="31">
        <v>5</v>
      </c>
      <c r="L144" s="232"/>
      <c r="M144" s="263">
        <v>0.9</v>
      </c>
      <c r="N144" s="67"/>
      <c r="O144" s="67">
        <v>0.65</v>
      </c>
      <c r="P144" s="67"/>
      <c r="Q144" s="67"/>
    </row>
    <row r="145" spans="2:17" x14ac:dyDescent="0.3">
      <c r="B145" s="49" t="s">
        <v>270</v>
      </c>
      <c r="C145" s="49">
        <v>2015</v>
      </c>
      <c r="D145" s="49" t="s">
        <v>167</v>
      </c>
      <c r="E145" s="49"/>
      <c r="F145" s="49"/>
      <c r="G145" s="49">
        <v>219</v>
      </c>
      <c r="H145" s="232">
        <v>253132517</v>
      </c>
      <c r="I145" s="232">
        <f>BD_Costos[[#This Row],[Inv. Inicial (II), $]]*0.15</f>
        <v>37969877.549999997</v>
      </c>
      <c r="J145" s="193">
        <f>BD_Costos[[#This Row],[Valor Reventa (VR), $]]/BD_Costos[[#This Row],[Inv. Inicial (II), $]]</f>
        <v>0.15</v>
      </c>
      <c r="K145" s="31">
        <v>5</v>
      </c>
      <c r="L145" s="232"/>
      <c r="M145" s="263">
        <v>0.9</v>
      </c>
      <c r="N145" s="67"/>
      <c r="O145" s="67">
        <v>0.65</v>
      </c>
      <c r="P145" s="67"/>
      <c r="Q145" s="67"/>
    </row>
    <row r="146" spans="2:17" x14ac:dyDescent="0.3">
      <c r="B146" s="49" t="s">
        <v>270</v>
      </c>
      <c r="C146" s="49">
        <v>2015</v>
      </c>
      <c r="D146" s="49" t="s">
        <v>167</v>
      </c>
      <c r="E146" s="49"/>
      <c r="F146" s="49"/>
      <c r="G146" s="49">
        <v>200</v>
      </c>
      <c r="H146" s="232">
        <v>287611415</v>
      </c>
      <c r="I146" s="232">
        <f>BD_Costos[[#This Row],[Inv. Inicial (II), $]]*0.15</f>
        <v>43141712.25</v>
      </c>
      <c r="J146" s="193">
        <f>BD_Costos[[#This Row],[Valor Reventa (VR), $]]/BD_Costos[[#This Row],[Inv. Inicial (II), $]]</f>
        <v>0.15</v>
      </c>
      <c r="K146" s="31">
        <v>5</v>
      </c>
      <c r="L146" s="232"/>
      <c r="M146" s="263">
        <v>0.9</v>
      </c>
      <c r="N146" s="67"/>
      <c r="O146" s="67">
        <v>0.65</v>
      </c>
      <c r="P146" s="67"/>
      <c r="Q146" s="67"/>
    </row>
    <row r="147" spans="2:17" x14ac:dyDescent="0.3">
      <c r="B147" s="49" t="s">
        <v>270</v>
      </c>
      <c r="C147" s="49">
        <v>2015</v>
      </c>
      <c r="D147" s="49" t="s">
        <v>167</v>
      </c>
      <c r="E147" s="49"/>
      <c r="F147" s="49"/>
      <c r="G147" s="49">
        <v>220</v>
      </c>
      <c r="H147" s="232">
        <v>221871930</v>
      </c>
      <c r="I147" s="232">
        <f>BD_Costos[[#This Row],[Inv. Inicial (II), $]]*0.15</f>
        <v>33280789.5</v>
      </c>
      <c r="J147" s="193">
        <f>BD_Costos[[#This Row],[Valor Reventa (VR), $]]/BD_Costos[[#This Row],[Inv. Inicial (II), $]]</f>
        <v>0.15</v>
      </c>
      <c r="K147" s="31">
        <v>5</v>
      </c>
      <c r="L147" s="232"/>
      <c r="M147" s="263">
        <v>0.9</v>
      </c>
      <c r="N147" s="67"/>
      <c r="O147" s="67">
        <v>0.65</v>
      </c>
      <c r="P147" s="67"/>
      <c r="Q147" s="67"/>
    </row>
    <row r="148" spans="2:17" x14ac:dyDescent="0.3">
      <c r="B148" s="49" t="s">
        <v>270</v>
      </c>
      <c r="C148" s="49">
        <v>2015</v>
      </c>
      <c r="D148" s="49" t="s">
        <v>167</v>
      </c>
      <c r="E148" s="49"/>
      <c r="F148" s="49"/>
      <c r="G148" s="49">
        <v>150</v>
      </c>
      <c r="H148" s="232">
        <v>315461402</v>
      </c>
      <c r="I148" s="232">
        <f>BD_Costos[[#This Row],[Inv. Inicial (II), $]]*0.15</f>
        <v>47319210.299999997</v>
      </c>
      <c r="J148" s="193">
        <f>BD_Costos[[#This Row],[Valor Reventa (VR), $]]/BD_Costos[[#This Row],[Inv. Inicial (II), $]]</f>
        <v>0.15</v>
      </c>
      <c r="K148" s="31">
        <v>5</v>
      </c>
      <c r="L148" s="232"/>
      <c r="M148" s="263">
        <v>0.9</v>
      </c>
      <c r="N148" s="67"/>
      <c r="O148" s="67">
        <v>0.65</v>
      </c>
      <c r="P148" s="67"/>
      <c r="Q148" s="67"/>
    </row>
    <row r="149" spans="2:17" x14ac:dyDescent="0.3">
      <c r="B149" s="49" t="s">
        <v>270</v>
      </c>
      <c r="C149" s="49">
        <v>2015</v>
      </c>
      <c r="D149" s="49" t="s">
        <v>186</v>
      </c>
      <c r="E149" s="49"/>
      <c r="F149" s="49"/>
      <c r="G149" s="49">
        <v>194</v>
      </c>
      <c r="H149" s="232">
        <v>333336495</v>
      </c>
      <c r="I149" s="232">
        <f>BD_Costos[[#This Row],[Inv. Inicial (II), $]]*0.2</f>
        <v>66667299</v>
      </c>
      <c r="J149" s="193">
        <f>BD_Costos[[#This Row],[Valor Reventa (VR), $]]/BD_Costos[[#This Row],[Inv. Inicial (II), $]]</f>
        <v>0.2</v>
      </c>
      <c r="K149" s="31">
        <v>5</v>
      </c>
      <c r="L149" s="232"/>
      <c r="M149" s="263">
        <v>1</v>
      </c>
      <c r="N149" s="67"/>
      <c r="O149" s="67">
        <v>0.9</v>
      </c>
      <c r="P149" s="67"/>
      <c r="Q149" s="67"/>
    </row>
    <row r="150" spans="2:17" x14ac:dyDescent="0.3">
      <c r="B150" s="49" t="s">
        <v>270</v>
      </c>
      <c r="C150" s="49">
        <v>2015</v>
      </c>
      <c r="D150" s="49" t="s">
        <v>186</v>
      </c>
      <c r="E150" s="49"/>
      <c r="F150" s="49"/>
      <c r="G150" s="49">
        <v>160</v>
      </c>
      <c r="H150" s="232">
        <v>324633666</v>
      </c>
      <c r="I150" s="232">
        <f>BD_Costos[[#This Row],[Inv. Inicial (II), $]]*0.2</f>
        <v>64926733.200000003</v>
      </c>
      <c r="J150" s="193">
        <f>BD_Costos[[#This Row],[Valor Reventa (VR), $]]/BD_Costos[[#This Row],[Inv. Inicial (II), $]]</f>
        <v>0.2</v>
      </c>
      <c r="K150" s="31">
        <v>5</v>
      </c>
      <c r="L150" s="232"/>
      <c r="M150" s="263">
        <v>1</v>
      </c>
      <c r="N150" s="67"/>
      <c r="O150" s="67">
        <v>0.9</v>
      </c>
      <c r="P150" s="67"/>
      <c r="Q150" s="67"/>
    </row>
    <row r="151" spans="2:17" x14ac:dyDescent="0.3">
      <c r="B151" s="49" t="s">
        <v>270</v>
      </c>
      <c r="C151" s="49">
        <v>2015</v>
      </c>
      <c r="D151" s="49" t="s">
        <v>186</v>
      </c>
      <c r="E151" s="49"/>
      <c r="F151" s="49"/>
      <c r="G151" s="49">
        <v>194</v>
      </c>
      <c r="H151" s="232">
        <v>305949714</v>
      </c>
      <c r="I151" s="232">
        <f>BD_Costos[[#This Row],[Inv. Inicial (II), $]]*0.2</f>
        <v>61189942.800000004</v>
      </c>
      <c r="J151" s="193">
        <f>BD_Costos[[#This Row],[Valor Reventa (VR), $]]/BD_Costos[[#This Row],[Inv. Inicial (II), $]]</f>
        <v>0.2</v>
      </c>
      <c r="K151" s="31">
        <v>5</v>
      </c>
      <c r="L151" s="232"/>
      <c r="M151" s="263">
        <v>1</v>
      </c>
      <c r="N151" s="67"/>
      <c r="O151" s="67">
        <v>0.9</v>
      </c>
      <c r="P151" s="67"/>
      <c r="Q151" s="67"/>
    </row>
    <row r="152" spans="2:17" x14ac:dyDescent="0.3">
      <c r="B152" s="49" t="s">
        <v>270</v>
      </c>
      <c r="C152" s="49">
        <v>2015</v>
      </c>
      <c r="D152" s="49" t="s">
        <v>186</v>
      </c>
      <c r="E152" s="49"/>
      <c r="F152" s="49"/>
      <c r="G152" s="49">
        <v>194</v>
      </c>
      <c r="H152" s="232">
        <v>319584327</v>
      </c>
      <c r="I152" s="232">
        <f>BD_Costos[[#This Row],[Inv. Inicial (II), $]]*0.2</f>
        <v>63916865.400000006</v>
      </c>
      <c r="J152" s="193">
        <f>BD_Costos[[#This Row],[Valor Reventa (VR), $]]/BD_Costos[[#This Row],[Inv. Inicial (II), $]]</f>
        <v>0.2</v>
      </c>
      <c r="K152" s="31">
        <v>5</v>
      </c>
      <c r="L152" s="232"/>
      <c r="M152" s="263">
        <v>1</v>
      </c>
      <c r="N152" s="67"/>
      <c r="O152" s="67">
        <v>0.9</v>
      </c>
      <c r="P152" s="67"/>
      <c r="Q152" s="67"/>
    </row>
    <row r="153" spans="2:17" x14ac:dyDescent="0.3">
      <c r="B153" s="49" t="s">
        <v>270</v>
      </c>
      <c r="C153" s="49">
        <v>2015</v>
      </c>
      <c r="D153" s="49" t="s">
        <v>186</v>
      </c>
      <c r="E153" s="49"/>
      <c r="F153" s="49"/>
      <c r="G153" s="49">
        <v>213</v>
      </c>
      <c r="H153" s="232">
        <v>420388920</v>
      </c>
      <c r="I153" s="232">
        <f>BD_Costos[[#This Row],[Inv. Inicial (II), $]]*0.2</f>
        <v>84077784</v>
      </c>
      <c r="J153" s="193">
        <f>BD_Costos[[#This Row],[Valor Reventa (VR), $]]/BD_Costos[[#This Row],[Inv. Inicial (II), $]]</f>
        <v>0.2</v>
      </c>
      <c r="K153" s="31">
        <v>5</v>
      </c>
      <c r="L153" s="232"/>
      <c r="M153" s="263">
        <v>1</v>
      </c>
      <c r="N153" s="67"/>
      <c r="O153" s="67">
        <v>0.9</v>
      </c>
      <c r="P153" s="67"/>
      <c r="Q153" s="67"/>
    </row>
    <row r="154" spans="2:17" x14ac:dyDescent="0.3">
      <c r="B154" s="49" t="s">
        <v>270</v>
      </c>
      <c r="C154" s="49">
        <v>2015</v>
      </c>
      <c r="D154" s="49" t="s">
        <v>186</v>
      </c>
      <c r="E154" s="49"/>
      <c r="F154" s="49"/>
      <c r="G154" s="49">
        <v>194</v>
      </c>
      <c r="H154" s="232">
        <v>309842204</v>
      </c>
      <c r="I154" s="232">
        <f>BD_Costos[[#This Row],[Inv. Inicial (II), $]]*0.2</f>
        <v>61968440.800000004</v>
      </c>
      <c r="J154" s="193">
        <f>BD_Costos[[#This Row],[Valor Reventa (VR), $]]/BD_Costos[[#This Row],[Inv. Inicial (II), $]]</f>
        <v>0.2</v>
      </c>
      <c r="K154" s="31">
        <v>5</v>
      </c>
      <c r="L154" s="232"/>
      <c r="M154" s="263">
        <v>1</v>
      </c>
      <c r="N154" s="67"/>
      <c r="O154" s="67">
        <v>0.9</v>
      </c>
      <c r="P154" s="67"/>
      <c r="Q154" s="67"/>
    </row>
    <row r="155" spans="2:17" x14ac:dyDescent="0.3">
      <c r="B155" s="49" t="s">
        <v>270</v>
      </c>
      <c r="C155" s="49">
        <v>2015</v>
      </c>
      <c r="D155" s="49" t="s">
        <v>36</v>
      </c>
      <c r="E155" s="49"/>
      <c r="F155" s="49"/>
      <c r="G155" s="49">
        <v>159</v>
      </c>
      <c r="H155" s="232">
        <v>289419087</v>
      </c>
      <c r="I155" s="232"/>
      <c r="J155" s="193"/>
      <c r="K155" s="31">
        <v>5</v>
      </c>
      <c r="L155" s="232">
        <f>BD_Costos[[#This Row],[Inv. Inicial (II), $]]*0.3</f>
        <v>86825726.099999994</v>
      </c>
      <c r="M155" s="263">
        <v>0.9</v>
      </c>
      <c r="N155" s="67"/>
      <c r="O155" s="67">
        <v>0.65</v>
      </c>
      <c r="P155" s="67"/>
      <c r="Q155" s="67"/>
    </row>
    <row r="156" spans="2:17" x14ac:dyDescent="0.3">
      <c r="B156" s="49" t="s">
        <v>270</v>
      </c>
      <c r="C156" s="49">
        <v>2015</v>
      </c>
      <c r="D156" s="49" t="s">
        <v>36</v>
      </c>
      <c r="E156" s="49"/>
      <c r="F156" s="49"/>
      <c r="G156" s="49">
        <v>155</v>
      </c>
      <c r="H156" s="232">
        <v>170489505</v>
      </c>
      <c r="I156" s="232"/>
      <c r="J156" s="193"/>
      <c r="K156" s="31">
        <v>5</v>
      </c>
      <c r="L156" s="232">
        <f>BD_Costos[[#This Row],[Inv. Inicial (II), $]]*0.3</f>
        <v>51146851.5</v>
      </c>
      <c r="M156" s="263">
        <v>0.9</v>
      </c>
      <c r="N156" s="67"/>
      <c r="O156" s="67">
        <v>0.65</v>
      </c>
      <c r="P156" s="67"/>
      <c r="Q156" s="67"/>
    </row>
    <row r="157" spans="2:17" x14ac:dyDescent="0.3">
      <c r="B157" s="49" t="s">
        <v>270</v>
      </c>
      <c r="C157" s="49">
        <v>2015</v>
      </c>
      <c r="D157" s="49" t="s">
        <v>36</v>
      </c>
      <c r="E157" s="49"/>
      <c r="F157" s="49"/>
      <c r="G157" s="49">
        <v>160</v>
      </c>
      <c r="H157" s="232">
        <v>253011850</v>
      </c>
      <c r="I157" s="232"/>
      <c r="J157" s="193"/>
      <c r="K157" s="31">
        <v>5</v>
      </c>
      <c r="L157" s="232">
        <f>BD_Costos[[#This Row],[Inv. Inicial (II), $]]*0.3</f>
        <v>75903555</v>
      </c>
      <c r="M157" s="263">
        <v>0.9</v>
      </c>
      <c r="N157" s="67"/>
      <c r="O157" s="67">
        <v>0.65</v>
      </c>
      <c r="P157" s="67"/>
      <c r="Q157" s="67"/>
    </row>
    <row r="158" spans="2:17" x14ac:dyDescent="0.3">
      <c r="B158" s="49" t="s">
        <v>270</v>
      </c>
      <c r="C158" s="49">
        <v>2015</v>
      </c>
      <c r="D158" s="49" t="s">
        <v>36</v>
      </c>
      <c r="E158" s="49"/>
      <c r="F158" s="49"/>
      <c r="G158" s="49">
        <v>157</v>
      </c>
      <c r="H158" s="232">
        <v>200302864</v>
      </c>
      <c r="I158" s="232"/>
      <c r="J158" s="193"/>
      <c r="K158" s="31">
        <v>5</v>
      </c>
      <c r="L158" s="232">
        <f>BD_Costos[[#This Row],[Inv. Inicial (II), $]]*0.3</f>
        <v>60090859.199999996</v>
      </c>
      <c r="M158" s="263">
        <v>0.9</v>
      </c>
      <c r="N158" s="67"/>
      <c r="O158" s="67">
        <v>0.65</v>
      </c>
      <c r="P158" s="67"/>
      <c r="Q158" s="67"/>
    </row>
    <row r="159" spans="2:17" x14ac:dyDescent="0.3">
      <c r="B159" s="49" t="s">
        <v>270</v>
      </c>
      <c r="C159" s="49">
        <v>2015</v>
      </c>
      <c r="D159" s="49" t="s">
        <v>36</v>
      </c>
      <c r="E159" s="49"/>
      <c r="F159" s="49"/>
      <c r="G159" s="49">
        <v>204</v>
      </c>
      <c r="H159" s="232">
        <v>273295615</v>
      </c>
      <c r="I159" s="232"/>
      <c r="J159" s="193"/>
      <c r="K159" s="31">
        <v>5</v>
      </c>
      <c r="L159" s="232">
        <f>BD_Costos[[#This Row],[Inv. Inicial (II), $]]*0.3</f>
        <v>81988684.5</v>
      </c>
      <c r="M159" s="263">
        <v>0.9</v>
      </c>
      <c r="N159" s="67"/>
      <c r="O159" s="67">
        <v>0.65</v>
      </c>
      <c r="P159" s="67"/>
      <c r="Q159" s="67"/>
    </row>
    <row r="160" spans="2:17" x14ac:dyDescent="0.3">
      <c r="B160" s="49" t="s">
        <v>270</v>
      </c>
      <c r="C160" s="49">
        <v>2015</v>
      </c>
      <c r="D160" s="49" t="s">
        <v>36</v>
      </c>
      <c r="E160" s="49"/>
      <c r="F160" s="49"/>
      <c r="G160" s="49">
        <v>268</v>
      </c>
      <c r="H160" s="232">
        <v>305412550</v>
      </c>
      <c r="I160" s="232"/>
      <c r="J160" s="193"/>
      <c r="K160" s="31">
        <v>5</v>
      </c>
      <c r="L160" s="232">
        <f>BD_Costos[[#This Row],[Inv. Inicial (II), $]]*0.3</f>
        <v>91623765</v>
      </c>
      <c r="M160" s="263">
        <v>0.9</v>
      </c>
      <c r="N160" s="67"/>
      <c r="O160" s="67">
        <v>0.65</v>
      </c>
      <c r="P160" s="67"/>
      <c r="Q160" s="67"/>
    </row>
    <row r="161" spans="2:17" x14ac:dyDescent="0.3">
      <c r="B161" s="49" t="s">
        <v>270</v>
      </c>
      <c r="C161" s="49">
        <v>2015</v>
      </c>
      <c r="D161" s="49" t="s">
        <v>36</v>
      </c>
      <c r="E161" s="49"/>
      <c r="F161" s="49"/>
      <c r="G161" s="49">
        <v>188</v>
      </c>
      <c r="H161" s="232">
        <v>307417182</v>
      </c>
      <c r="I161" s="232"/>
      <c r="J161" s="193"/>
      <c r="K161" s="31">
        <v>5</v>
      </c>
      <c r="L161" s="232">
        <f>BD_Costos[[#This Row],[Inv. Inicial (II), $]]*0.3</f>
        <v>92225154.599999994</v>
      </c>
      <c r="M161" s="263">
        <v>0.9</v>
      </c>
      <c r="N161" s="67"/>
      <c r="O161" s="67">
        <v>0.65</v>
      </c>
      <c r="P161" s="67"/>
      <c r="Q161" s="67"/>
    </row>
    <row r="162" spans="2:17" x14ac:dyDescent="0.3">
      <c r="B162" s="178" t="s">
        <v>308</v>
      </c>
      <c r="C162" s="178">
        <v>1980</v>
      </c>
      <c r="D162" s="178" t="s">
        <v>11</v>
      </c>
      <c r="E162" s="178"/>
      <c r="F162" s="178"/>
      <c r="G162" s="179"/>
      <c r="H162" s="180"/>
      <c r="I162" s="180"/>
      <c r="J162" s="67"/>
      <c r="K162" s="179">
        <v>1</v>
      </c>
      <c r="L162" s="180"/>
      <c r="M162" s="181">
        <v>1</v>
      </c>
      <c r="N162" s="193"/>
      <c r="O162" s="193">
        <v>0.5</v>
      </c>
      <c r="P162" s="193"/>
      <c r="Q162" s="193"/>
    </row>
    <row r="163" spans="2:17" x14ac:dyDescent="0.3">
      <c r="B163" s="178" t="s">
        <v>311</v>
      </c>
      <c r="C163" s="178">
        <v>2022</v>
      </c>
      <c r="D163" s="178" t="s">
        <v>40</v>
      </c>
      <c r="E163" s="178"/>
      <c r="F163" s="178" t="s">
        <v>39</v>
      </c>
      <c r="G163" s="179"/>
      <c r="H163" s="180">
        <v>76900000</v>
      </c>
      <c r="I163" s="180"/>
      <c r="J163" s="67">
        <f>BD_Costos[[#This Row],[Valor Reventa (VR), $]]/BD_Costos[[#This Row],[Inv. Inicial (II), $]]</f>
        <v>0</v>
      </c>
      <c r="K163" s="179"/>
      <c r="L163" s="180" t="e">
        <f t="shared" ref="L163:L168" si="4">(H163-I163)/K163</f>
        <v>#DIV/0!</v>
      </c>
      <c r="M163" s="181"/>
      <c r="N163" s="193"/>
      <c r="O163" s="193"/>
      <c r="P163" s="193"/>
      <c r="Q163" s="193"/>
    </row>
    <row r="164" spans="2:17" x14ac:dyDescent="0.3">
      <c r="B164" s="178" t="s">
        <v>310</v>
      </c>
      <c r="C164" s="178">
        <v>2012</v>
      </c>
      <c r="D164" s="178" t="s">
        <v>40</v>
      </c>
      <c r="E164" s="178"/>
      <c r="F164" s="178" t="s">
        <v>39</v>
      </c>
      <c r="G164" s="179"/>
      <c r="H164" s="180"/>
      <c r="I164" s="180"/>
      <c r="J164" s="67"/>
      <c r="K164" s="179"/>
      <c r="L164" s="180" t="e">
        <f t="shared" si="4"/>
        <v>#DIV/0!</v>
      </c>
      <c r="M164" s="181"/>
      <c r="N164" s="193"/>
      <c r="O164" s="193">
        <v>0.8</v>
      </c>
      <c r="P164" s="193"/>
      <c r="Q164" s="193">
        <v>27.4</v>
      </c>
    </row>
    <row r="165" spans="2:17" x14ac:dyDescent="0.3">
      <c r="B165" s="178" t="s">
        <v>312</v>
      </c>
      <c r="C165" s="178">
        <v>2012</v>
      </c>
      <c r="D165" s="178" t="s">
        <v>40</v>
      </c>
      <c r="E165" s="178"/>
      <c r="F165" s="178" t="s">
        <v>39</v>
      </c>
      <c r="G165" s="179"/>
      <c r="H165" s="180"/>
      <c r="I165" s="180"/>
      <c r="J165" s="67"/>
      <c r="K165" s="179"/>
      <c r="L165" s="180" t="e">
        <f t="shared" si="4"/>
        <v>#DIV/0!</v>
      </c>
      <c r="M165" s="181"/>
      <c r="N165" s="193"/>
      <c r="O165" s="193"/>
      <c r="P165" s="193"/>
      <c r="Q165" s="193">
        <f>7.77*12.73</f>
        <v>98.912099999999995</v>
      </c>
    </row>
    <row r="166" spans="2:17" x14ac:dyDescent="0.3">
      <c r="B166" s="178" t="s">
        <v>313</v>
      </c>
      <c r="C166" s="178">
        <v>2012</v>
      </c>
      <c r="D166" s="178" t="s">
        <v>36</v>
      </c>
      <c r="E166" s="49"/>
      <c r="F166" s="178" t="s">
        <v>38</v>
      </c>
      <c r="G166" s="179"/>
      <c r="H166" s="180"/>
      <c r="I166" s="180"/>
      <c r="J166" s="67"/>
      <c r="K166" s="179"/>
      <c r="L166" s="180" t="e">
        <f t="shared" si="4"/>
        <v>#DIV/0!</v>
      </c>
      <c r="M166" s="181"/>
      <c r="N166" s="193"/>
      <c r="O166" s="193"/>
      <c r="P166" s="193"/>
      <c r="Q166" s="193">
        <f>13.17*1.437</f>
        <v>18.92529</v>
      </c>
    </row>
    <row r="167" spans="2:17" x14ac:dyDescent="0.3">
      <c r="B167" s="178" t="s">
        <v>314</v>
      </c>
      <c r="C167" s="178">
        <v>2013</v>
      </c>
      <c r="D167" s="178" t="s">
        <v>166</v>
      </c>
      <c r="E167" s="49"/>
      <c r="F167" s="178" t="s">
        <v>1</v>
      </c>
      <c r="G167" s="179">
        <v>170</v>
      </c>
      <c r="H167" s="180">
        <v>143673750</v>
      </c>
      <c r="I167" s="180">
        <v>14367375</v>
      </c>
      <c r="J167" s="67">
        <f>BD_Costos[[#This Row],[Valor Reventa (VR), $]]/BD_Costos[[#This Row],[Inv. Inicial (II), $]]</f>
        <v>0.1</v>
      </c>
      <c r="K167" s="179">
        <v>10</v>
      </c>
      <c r="L167" s="180">
        <f t="shared" si="4"/>
        <v>12930637.5</v>
      </c>
      <c r="M167" s="181">
        <v>0.9</v>
      </c>
      <c r="N167" s="193"/>
      <c r="O167" s="193">
        <v>0.75</v>
      </c>
      <c r="P167" s="193">
        <v>0.3</v>
      </c>
      <c r="Q167" s="193">
        <v>21</v>
      </c>
    </row>
    <row r="168" spans="2:17" x14ac:dyDescent="0.3">
      <c r="B168" s="178" t="s">
        <v>315</v>
      </c>
      <c r="C168" s="178">
        <v>2013</v>
      </c>
      <c r="D168" s="178" t="s">
        <v>185</v>
      </c>
      <c r="E168" s="49"/>
      <c r="F168" s="178" t="s">
        <v>1</v>
      </c>
      <c r="G168" s="179">
        <v>177</v>
      </c>
      <c r="H168" s="180">
        <v>712580909</v>
      </c>
      <c r="I168" s="180">
        <v>71258090</v>
      </c>
      <c r="J168" s="67">
        <f>BD_Costos[[#This Row],[Valor Reventa (VR), $]]/BD_Costos[[#This Row],[Inv. Inicial (II), $]]</f>
        <v>9.9999998736985535E-2</v>
      </c>
      <c r="K168" s="179">
        <v>10</v>
      </c>
      <c r="L168" s="180">
        <f t="shared" si="4"/>
        <v>64132281.899999999</v>
      </c>
      <c r="M168" s="181">
        <v>0.9</v>
      </c>
      <c r="N168" s="193"/>
      <c r="O168" s="193">
        <v>0.75</v>
      </c>
      <c r="P168" s="193">
        <v>0.3</v>
      </c>
      <c r="Q168" s="193">
        <v>21</v>
      </c>
    </row>
    <row r="169" spans="2:17" x14ac:dyDescent="0.3">
      <c r="B169" s="178" t="s">
        <v>318</v>
      </c>
      <c r="C169" s="178">
        <v>2010</v>
      </c>
      <c r="D169" s="178" t="s">
        <v>40</v>
      </c>
      <c r="E169" s="178"/>
      <c r="F169" s="178" t="s">
        <v>39</v>
      </c>
      <c r="G169" s="179"/>
      <c r="H169" s="180"/>
      <c r="I169" s="180"/>
      <c r="J169" s="67"/>
      <c r="K169" s="179"/>
      <c r="L169" s="180"/>
      <c r="M169" s="181">
        <v>0.9</v>
      </c>
      <c r="N169" s="193"/>
      <c r="O169" s="193"/>
      <c r="P169" s="193"/>
      <c r="Q169" s="193"/>
    </row>
    <row r="170" spans="2:17" x14ac:dyDescent="0.3">
      <c r="B170" s="178" t="s">
        <v>333</v>
      </c>
      <c r="C170" s="178">
        <v>2011</v>
      </c>
      <c r="D170" s="178" t="s">
        <v>186</v>
      </c>
      <c r="E170" s="178" t="s">
        <v>48</v>
      </c>
      <c r="F170" s="178" t="s">
        <v>16</v>
      </c>
      <c r="G170" s="179"/>
      <c r="H170" s="180"/>
      <c r="I170" s="180"/>
      <c r="J170" s="67"/>
      <c r="K170" s="179"/>
      <c r="L170" s="180"/>
      <c r="M170" s="181"/>
      <c r="N170" s="193"/>
      <c r="O170" s="193">
        <v>0.83399999999999996</v>
      </c>
      <c r="P170" s="193"/>
      <c r="Q170" s="193"/>
    </row>
    <row r="171" spans="2:17" x14ac:dyDescent="0.3">
      <c r="B171" s="178" t="s">
        <v>333</v>
      </c>
      <c r="C171" s="178">
        <v>2011</v>
      </c>
      <c r="D171" s="178" t="s">
        <v>186</v>
      </c>
      <c r="E171" s="178" t="s">
        <v>48</v>
      </c>
      <c r="F171" s="178" t="s">
        <v>16</v>
      </c>
      <c r="G171" s="179"/>
      <c r="H171" s="180"/>
      <c r="I171" s="180"/>
      <c r="J171" s="67"/>
      <c r="K171" s="179"/>
      <c r="L171" s="180"/>
      <c r="M171" s="181"/>
      <c r="N171" s="193"/>
      <c r="O171" s="193">
        <v>0.83299999999999996</v>
      </c>
      <c r="P171" s="193"/>
      <c r="Q171" s="193"/>
    </row>
    <row r="172" spans="2:17" x14ac:dyDescent="0.3">
      <c r="B172" s="178" t="s">
        <v>333</v>
      </c>
      <c r="C172" s="178">
        <v>2011</v>
      </c>
      <c r="D172" s="178" t="s">
        <v>186</v>
      </c>
      <c r="E172" s="178" t="s">
        <v>48</v>
      </c>
      <c r="F172" s="178" t="s">
        <v>16</v>
      </c>
      <c r="G172" s="179"/>
      <c r="H172" s="180"/>
      <c r="I172" s="180"/>
      <c r="J172" s="67"/>
      <c r="K172" s="179"/>
      <c r="L172" s="180"/>
      <c r="M172" s="181"/>
      <c r="N172" s="193"/>
      <c r="O172" s="193">
        <v>0.84699999999999998</v>
      </c>
      <c r="P172" s="193"/>
      <c r="Q172" s="193"/>
    </row>
    <row r="173" spans="2:17" x14ac:dyDescent="0.3">
      <c r="B173" s="178" t="s">
        <v>333</v>
      </c>
      <c r="C173" s="178">
        <v>2011</v>
      </c>
      <c r="D173" s="178" t="s">
        <v>186</v>
      </c>
      <c r="E173" s="178" t="s">
        <v>48</v>
      </c>
      <c r="F173" s="178" t="s">
        <v>16</v>
      </c>
      <c r="G173" s="179"/>
      <c r="H173" s="180"/>
      <c r="I173" s="180"/>
      <c r="J173" s="67"/>
      <c r="K173" s="179"/>
      <c r="L173" s="180"/>
      <c r="M173" s="181"/>
      <c r="N173" s="193"/>
      <c r="O173" s="193">
        <v>0.76900000000000002</v>
      </c>
      <c r="P173" s="193"/>
      <c r="Q173" s="193"/>
    </row>
    <row r="174" spans="2:17" x14ac:dyDescent="0.3">
      <c r="B174" s="178" t="s">
        <v>333</v>
      </c>
      <c r="C174" s="178">
        <v>2011</v>
      </c>
      <c r="D174" s="178" t="s">
        <v>186</v>
      </c>
      <c r="E174" s="178" t="s">
        <v>48</v>
      </c>
      <c r="F174" s="178" t="s">
        <v>16</v>
      </c>
      <c r="G174" s="179"/>
      <c r="H174" s="180"/>
      <c r="I174" s="180"/>
      <c r="J174" s="67"/>
      <c r="K174" s="179"/>
      <c r="L174" s="180"/>
      <c r="M174" s="181"/>
      <c r="N174" s="193"/>
      <c r="O174" s="193">
        <v>0.76300000000000001</v>
      </c>
      <c r="P174" s="193"/>
      <c r="Q174" s="193"/>
    </row>
    <row r="175" spans="2:17" x14ac:dyDescent="0.3">
      <c r="B175" s="178" t="s">
        <v>333</v>
      </c>
      <c r="C175" s="178">
        <v>2011</v>
      </c>
      <c r="D175" s="178" t="s">
        <v>186</v>
      </c>
      <c r="E175" s="178" t="s">
        <v>48</v>
      </c>
      <c r="F175" s="178" t="s">
        <v>16</v>
      </c>
      <c r="G175" s="179"/>
      <c r="H175" s="180"/>
      <c r="I175" s="180"/>
      <c r="J175" s="67"/>
      <c r="K175" s="179"/>
      <c r="L175" s="180"/>
      <c r="M175" s="181"/>
      <c r="N175" s="193"/>
      <c r="O175" s="193">
        <v>0.64200000000000002</v>
      </c>
      <c r="P175" s="193"/>
      <c r="Q175" s="193"/>
    </row>
    <row r="207" spans="8:8" x14ac:dyDescent="0.3">
      <c r="H207" s="112"/>
    </row>
    <row r="208" spans="8:8" x14ac:dyDescent="0.3">
      <c r="H208" s="194"/>
    </row>
    <row r="209" spans="8:8" x14ac:dyDescent="0.3">
      <c r="H209" s="194"/>
    </row>
    <row r="210" spans="8:8" x14ac:dyDescent="0.3">
      <c r="H210" s="194"/>
    </row>
    <row r="211" spans="8:8" x14ac:dyDescent="0.3">
      <c r="H211" s="194"/>
    </row>
    <row r="212" spans="8:8" x14ac:dyDescent="0.3">
      <c r="H212" s="194"/>
    </row>
    <row r="213" spans="8:8" x14ac:dyDescent="0.3">
      <c r="H213" s="194"/>
    </row>
    <row r="214" spans="8:8" x14ac:dyDescent="0.3">
      <c r="H214" s="194"/>
    </row>
    <row r="215" spans="8:8" x14ac:dyDescent="0.3">
      <c r="H215" s="194"/>
    </row>
    <row r="216" spans="8:8" x14ac:dyDescent="0.3">
      <c r="H216" s="194"/>
    </row>
    <row r="217" spans="8:8" x14ac:dyDescent="0.3">
      <c r="H217" s="194"/>
    </row>
    <row r="218" spans="8:8" x14ac:dyDescent="0.3">
      <c r="H218" s="194"/>
    </row>
  </sheetData>
  <dataValidations count="1">
    <dataValidation type="list" showInputMessage="1" showErrorMessage="1" sqref="S38 S24" xr:uid="{2ADBB142-17D3-4B4B-98D6-BF06DE746BA3}">
      <formula1>$H$208:$H$218</formula1>
    </dataValidation>
  </dataValidations>
  <pageMargins left="0.7" right="0.7" top="0.75" bottom="0.75" header="0.3" footer="0.3"/>
  <drawing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588F0-660F-4137-BE69-FF4C6023FC40}">
  <sheetPr codeName="Hoja11"/>
  <dimension ref="A1:BA871"/>
  <sheetViews>
    <sheetView showRowColHeaders="0" zoomScale="85" zoomScaleNormal="85" workbookViewId="0"/>
  </sheetViews>
  <sheetFormatPr baseColWidth="10" defaultColWidth="0" defaultRowHeight="14.4" zeroHeight="1" x14ac:dyDescent="0.3"/>
  <cols>
    <col min="1" max="1" width="24.88671875" customWidth="1"/>
    <col min="2" max="2" width="14.44140625" bestFit="1" customWidth="1"/>
    <col min="3" max="3" width="38.109375" bestFit="1" customWidth="1"/>
    <col min="4" max="4" width="19.109375" bestFit="1" customWidth="1"/>
    <col min="5" max="5" width="21.88671875" customWidth="1"/>
    <col min="6" max="6" width="13.5546875" customWidth="1"/>
    <col min="7" max="7" width="18.88671875" customWidth="1"/>
    <col min="8" max="8" width="71.44140625" bestFit="1" customWidth="1"/>
    <col min="9" max="9" width="14.109375" bestFit="1" customWidth="1"/>
    <col min="10" max="10" width="44.109375" customWidth="1"/>
    <col min="11" max="11" width="6.88671875" customWidth="1"/>
    <col min="12" max="12" width="22.44140625" bestFit="1" customWidth="1"/>
    <col min="13" max="13" width="12.6640625" bestFit="1" customWidth="1"/>
    <col min="14" max="14" width="12.88671875" bestFit="1" customWidth="1"/>
    <col min="15" max="15" width="14.5546875" bestFit="1" customWidth="1"/>
    <col min="16" max="16" width="23.5546875" bestFit="1" customWidth="1"/>
    <col min="17" max="17" width="23.5546875" customWidth="1"/>
    <col min="18" max="18" width="15.44140625" bestFit="1" customWidth="1"/>
    <col min="19" max="19" width="8.109375" hidden="1" customWidth="1"/>
    <col min="20" max="21" width="7.88671875" hidden="1" customWidth="1"/>
    <col min="22" max="23" width="9.109375" hidden="1" customWidth="1"/>
    <col min="24" max="25" width="8.109375" hidden="1" customWidth="1"/>
    <col min="26" max="26" width="19.88671875" hidden="1" customWidth="1"/>
    <col min="27" max="27" width="69.44140625" hidden="1" customWidth="1"/>
    <col min="28" max="28" width="9" hidden="1" customWidth="1"/>
    <col min="29" max="29" width="44.109375" hidden="1" customWidth="1"/>
    <col min="30" max="53" width="0" hidden="1" customWidth="1"/>
    <col min="54" max="16384" width="10.88671875" hidden="1"/>
  </cols>
  <sheetData>
    <row r="1" spans="1:32" s="48" customFormat="1" ht="15.6" x14ac:dyDescent="0.3">
      <c r="Z1" s="501"/>
      <c r="AA1" s="502"/>
      <c r="AB1" s="502"/>
      <c r="AC1" s="501"/>
    </row>
    <row r="2" spans="1:32" s="48" customFormat="1" x14ac:dyDescent="0.3">
      <c r="Z2" s="334"/>
      <c r="AA2" s="334"/>
      <c r="AB2" s="334"/>
      <c r="AC2" s="334"/>
    </row>
    <row r="3" spans="1:32" s="48" customFormat="1" x14ac:dyDescent="0.3">
      <c r="Z3" s="334"/>
      <c r="AA3" s="334"/>
      <c r="AB3" s="334"/>
      <c r="AC3" s="334"/>
    </row>
    <row r="4" spans="1:32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9"/>
      <c r="AA4" s="49"/>
      <c r="AB4" s="49"/>
      <c r="AC4" s="49"/>
      <c r="AD4" s="48"/>
      <c r="AE4" s="48"/>
      <c r="AF4" s="48"/>
    </row>
    <row r="5" spans="1:32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9"/>
      <c r="AA5" s="49"/>
      <c r="AB5" s="49"/>
      <c r="AC5" s="49"/>
      <c r="AD5" s="48"/>
      <c r="AE5" s="48"/>
      <c r="AF5" s="48"/>
    </row>
    <row r="6" spans="1:32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9"/>
      <c r="AA6" s="49"/>
      <c r="AB6" s="49"/>
      <c r="AC6" s="53"/>
      <c r="AD6" s="48"/>
      <c r="AE6" s="48"/>
      <c r="AF6" s="48"/>
    </row>
    <row r="7" spans="1:32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324"/>
      <c r="Q7" s="48"/>
      <c r="R7" s="48"/>
      <c r="S7" s="48"/>
      <c r="T7" s="48"/>
      <c r="U7" s="48"/>
      <c r="V7" s="48"/>
      <c r="W7" s="48"/>
      <c r="X7" s="48"/>
      <c r="Y7" s="48"/>
      <c r="Z7" s="49"/>
      <c r="AA7" s="49"/>
      <c r="AB7" s="49"/>
      <c r="AC7" s="53"/>
      <c r="AD7" s="48"/>
      <c r="AE7" s="48"/>
      <c r="AF7" s="48"/>
    </row>
    <row r="8" spans="1:32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324"/>
      <c r="Q8" s="48"/>
      <c r="R8" s="48"/>
      <c r="S8" s="48"/>
      <c r="T8" s="48"/>
      <c r="U8" s="48"/>
      <c r="V8" s="48"/>
      <c r="W8" s="48"/>
      <c r="X8" s="48"/>
      <c r="Y8" s="48"/>
      <c r="Z8" s="49"/>
      <c r="AA8" s="49"/>
      <c r="AB8" s="150"/>
      <c r="AC8" s="53"/>
      <c r="AD8" s="48"/>
      <c r="AE8" s="48"/>
      <c r="AF8" s="48"/>
    </row>
    <row r="9" spans="1:32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9"/>
      <c r="AA9" s="49"/>
      <c r="AB9" s="49"/>
      <c r="AC9" s="53"/>
      <c r="AD9" s="48"/>
      <c r="AE9" s="48"/>
      <c r="AF9" s="48"/>
    </row>
    <row r="10" spans="1:32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9"/>
      <c r="AA10" s="49"/>
      <c r="AB10" s="380"/>
      <c r="AC10" s="49"/>
      <c r="AD10" s="48"/>
      <c r="AE10" s="48"/>
      <c r="AF10" s="48"/>
    </row>
    <row r="11" spans="1:32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72"/>
      <c r="AA11" s="49"/>
      <c r="AB11" s="49"/>
      <c r="AC11" s="49"/>
      <c r="AD11" s="48"/>
      <c r="AE11" s="48"/>
      <c r="AF11" s="48"/>
    </row>
    <row r="12" spans="1:32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9"/>
      <c r="AA12" s="49"/>
      <c r="AB12" s="49"/>
      <c r="AC12" s="53"/>
      <c r="AD12" s="48"/>
      <c r="AE12" s="48"/>
      <c r="AF12" s="48"/>
    </row>
    <row r="13" spans="1:32" x14ac:dyDescent="0.3">
      <c r="A13" s="48"/>
      <c r="B13" s="48"/>
      <c r="C13" s="48"/>
      <c r="D13" s="48"/>
      <c r="E13" s="48"/>
      <c r="F13" s="48"/>
      <c r="G13" s="48"/>
      <c r="H13" s="48"/>
      <c r="I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9"/>
      <c r="AA13" s="49"/>
      <c r="AB13" s="49"/>
      <c r="AC13" s="53"/>
      <c r="AD13" s="48"/>
      <c r="AE13" s="48"/>
      <c r="AF13" s="48"/>
    </row>
    <row r="14" spans="1:32" ht="16.2" x14ac:dyDescent="0.3">
      <c r="A14" s="48"/>
      <c r="B14" s="73"/>
      <c r="C14" s="241" t="s">
        <v>340</v>
      </c>
      <c r="D14" s="241" t="s">
        <v>351</v>
      </c>
      <c r="E14" s="3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9"/>
      <c r="AA14" s="49"/>
      <c r="AB14" s="49"/>
      <c r="AC14" s="53"/>
      <c r="AD14" s="48"/>
      <c r="AE14" s="48"/>
      <c r="AF14" s="48"/>
    </row>
    <row r="15" spans="1:32" x14ac:dyDescent="0.3">
      <c r="A15" s="48"/>
      <c r="C15" s="363">
        <f>'m1 Fac_oper'!$G$26</f>
        <v>21771</v>
      </c>
      <c r="D15" s="475">
        <f>'m1 Descrip_rodal'!C26</f>
        <v>21450.082899999998</v>
      </c>
      <c r="E15" s="48"/>
      <c r="F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9"/>
      <c r="AA15" s="49"/>
      <c r="AB15" s="49"/>
      <c r="AC15" s="53"/>
      <c r="AD15" s="48"/>
      <c r="AE15" s="48"/>
      <c r="AF15" s="48"/>
    </row>
    <row r="16" spans="1:32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9"/>
      <c r="AA16" s="49"/>
      <c r="AB16" s="49"/>
      <c r="AC16" s="49"/>
      <c r="AD16" s="48"/>
      <c r="AE16" s="48"/>
      <c r="AF16" s="48"/>
    </row>
    <row r="17" spans="1:32" x14ac:dyDescent="0.3">
      <c r="A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72"/>
      <c r="AA17" s="49"/>
      <c r="AB17" s="49"/>
      <c r="AC17" s="49"/>
      <c r="AD17" s="48"/>
      <c r="AE17" s="48"/>
      <c r="AF17" s="48"/>
    </row>
    <row r="18" spans="1:32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9"/>
      <c r="AA18" s="49"/>
      <c r="AB18" s="49"/>
      <c r="AC18" s="53"/>
      <c r="AD18" s="48"/>
      <c r="AE18" s="48"/>
      <c r="AF18" s="48"/>
    </row>
    <row r="19" spans="1:32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9"/>
      <c r="AA19" s="49"/>
      <c r="AB19" s="49"/>
      <c r="AC19" s="53"/>
      <c r="AD19" s="48"/>
      <c r="AE19" s="48"/>
      <c r="AF19" s="48"/>
    </row>
    <row r="20" spans="1:32" ht="16.8" thickBot="1" x14ac:dyDescent="0.35">
      <c r="A20" s="48"/>
      <c r="B20" s="60" t="s">
        <v>3</v>
      </c>
      <c r="C20" s="60" t="s">
        <v>4</v>
      </c>
      <c r="D20" s="60" t="s">
        <v>96</v>
      </c>
      <c r="E20" s="60" t="s">
        <v>356</v>
      </c>
      <c r="F20" s="133" t="s">
        <v>334</v>
      </c>
      <c r="G20" s="60" t="s">
        <v>390</v>
      </c>
      <c r="H20" s="60" t="s">
        <v>97</v>
      </c>
      <c r="I20" s="60" t="s">
        <v>98</v>
      </c>
      <c r="J20" s="60" t="s">
        <v>95</v>
      </c>
      <c r="K20" s="48"/>
      <c r="L20" s="124" t="s">
        <v>3</v>
      </c>
      <c r="M20" s="124" t="s">
        <v>107</v>
      </c>
      <c r="N20" s="124" t="s">
        <v>108</v>
      </c>
      <c r="O20" s="124" t="s">
        <v>109</v>
      </c>
      <c r="P20" s="124" t="s">
        <v>362</v>
      </c>
      <c r="Q20" s="124" t="s">
        <v>341</v>
      </c>
      <c r="R20" s="48"/>
      <c r="S20" s="48"/>
      <c r="T20" s="48"/>
      <c r="U20" s="48"/>
      <c r="V20" s="48"/>
      <c r="W20" s="48"/>
      <c r="X20" s="48"/>
      <c r="Y20" s="48"/>
      <c r="Z20" s="49"/>
      <c r="AA20" s="49"/>
      <c r="AB20" s="49"/>
      <c r="AC20" s="53"/>
      <c r="AD20" s="48"/>
      <c r="AE20" s="48"/>
      <c r="AF20" s="48"/>
    </row>
    <row r="21" spans="1:32" x14ac:dyDescent="0.3">
      <c r="A21" s="48"/>
      <c r="B21" s="139" t="s">
        <v>0</v>
      </c>
      <c r="C21" s="530" t="s">
        <v>370</v>
      </c>
      <c r="D21" s="326">
        <f>INDEX('m3 Volteo'!B26:G26,  ,
  MATCH('m4 Análisis de sistema'!$C21,  m3.Volteo_Maq.Disponible[#Headers],  0))</f>
        <v>73.441080000000014</v>
      </c>
      <c r="E21" s="327">
        <f>INDEX('m3 Volteo'!B32:G32, ,
 MATCH('m4 Análisis de sistema'!C21,
 m3.Volteo_Maq.Disponible[#Headers],0))</f>
        <v>0.8</v>
      </c>
      <c r="F21" s="526">
        <v>2</v>
      </c>
      <c r="G21" s="527">
        <v>1</v>
      </c>
      <c r="H21" s="588">
        <f>D21*E21</f>
        <v>58.752864000000017</v>
      </c>
      <c r="I21" s="588">
        <f>H21*G21</f>
        <v>58.752864000000017</v>
      </c>
      <c r="J21" s="589">
        <f>$I$26/m4_Configuración_del_Sistema[[#This Row],[m3/hrpl '[todos']]]</f>
        <v>0.78238051028134015</v>
      </c>
      <c r="K21" s="48"/>
      <c r="L21" s="49" t="str">
        <f>B21</f>
        <v>Volteo</v>
      </c>
      <c r="M21" s="313">
        <f>IF(C21&lt;&gt;"NULO",
(G21)*
INDEX('m3 Volteo'!C51:G51,,
MATCH(C21,m3.Volteo_Maq.Disponible[[#Headers],[Harvester1]:[NULO]],0)),
0)</f>
        <v>75042.450455555561</v>
      </c>
      <c r="N21" s="266">
        <f>IF(C21&lt;&gt;"NULO",
(G21*J21)*
INDEX('m3 Volteo'!C57:G57,  ,
MATCH(C21, m3.Volteo_Maq.Disponible[[#Headers],[Harvester1]:[NULO]],  0)),0)</f>
        <v>21365.948135483035</v>
      </c>
      <c r="O21" s="313">
        <f>IF(C21&lt;&gt;"NULO", (F21)*
INDEX('m3 Volteo'!C60:G60,  ,
MATCH(C21, m3.Volteo_Maq.Disponible[[#Headers],[Harvester1]:[NULO]],  0)), 0 )</f>
        <v>8000.0020000000004</v>
      </c>
      <c r="P21" s="313">
        <f>m4_Costos_ConfSistema1_Tipo_y_Subsistema[[#This Row],[CF, $]]+m4_Costos_ConfSistema1_Tipo_y_Subsistema[[#This Row],[CV, $]]+m4_Costos_ConfSistema1_Tipo_y_Subsistema[[#This Row],[CMO, $]]</f>
        <v>104408.4005910386</v>
      </c>
      <c r="Q21" s="313">
        <f>P21/$I$26</f>
        <v>2271.3725755977312</v>
      </c>
      <c r="R21" s="48"/>
      <c r="S21" s="48"/>
      <c r="T21" s="48"/>
      <c r="U21" s="48"/>
      <c r="V21" s="48"/>
      <c r="W21" s="48"/>
      <c r="X21" s="48"/>
      <c r="Y21" s="48"/>
      <c r="Z21" s="49"/>
      <c r="AA21" s="49"/>
      <c r="AB21" s="49"/>
      <c r="AC21" s="53"/>
      <c r="AD21" s="48"/>
      <c r="AE21" s="48"/>
      <c r="AF21" s="48"/>
    </row>
    <row r="22" spans="1:32" x14ac:dyDescent="0.3">
      <c r="A22" s="48"/>
      <c r="B22" s="140" t="s">
        <v>1</v>
      </c>
      <c r="C22" s="37" t="s">
        <v>166</v>
      </c>
      <c r="D22" s="56">
        <f>INDEX('m3 Madereo'!B26:G26,  ,
MATCH('m4 Análisis de sistema'!C22,
m3.Madereo_Maq.Disponible[#Headers], 0))</f>
        <v>40</v>
      </c>
      <c r="E22" s="63">
        <f>INDEX('m3 Madereo'!B32:G32, ,
MATCH('m4 Análisis de sistema'!$C22,
 m3.Madereo_Maq.Disponible[#Headers], 0 ))</f>
        <v>0.68</v>
      </c>
      <c r="F22" s="165">
        <v>4</v>
      </c>
      <c r="G22" s="156">
        <v>2</v>
      </c>
      <c r="H22" s="591">
        <f>D22*E22</f>
        <v>27.200000000000003</v>
      </c>
      <c r="I22" s="70">
        <f>H22*G22</f>
        <v>54.400000000000006</v>
      </c>
      <c r="J22" s="592">
        <f>$I$26/m4_Configuración_del_Sistema[[#This Row],[m3/hrpl '[todos']]]</f>
        <v>0.84498337714724614</v>
      </c>
      <c r="K22" s="48"/>
      <c r="L22" s="49" t="str">
        <f>B22</f>
        <v>Madereo</v>
      </c>
      <c r="M22" s="313">
        <f>IF(C22&lt;&gt;"NULO",
(G22)*
INDEX('m3 Madereo'!C51:G51,  ,
MATCH( C22, m3.Madereo_Maq.Disponible[[#Headers],[Skidder-Garra]:[NULO]],  0)), 0)</f>
        <v>36157.470630555552</v>
      </c>
      <c r="N22" s="313">
        <f>IF(C22&lt;&gt;"NULO",
G22*J22
*INDEX('m3 Madereo'!C57:G57,  ,
      MATCH('m4 Análisis de sistema'!C22,  m3.Madereo_Maq.Disponible[[#Headers],[Skidder-Garra]:[NULO]],  0)), 0)</f>
        <v>38441.209374120066</v>
      </c>
      <c r="O22" s="313">
        <f>IF(C22&lt;&gt;"NULO", (F22)*
INDEX('m3 Madereo'!C60:G60,  ,
MATCH(C22, m3.Madereo_Maq.Disponible[[#Headers],[Skidder-Garra]:[NULO]],  0)), 0)</f>
        <v>10666.670666666667</v>
      </c>
      <c r="P22" s="313">
        <f>m4_Costos_ConfSistema1_Tipo_y_Subsistema[[#This Row],[CF, $]]+m4_Costos_ConfSistema1_Tipo_y_Subsistema[[#This Row],[CV, $]]+m4_Costos_ConfSistema1_Tipo_y_Subsistema[[#This Row],[CMO, $]]</f>
        <v>85265.350671342283</v>
      </c>
      <c r="Q22" s="313">
        <f>P22/$I$26</f>
        <v>1854.9214245911276</v>
      </c>
      <c r="R22" s="48"/>
      <c r="S22" s="48"/>
      <c r="T22" s="48"/>
      <c r="U22" s="48"/>
      <c r="V22" s="48"/>
      <c r="W22" s="48"/>
      <c r="X22" s="48"/>
      <c r="Y22" s="48"/>
      <c r="Z22" s="49"/>
      <c r="AA22" s="49"/>
      <c r="AB22" s="49"/>
      <c r="AC22" s="53"/>
      <c r="AD22" s="48"/>
      <c r="AE22" s="48"/>
      <c r="AF22" s="48"/>
    </row>
    <row r="23" spans="1:32" x14ac:dyDescent="0.3">
      <c r="A23" s="48"/>
      <c r="B23" s="140" t="s">
        <v>16</v>
      </c>
      <c r="C23" s="37" t="s">
        <v>405</v>
      </c>
      <c r="D23" s="56">
        <f>INDEX('m3 Procesado'!B25:E25,  ,
MATCH( m4_Configuración_del_Sistema[[#This Row],[Máquina]],m3.Procesado_Maq.Disponible[#Headers], 0))</f>
        <v>40.535357774964901</v>
      </c>
      <c r="E23" s="63">
        <f>INDEX('m3 Procesado'!B31:E31,  ,
MATCH( m4_Configuración_del_Sistema[[#This Row],[Máquina]], m3.Procesado_Maq.Disponible[#Headers], 0))</f>
        <v>0.56699999999999995</v>
      </c>
      <c r="F23" s="165">
        <v>3</v>
      </c>
      <c r="G23" s="156">
        <v>2</v>
      </c>
      <c r="H23" s="70">
        <f>D23*E23</f>
        <v>22.983547858405096</v>
      </c>
      <c r="I23" s="70">
        <f>H23*G23</f>
        <v>45.967095716810192</v>
      </c>
      <c r="J23" s="592">
        <f>$I$26/m4_Configuración_del_Sistema[[#This Row],[m3/hrpl '[todos']]]</f>
        <v>1</v>
      </c>
      <c r="L23" s="49" t="str">
        <f>B23</f>
        <v>Procesado</v>
      </c>
      <c r="M23" s="313">
        <f>IF(C23&lt;&gt;"NULO",
(G23)*(
INDEX('m3 Procesado'!C50:E50,
MATCH( C23, m3.Procesado_Maq.Disponible[[#Headers],[Motosierra Stihl MS-661]:[NULO]],  0))), 0)</f>
        <v>404.18901027777775</v>
      </c>
      <c r="N23" s="313">
        <f>IF(C23&lt;&gt;"NULO", G23*J23
*INDEX('m3 Procesado'!C56:E56,  ,
      MATCH(C23,  m3.Procesado_Maq.Disponible[[#Headers],[Motosierra Stihl MS-661]:[NULO]],  0)), 0)</f>
        <v>1012.6852196888889</v>
      </c>
      <c r="O23" s="313">
        <f>IF(C23&lt;&gt;"NULO", (F23)*
INDEX('m3 Procesado'!C59:E59,  ,
MATCH(C23, m3.Procesado_Maq.Disponible[[#Headers],[Motosierra Stihl MS-661]:[NULO]],  0)), 0)</f>
        <v>10625</v>
      </c>
      <c r="P23" s="313">
        <f>m4_Costos_ConfSistema1_Tipo_y_Subsistema[[#This Row],[CF, $]]+m4_Costos_ConfSistema1_Tipo_y_Subsistema[[#This Row],[CV, $]]+m4_Costos_ConfSistema1_Tipo_y_Subsistema[[#This Row],[CMO, $]]</f>
        <v>12041.874229966666</v>
      </c>
      <c r="Q23" s="313">
        <f>P23/$I$26</f>
        <v>261.96726249909557</v>
      </c>
      <c r="R23" s="48"/>
      <c r="S23" s="48"/>
      <c r="T23" s="48"/>
      <c r="U23" s="48"/>
      <c r="V23" s="49"/>
      <c r="W23" s="48"/>
      <c r="X23" s="48"/>
      <c r="Y23" s="48"/>
      <c r="Z23" s="49"/>
      <c r="AA23" s="49"/>
      <c r="AB23" s="49"/>
      <c r="AC23" s="53"/>
      <c r="AD23" s="48"/>
      <c r="AE23" s="48"/>
      <c r="AF23" s="48"/>
    </row>
    <row r="24" spans="1:32" x14ac:dyDescent="0.3">
      <c r="A24" s="48"/>
      <c r="B24" s="140" t="s">
        <v>38</v>
      </c>
      <c r="C24" s="37" t="s">
        <v>338</v>
      </c>
      <c r="D24" s="56">
        <f>INDEX('m3 Carguío'!B28:E28,  ,
MATCH( m4_Configuración_del_Sistema[[#This Row],[Máquina]],m3.Carguío_Maq.Disponible[#Headers], 0))</f>
        <v>19.847676955429364</v>
      </c>
      <c r="E24" s="63">
        <f>INDEX('m3 Carguío'!B34:E34,  ,
MATCH( m4_Configuración_del_Sistema[[#This Row],[Máquina]],m3.Carguío_Maq.Disponible[#Headers], 0))</f>
        <v>0.65</v>
      </c>
      <c r="F24" s="165">
        <v>4</v>
      </c>
      <c r="G24" s="156">
        <v>4</v>
      </c>
      <c r="H24" s="70">
        <f>D24*E24</f>
        <v>12.900990021029086</v>
      </c>
      <c r="I24" s="70">
        <f>H24*G24</f>
        <v>51.603960084116345</v>
      </c>
      <c r="J24" s="592">
        <f>$I$26/m4_Configuración_del_Sistema[[#This Row],[m3/hrpl '[todos']]]</f>
        <v>0.89076682568318677</v>
      </c>
      <c r="K24" s="48"/>
      <c r="L24" s="49" t="str">
        <f>B24</f>
        <v>Carguío</v>
      </c>
      <c r="M24" s="313">
        <f>IF(C24&lt;&gt;"NULO",
(G24)*
INDEX('m3 Carguío'!C53:E53,  ,
MATCH( C24,
 m3.Carguío_Maq.Disponible[[#Headers],[Hidráulico 1]:[NULO]],  0)), 0)</f>
        <v>50773.333333333336</v>
      </c>
      <c r="N24" s="313">
        <f>IF(C24&lt;&gt;"NULO", G24*J24
*INDEX('m3 Carguío'!C59:E59,  ,
      MATCH('m4 Análisis de sistema'!C24,  m3.Carguío_Maq.Disponible[[#Headers],[Hidráulico 1]:[NULO]],  0)), 0)</f>
        <v>52456.664223010142</v>
      </c>
      <c r="O24" s="313">
        <f xml:space="preserve"> IF(C24&lt;&gt;"NULO", (F24)*
INDEX( 'm3 Carguío'!C62:E62,  ,
MATCH(C24, m3.Carguío_Maq.Disponible[[#Headers],[Hidráulico 1]:[NULO]],  0)), 0)</f>
        <v>10666.670666666667</v>
      </c>
      <c r="P24" s="313">
        <f>m4_Costos_ConfSistema1_Tipo_y_Subsistema[[#This Row],[CF, $]]+m4_Costos_ConfSistema1_Tipo_y_Subsistema[[#This Row],[CV, $]]+m4_Costos_ConfSistema1_Tipo_y_Subsistema[[#This Row],[CMO, $]]</f>
        <v>113896.66822301014</v>
      </c>
      <c r="Q24" s="313">
        <f>P24/$I$26</f>
        <v>2477.786913593457</v>
      </c>
      <c r="R24" s="48"/>
      <c r="S24" s="48"/>
      <c r="T24" s="48"/>
      <c r="U24" s="48"/>
      <c r="V24" s="54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1:32" ht="15" thickBot="1" x14ac:dyDescent="0.35">
      <c r="A25" s="48"/>
      <c r="B25" s="328" t="s">
        <v>39</v>
      </c>
      <c r="C25" s="532" t="s">
        <v>378</v>
      </c>
      <c r="D25" s="329">
        <f>INDEX('m3 Transporte'!C31:D31,  ,
MATCH( m4_Configuración_del_Sistema[[#This Row],[Máquina]],m3.Transporte_Maq.Disponible[[#Headers],[Camión Mercedez Benz]:[NULO]], 0))</f>
        <v>21.999051220387727</v>
      </c>
      <c r="E25" s="330">
        <f>INDEX('m3 Transporte'!C37:D37,  ,
MATCH( m4_Configuración_del_Sistema[[#This Row],[Máquina]],m3.Transporte_Maq.Disponible[[#Headers],[Camión Mercedez Benz]:[NULO]], 0))</f>
        <v>0.8</v>
      </c>
      <c r="F25" s="528">
        <v>0</v>
      </c>
      <c r="G25" s="529">
        <v>3</v>
      </c>
      <c r="H25" s="590">
        <f>E25*D25</f>
        <v>17.599240976310181</v>
      </c>
      <c r="I25" s="593">
        <f>H25*G25</f>
        <v>52.79772292893054</v>
      </c>
      <c r="J25" s="594">
        <f>$I$26/m4_Configuración_del_Sistema[[#This Row],[m3/hrpl '[todos']]]</f>
        <v>0.87062648096936202</v>
      </c>
      <c r="K25" s="48"/>
      <c r="L25" s="49" t="str">
        <f>B25</f>
        <v>Transporte</v>
      </c>
      <c r="M25" s="313">
        <f>IF(C25&gt;"NULO",
(G25)* INDEX('m3 Transporte'!C56:D56,  ,
MATCH( C25,  m3.Transporte_Maq.Disponible[[#Headers],[Camión Mercedez Benz]:[NULO]],  0)), 0)</f>
        <v>0</v>
      </c>
      <c r="N25" s="313">
        <f>IF(C25&lt;&gt;"NULO", G25*J25
*INDEX('m3 Transporte'!C62:D62,  ,
      MATCH('m4 Análisis de sistema'!C25,
 m3.Transporte_Maq.Disponible[[#Headers],[Camión Mercedez Benz]:[NULO]], 0)), 0)</f>
        <v>66979.76971966897</v>
      </c>
      <c r="O25" s="313">
        <f>IF(C25&lt;&gt;"NULO",(F25)*
INDEX( 'm3 Transporte'!C65:D65,  ,
MATCH(C25, m3.Transporte_Maq.Disponible[[#Headers],[Camión Mercedez Benz]:[NULO]],  0)), 0 )</f>
        <v>0</v>
      </c>
      <c r="P25" s="313">
        <f>m4_Costos_ConfSistema1_Tipo_y_Subsistema[[#This Row],[CF, $]]+m4_Costos_ConfSistema1_Tipo_y_Subsistema[[#This Row],[CV, $]]+m4_Costos_ConfSistema1_Tipo_y_Subsistema[[#This Row],[CMO, $]]</f>
        <v>66979.76971966897</v>
      </c>
      <c r="Q25" s="314">
        <f>IF(C25='m3 Transporte'!$H$29,0,P25/MIN(I25,I26*('m1 Fac_oper'!C23/'m1 Fac_oper'!C31)))</f>
        <v>1457.1242467070729</v>
      </c>
      <c r="R25" s="48"/>
      <c r="S25" s="48"/>
      <c r="T25" s="48"/>
      <c r="U25" s="48"/>
      <c r="V25" s="54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1:32" x14ac:dyDescent="0.3">
      <c r="A26" s="48"/>
      <c r="B26" s="48"/>
      <c r="C26" s="48"/>
      <c r="D26" s="48"/>
      <c r="E26" s="48"/>
      <c r="F26" s="74"/>
      <c r="G26" s="48"/>
      <c r="H26" s="119" t="s">
        <v>92</v>
      </c>
      <c r="I26" s="120">
        <f>_xlfn.MINIFS(m4_Configuración_del_Sistema[m3/hrpl '[todos']],m4_Configuración_del_Sistema[m3/hrpl '[todos']],"&gt;0")</f>
        <v>45.967095716810192</v>
      </c>
      <c r="J26" s="325"/>
      <c r="K26" s="48"/>
      <c r="L26" s="49"/>
      <c r="M26" s="313">
        <f>SUBTOTAL(109,m4_Costos_ConfSistema1_Tipo_y_Subsistema[CF, $])</f>
        <v>162377.44342972222</v>
      </c>
      <c r="N26" s="313">
        <f>SUBTOTAL(109,m4_Costos_ConfSistema1_Tipo_y_Subsistema[CV, $])</f>
        <v>180256.27667197108</v>
      </c>
      <c r="O26" s="313">
        <f>SUBTOTAL(109,m4_Costos_ConfSistema1_Tipo_y_Subsistema[CMO, $])</f>
        <v>39958.343333333331</v>
      </c>
      <c r="P26" s="313">
        <f>SUBTOTAL(109,m4_Costos_ConfSistema1_Tipo_y_Subsistema[CT, $/hrpl])</f>
        <v>382592.06343502662</v>
      </c>
      <c r="Q26" s="313">
        <f>SUBTOTAL(109,m4_Costos_ConfSistema1_Tipo_y_Subsistema[Costo Total, $/m3])</f>
        <v>8323.172422988484</v>
      </c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1:32" x14ac:dyDescent="0.3">
      <c r="A27" s="48"/>
      <c r="B27" s="48"/>
      <c r="C27" s="48"/>
      <c r="D27" s="48"/>
      <c r="E27" s="48"/>
      <c r="F27" s="48"/>
      <c r="G27" s="48"/>
      <c r="H27" s="121" t="s">
        <v>93</v>
      </c>
      <c r="I27" s="122">
        <f>I26*'m1 Fac_oper'!C23</f>
        <v>459.67095716810195</v>
      </c>
      <c r="J27" s="53"/>
      <c r="K27" s="48"/>
      <c r="L27" s="335"/>
      <c r="M27" s="313"/>
      <c r="N27" s="313"/>
      <c r="O27" s="313"/>
      <c r="P27" s="313"/>
      <c r="Q27" s="313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1:32" ht="15" thickBot="1" x14ac:dyDescent="0.35">
      <c r="A28" s="48"/>
      <c r="B28" s="48"/>
      <c r="C28" s="48"/>
      <c r="D28" s="48"/>
      <c r="E28" s="48"/>
      <c r="F28" s="48"/>
      <c r="G28" s="48"/>
      <c r="H28" s="123" t="s">
        <v>94</v>
      </c>
      <c r="I28" s="519">
        <f>I25*'m1 Fac_oper'!C31</f>
        <v>527.97722928930534</v>
      </c>
      <c r="J28" s="53"/>
      <c r="K28" s="48"/>
      <c r="L28" s="335"/>
      <c r="M28" s="73"/>
      <c r="N28" s="313"/>
      <c r="O28" s="313"/>
      <c r="P28" s="313"/>
      <c r="Q28" s="313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1:32" x14ac:dyDescent="0.3">
      <c r="A29" s="48"/>
      <c r="B29" s="48"/>
      <c r="C29" s="48"/>
      <c r="D29" s="48"/>
      <c r="E29" s="48"/>
      <c r="F29" s="48"/>
      <c r="G29" s="48"/>
      <c r="H29" s="119" t="s">
        <v>352</v>
      </c>
      <c r="I29" s="359">
        <f>m4.Parámetros[Vol. Total cosecha, m3]/I26</f>
        <v>466.63994245248108</v>
      </c>
      <c r="J29" s="48"/>
      <c r="K29" s="48"/>
      <c r="L29" s="73"/>
      <c r="M29" s="313"/>
      <c r="N29" s="313"/>
      <c r="O29" s="313"/>
      <c r="P29" s="313"/>
      <c r="Q29" s="313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1:32" ht="15" thickBot="1" x14ac:dyDescent="0.35">
      <c r="A30" s="48"/>
      <c r="B30" s="48"/>
      <c r="C30" s="48"/>
      <c r="D30" s="48"/>
      <c r="E30" s="48"/>
      <c r="F30" s="48"/>
      <c r="G30" s="48"/>
      <c r="H30" s="123" t="s">
        <v>353</v>
      </c>
      <c r="I30" s="520">
        <f>m4.Parámetros[Vol. Total cosecha, m3]/I27</f>
        <v>46.663994245248105</v>
      </c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1:32" x14ac:dyDescent="0.3">
      <c r="A31" s="48"/>
      <c r="B31" s="48"/>
      <c r="C31" s="48"/>
      <c r="D31" s="48"/>
      <c r="E31" s="48"/>
      <c r="F31" s="48"/>
      <c r="G31" s="48"/>
      <c r="H31" s="48"/>
      <c r="I31" s="521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9"/>
      <c r="W31" s="49"/>
      <c r="X31" s="49"/>
      <c r="Y31" s="49"/>
      <c r="Z31" s="48"/>
      <c r="AA31" s="48"/>
      <c r="AB31" s="48"/>
      <c r="AC31" s="48"/>
      <c r="AD31" s="48"/>
      <c r="AE31" s="48"/>
      <c r="AF31" s="48"/>
    </row>
    <row r="32" spans="1:32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54"/>
      <c r="W32" s="54"/>
      <c r="X32" s="49"/>
      <c r="Y32" s="49"/>
      <c r="Z32" s="48"/>
      <c r="AA32" s="48"/>
      <c r="AB32" s="48"/>
      <c r="AC32" s="48"/>
      <c r="AD32" s="48"/>
      <c r="AE32" s="48"/>
      <c r="AF32" s="48"/>
    </row>
    <row r="33" spans="1:32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54"/>
      <c r="W33" s="54"/>
      <c r="X33" s="49"/>
      <c r="Y33" s="49"/>
      <c r="Z33" s="48"/>
      <c r="AA33" s="48"/>
      <c r="AB33" s="48"/>
      <c r="AC33" s="48"/>
      <c r="AD33" s="48"/>
      <c r="AE33" s="48"/>
      <c r="AF33" s="48"/>
    </row>
    <row r="34" spans="1:32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323" t="s">
        <v>3</v>
      </c>
      <c r="M34" s="323" t="s">
        <v>107</v>
      </c>
      <c r="N34" s="323" t="s">
        <v>108</v>
      </c>
      <c r="O34" s="323" t="s">
        <v>109</v>
      </c>
      <c r="P34" s="323" t="s">
        <v>362</v>
      </c>
      <c r="Q34" s="323" t="s">
        <v>355</v>
      </c>
      <c r="R34" s="48"/>
      <c r="S34" s="48"/>
      <c r="T34" s="48"/>
      <c r="U34" s="48"/>
      <c r="V34" s="54"/>
      <c r="W34" s="54"/>
      <c r="X34" s="49"/>
      <c r="Y34" s="49"/>
      <c r="Z34" s="48"/>
      <c r="AA34" s="48"/>
      <c r="AB34" s="48"/>
      <c r="AC34" s="48"/>
      <c r="AD34" s="48"/>
      <c r="AE34" s="48"/>
      <c r="AF34" s="48"/>
    </row>
    <row r="35" spans="1:32" ht="15" thickBot="1" x14ac:dyDescent="0.35">
      <c r="A35" s="48"/>
      <c r="B35" s="364" t="s">
        <v>3</v>
      </c>
      <c r="C35" s="364" t="s">
        <v>4</v>
      </c>
      <c r="D35" s="364" t="s">
        <v>83</v>
      </c>
      <c r="E35" s="364" t="s">
        <v>356</v>
      </c>
      <c r="F35" s="364" t="s">
        <v>334</v>
      </c>
      <c r="G35" s="364" t="s">
        <v>390</v>
      </c>
      <c r="H35" s="364" t="s">
        <v>357</v>
      </c>
      <c r="I35" s="364" t="s">
        <v>358</v>
      </c>
      <c r="J35" s="364" t="s">
        <v>95</v>
      </c>
      <c r="K35" s="48"/>
      <c r="L35" s="48" t="s">
        <v>0</v>
      </c>
      <c r="M35" s="362">
        <f>IF(C36&lt;&gt;"NULO",
(G36)*
INDEX('m3 Volteo'!C51:G51,,
MATCH(C36,m3.Volteo_Maq.Disponible[[#Headers],[Harvester1]:[NULO]],0)),
0)</f>
        <v>75042.450455555561</v>
      </c>
      <c r="N35" s="362">
        <f>IF(C36&lt;&gt;"NULO",
(G36*J36)*
INDEX('m3 Volteo'!C57:G57,  ,
MATCH(C36, m3.Volteo_Maq.Disponible[[#Headers],[Harvester1]:[NULO]],  0)),0)</f>
        <v>23731.319784171043</v>
      </c>
      <c r="O35" s="362">
        <f>IF(C36&lt;&gt;"NULO", (F36)*
INDEX('m3 Volteo'!C60:G60,  ,
MATCH(C36, m3.Volteo_Maq.Disponible[[#Headers],[Harvester1]:[NULO]],  0)), 0 )</f>
        <v>8000.0020000000004</v>
      </c>
      <c r="P35" s="362">
        <f>SUM(m4_Costos_ConfSistema2_Tipo_y_Subsistema[[#This Row],[CF, $]:[CMO, $]])</f>
        <v>106773.77223972662</v>
      </c>
      <c r="Q35" s="362">
        <f>P35/$I$41</f>
        <v>2091.3070401074629</v>
      </c>
      <c r="R35" s="48"/>
      <c r="S35" s="48"/>
      <c r="T35" s="48"/>
      <c r="U35" s="48"/>
      <c r="V35" s="54"/>
      <c r="W35" s="54"/>
      <c r="X35" s="49"/>
      <c r="Y35" s="49"/>
      <c r="Z35" s="48"/>
      <c r="AA35" s="48"/>
      <c r="AB35" s="48"/>
      <c r="AC35" s="48"/>
      <c r="AD35" s="48"/>
      <c r="AE35" s="48"/>
      <c r="AF35" s="48"/>
    </row>
    <row r="36" spans="1:32" ht="15" thickBot="1" x14ac:dyDescent="0.35">
      <c r="A36" s="48"/>
      <c r="B36" s="139" t="s">
        <v>0</v>
      </c>
      <c r="C36" s="530" t="s">
        <v>370</v>
      </c>
      <c r="D36" s="326">
        <f>INDEX('m3 Volteo'!B26:G26,  ,
  MATCH('m4 Análisis de sistema'!$C36,  m3.Volteo_Maq.Disponible[#Headers],  0))</f>
        <v>73.441080000000014</v>
      </c>
      <c r="E36" s="358">
        <f>INDEX('m3 Volteo'!B32:G32, ,
 MATCH('m4 Análisis de sistema'!C36,
 m3.Volteo_Maq.Disponible[#Headers],0))</f>
        <v>0.8</v>
      </c>
      <c r="F36" s="530">
        <v>2</v>
      </c>
      <c r="G36" s="530">
        <v>1</v>
      </c>
      <c r="H36" s="588">
        <f>D36*E36</f>
        <v>58.752864000000017</v>
      </c>
      <c r="I36" s="588">
        <f>H36*G36</f>
        <v>58.752864000000017</v>
      </c>
      <c r="J36" s="589">
        <f>$I$41/m4_Configuración_del_Sistema_2[[#This Row],[m3/hrpl '[todos']]]</f>
        <v>0.86899593524496066</v>
      </c>
      <c r="K36" s="48"/>
      <c r="L36" s="48" t="s">
        <v>1</v>
      </c>
      <c r="M36" s="362">
        <f>IF(C37&lt;&gt;"NULO",
(G22)*
INDEX('m3 Madereo'!C51:G51,  ,
MATCH( C37, m3.Madereo_Maq.Disponible[[#Headers],[Skidder-Garra]:[NULO]],  0)), 0)</f>
        <v>53343.128222222222</v>
      </c>
      <c r="N36" s="362">
        <f>IF(C37&lt;&gt;"NULO",
G37*J37
*INDEX('m3 Madereo'!C57:G57,  ,
      MATCH('m4 Análisis de sistema'!C37,  m3.Madereo_Maq.Disponible[[#Headers],[Skidder-Garra]:[NULO]],  0)), 0)</f>
        <v>14874.095768964387</v>
      </c>
      <c r="O36" s="362">
        <f>IF(C37&lt;&gt;"NULO", (F37)*
INDEX('m3 Madereo'!C60:G60,  ,
MATCH(C37, m3.Madereo_Maq.Disponible[[#Headers],[Skidder-Garra]:[NULO]],  0)), 0)</f>
        <v>10666.670666666667</v>
      </c>
      <c r="P36" s="362">
        <f>SUM(m4_Costos_ConfSistema2_Tipo_y_Subsistema[[#This Row],[CF, $]:[CMO, $]])</f>
        <v>78883.894657853278</v>
      </c>
      <c r="Q36" s="362">
        <f>P36/$I$41</f>
        <v>1545.0465108479568</v>
      </c>
      <c r="R36" s="48"/>
      <c r="S36" s="48"/>
      <c r="T36" s="48"/>
      <c r="U36" s="48"/>
      <c r="V36" s="54"/>
      <c r="W36" s="54"/>
      <c r="X36" s="49"/>
      <c r="Y36" s="49"/>
      <c r="Z36" s="48"/>
      <c r="AA36" s="48"/>
      <c r="AB36" s="48"/>
      <c r="AC36" s="48"/>
      <c r="AD36" s="48"/>
      <c r="AE36" s="48"/>
      <c r="AF36" s="48"/>
    </row>
    <row r="37" spans="1:32" ht="15" thickBot="1" x14ac:dyDescent="0.35">
      <c r="A37" s="48"/>
      <c r="B37" s="331" t="s">
        <v>1</v>
      </c>
      <c r="C37" s="37" t="s">
        <v>20</v>
      </c>
      <c r="D37" s="56">
        <f>INDEX('m3 Madereo'!B26:G26,  ,
MATCH('m4 Análisis de sistema'!C37,
m3.Madereo_Maq.Disponible[#Headers], 0))</f>
        <v>63.819999999999993</v>
      </c>
      <c r="E37" s="55">
        <f>INDEX('m3 Madereo'!B32:G32, ,
MATCH('m4 Análisis de sistema'!$C37,
 m3.Madereo_Maq.Disponible[#Headers], 0 ))</f>
        <v>0.8</v>
      </c>
      <c r="F37" s="37">
        <v>4</v>
      </c>
      <c r="G37" s="37">
        <v>1</v>
      </c>
      <c r="H37" s="70">
        <f>D37*E37</f>
        <v>51.055999999999997</v>
      </c>
      <c r="I37" s="70">
        <f>H37*G37</f>
        <v>51.055999999999997</v>
      </c>
      <c r="J37" s="589">
        <f>$I$41/m4_Configuración_del_Sistema_2[[#This Row],[m3/hrpl '[todos']]]</f>
        <v>1</v>
      </c>
      <c r="K37" s="48"/>
      <c r="L37" s="48" t="s">
        <v>16</v>
      </c>
      <c r="M37" s="362">
        <f>IF(C38&lt;&gt;"NULO",
(G38)*(
INDEX('m3 Procesado'!C50:E50,
MATCH( C38, m3.Procesado_Maq.Disponible[[#Headers],[Motosierra Stihl MS-661]:[NULO]],  0))), 0)</f>
        <v>43003.133333333331</v>
      </c>
      <c r="N37" s="362">
        <f>IF(C38&lt;&gt;"NULO", G38*J38
*INDEX('m3 Procesado'!C56:E56,  ,
      MATCH(C38,  m3.Procesado_Maq.Disponible[[#Headers],[Motosierra Stihl MS-661]:[NULO]],  0)), 0)</f>
        <v>31782.082137653339</v>
      </c>
      <c r="O37" s="362">
        <f>IF(C38&lt;&gt;"NULO", (F38)*
INDEX('m3 Procesado'!C59:E59,  ,
MATCH(C38, m3.Procesado_Maq.Disponible[[#Headers],[Motosierra Stihl MS-661]:[NULO]],  0)), 0)</f>
        <v>18461.699999999997</v>
      </c>
      <c r="P37" s="362">
        <f>SUM(m4_Costos_ConfSistema2_Tipo_y_Subsistema[[#This Row],[CF, $]:[CMO, $]])</f>
        <v>93246.915470986671</v>
      </c>
      <c r="Q37" s="362">
        <f>P37/$I$41</f>
        <v>1826.3654706789932</v>
      </c>
      <c r="R37" s="48"/>
      <c r="S37" s="48"/>
      <c r="T37" s="48"/>
      <c r="U37" s="48"/>
      <c r="V37" s="49"/>
      <c r="W37" s="49"/>
      <c r="X37" s="49"/>
      <c r="Y37" s="49"/>
      <c r="Z37" s="48"/>
      <c r="AA37" s="48"/>
      <c r="AB37" s="48"/>
      <c r="AC37" s="48"/>
      <c r="AD37" s="48"/>
      <c r="AE37" s="48"/>
      <c r="AF37" s="48"/>
    </row>
    <row r="38" spans="1:32" ht="15" thickBot="1" x14ac:dyDescent="0.35">
      <c r="A38" s="48"/>
      <c r="B38" s="331" t="s">
        <v>16</v>
      </c>
      <c r="C38" s="37" t="s">
        <v>384</v>
      </c>
      <c r="D38" s="56">
        <f>INDEX('m3 Procesado'!B25:E25,  ,
MATCH( m4_Configuración_del_Sistema_2[[#This Row],[Máquina]],m3.Procesado_Maq.Disponible[#Headers], 0))</f>
        <v>48.1</v>
      </c>
      <c r="E38" s="55">
        <f>INDEX('m3 Procesado'!B31:E31,  ,
MATCH( m4_Configuración_del_Sistema_2[[#This Row],[Máquina]], m3.Procesado_Maq.Disponible[#Headers], 0))</f>
        <v>0.77</v>
      </c>
      <c r="F38" s="37">
        <v>3</v>
      </c>
      <c r="G38" s="37">
        <v>2</v>
      </c>
      <c r="H38" s="70">
        <f>D38*E38</f>
        <v>37.036999999999999</v>
      </c>
      <c r="I38" s="70">
        <f>H38*G38</f>
        <v>74.073999999999998</v>
      </c>
      <c r="J38" s="589">
        <f>$I$41/m4_Configuración_del_Sistema_2[[#This Row],[m3/hrpl '[todos']]]</f>
        <v>0.68925668925668926</v>
      </c>
      <c r="K38" s="48"/>
      <c r="L38" s="48" t="s">
        <v>38</v>
      </c>
      <c r="M38" s="362">
        <f>IF(C39&lt;&gt;"NULO",
(G39)*
INDEX('m3 Carguío'!C53:E53,  ,
MATCH( C39,
 m3.Carguío_Maq.Disponible[[#Headers],[Hidráulico 1]:[NULO]],  0)), 0)</f>
        <v>55407.260159999991</v>
      </c>
      <c r="N38" s="362">
        <f>IF(C39&lt;&gt;"NULO", G39*J39
*INDEX('m3 Carguío'!C59:E59,  ,
      MATCH('m4 Análisis de sistema'!C39,  m3.Carguío_Maq.Disponible[[#Headers],[Hidráulico 1]:[NULO]],  0)), 0)</f>
        <v>54058.533396974344</v>
      </c>
      <c r="O38" s="362">
        <f xml:space="preserve"> IF(C39&lt;&gt;"NULO", (F39)*
INDEX( 'm3 Carguío'!C62:E62,  ,
MATCH(C39, m3.Carguío_Maq.Disponible[[#Headers],[Hidráulico 1]:[NULO]],  0)), 0)</f>
        <v>10666.670666666667</v>
      </c>
      <c r="P38" s="362">
        <f>SUM(m4_Costos_ConfSistema2_Tipo_y_Subsistema[[#This Row],[CF, $]:[CMO, $]])</f>
        <v>120132.464223641</v>
      </c>
      <c r="Q38" s="362">
        <f>P38/$I$41</f>
        <v>2352.954877460847</v>
      </c>
      <c r="R38" s="271"/>
      <c r="S38" s="272"/>
      <c r="T38" s="48"/>
      <c r="U38" s="48"/>
      <c r="V38" s="54"/>
      <c r="W38" s="54"/>
      <c r="X38" s="54"/>
      <c r="Y38" s="49"/>
      <c r="Z38" s="48"/>
      <c r="AA38" s="48"/>
      <c r="AB38" s="48"/>
      <c r="AC38" s="48"/>
      <c r="AD38" s="48"/>
      <c r="AE38" s="48"/>
      <c r="AF38" s="48"/>
    </row>
    <row r="39" spans="1:32" ht="15" thickBot="1" x14ac:dyDescent="0.35">
      <c r="A39" s="48"/>
      <c r="B39" s="331" t="s">
        <v>38</v>
      </c>
      <c r="C39" s="37" t="s">
        <v>337</v>
      </c>
      <c r="D39" s="56">
        <f>INDEX('m3 Carguío'!B28:E28,  ,
MATCH( m4_Configuración_del_Sistema_2[[#This Row],[Máquina]],m3.Carguío_Maq.Disponible[#Headers], 0))</f>
        <v>22.293486674776069</v>
      </c>
      <c r="E39" s="55">
        <f>INDEX('m3 Carguío'!B34:E34,  ,
MATCH( m4_Configuración_del_Sistema_2[[#This Row],[Máquina]],m3.Carguío_Maq.Disponible[#Headers], 0))</f>
        <v>0.65</v>
      </c>
      <c r="F39" s="37">
        <v>4</v>
      </c>
      <c r="G39" s="37">
        <v>4</v>
      </c>
      <c r="H39" s="70">
        <f>D39*E39</f>
        <v>14.490766338604445</v>
      </c>
      <c r="I39" s="70">
        <f>H39*G39</f>
        <v>57.963065354417779</v>
      </c>
      <c r="J39" s="589">
        <f>$I$41/m4_Configuración_del_Sistema_2[[#This Row],[m3/hrpl '[todos']]]</f>
        <v>0.88083678266178267</v>
      </c>
      <c r="K39" s="48"/>
      <c r="L39" s="48" t="s">
        <v>39</v>
      </c>
      <c r="M39" s="362">
        <f>IF(C40&gt;"NULO",
(G40)* INDEX('m3 Transporte'!C56:D56,  ,
MATCH( C40,  m3.Transporte_Maq.Disponible[[#Headers],[Camión Mercedez Benz]:[NULO]],  0)), 0)</f>
        <v>0</v>
      </c>
      <c r="N39" s="362">
        <f>IF(C40&lt;&gt;"NULO", G40*J40
*INDEX('m3 Transporte'!C62:D62,  ,
      MATCH('m4 Análisis de sistema'!C40,
 m3.Transporte_Maq.Disponible[[#Headers],[Camión Mercedez Benz]:[NULO]], 0)), 0)</f>
        <v>74394.935539876315</v>
      </c>
      <c r="O39" s="362">
        <f>IF(C40&lt;&gt;"NULO",(F40)*
INDEX( 'm3 Transporte'!C65:D65,  ,
MATCH(C40, m3.Transporte_Maq.Disponible[[#Headers],[Camión Mercedez Benz]:[NULO]],  0)), 0 )</f>
        <v>0</v>
      </c>
      <c r="P39" s="362">
        <f>SUM(m4_Costos_ConfSistema2_Tipo_y_Subsistema[[#This Row],[CF, $]:[CMO, $]])</f>
        <v>74394.935539876315</v>
      </c>
      <c r="Q39" s="362">
        <f>P39/$I$41</f>
        <v>1457.1242467070731</v>
      </c>
      <c r="R39" s="48"/>
      <c r="S39" s="48"/>
      <c r="T39" s="48"/>
      <c r="U39" s="48"/>
      <c r="V39" s="54"/>
      <c r="W39" s="54"/>
      <c r="X39" s="54"/>
      <c r="Y39" s="49"/>
      <c r="Z39" s="48"/>
      <c r="AA39" s="48"/>
      <c r="AB39" s="48"/>
      <c r="AC39" s="48"/>
      <c r="AD39" s="48"/>
      <c r="AE39" s="48"/>
      <c r="AF39" s="48"/>
    </row>
    <row r="40" spans="1:32" ht="15" thickBot="1" x14ac:dyDescent="0.35">
      <c r="A40" s="48"/>
      <c r="B40" s="332" t="s">
        <v>39</v>
      </c>
      <c r="C40" s="531" t="s">
        <v>378</v>
      </c>
      <c r="D40" s="474">
        <f>INDEX('m3 Transporte'!C31:D31,  ,
MATCH( m4_Configuración_del_Sistema_2[[#This Row],[Máquina]],m3.Transporte_Maq.Disponible[[#Headers],[Camión Mercedez Benz]:[NULO]], 0))</f>
        <v>21.999051220387727</v>
      </c>
      <c r="E40" s="474">
        <f>INDEX('m3 Transporte'!C37:D37,  ,
MATCH( m4_Configuración_del_Sistema_2[[#This Row],[Máquina]],m3.Transporte_Maq.Disponible[[#Headers],[Camión Mercedez Benz]:[NULO]], 0))</f>
        <v>0.8</v>
      </c>
      <c r="F40" s="531">
        <v>0</v>
      </c>
      <c r="G40" s="531">
        <v>3</v>
      </c>
      <c r="H40" s="590">
        <f>E40*D40</f>
        <v>17.599240976310181</v>
      </c>
      <c r="I40" s="590">
        <f>H40*G40</f>
        <v>52.79772292893054</v>
      </c>
      <c r="J40" s="589">
        <f>$I$41/m4_Configuración_del_Sistema_2[[#This Row],[m3/hrpl '[todos']]]</f>
        <v>0.96701140063795887</v>
      </c>
      <c r="K40" s="48"/>
      <c r="L40" s="48" t="s">
        <v>363</v>
      </c>
      <c r="M40" s="362">
        <f>SUBTOTAL(109,m4_Costos_ConfSistema2_Tipo_y_Subsistema[CF, $])</f>
        <v>226795.97217111109</v>
      </c>
      <c r="N40" s="362">
        <f>SUBTOTAL(109,m4_Costos_ConfSistema2_Tipo_y_Subsistema[CV, $])</f>
        <v>198840.96662763943</v>
      </c>
      <c r="O40" s="362">
        <f>SUBTOTAL(109,m4_Costos_ConfSistema2_Tipo_y_Subsistema[CMO, $])</f>
        <v>47795.043333333328</v>
      </c>
      <c r="P40" s="362">
        <f>SUBTOTAL(109,m4_Costos_ConfSistema2_Tipo_y_Subsistema[CT, $/hrpl])</f>
        <v>473431.98213208397</v>
      </c>
      <c r="Q40" s="362">
        <f>SUBTOTAL(109,m4_Costos_ConfSistema2_Tipo_y_Subsistema[Costo Total, $/m3])</f>
        <v>9272.7981458023332</v>
      </c>
      <c r="R40" s="48"/>
      <c r="S40" s="48"/>
      <c r="T40" s="48"/>
      <c r="U40" s="48"/>
      <c r="V40" s="54"/>
      <c r="W40" s="54"/>
      <c r="X40" s="54"/>
      <c r="Y40" s="49"/>
      <c r="Z40" s="48"/>
      <c r="AA40" s="48"/>
      <c r="AB40" s="48"/>
      <c r="AC40" s="48"/>
      <c r="AD40" s="48"/>
      <c r="AE40" s="48"/>
      <c r="AF40" s="48"/>
    </row>
    <row r="41" spans="1:32" x14ac:dyDescent="0.3">
      <c r="A41" s="48"/>
      <c r="B41" s="48"/>
      <c r="C41" s="115"/>
      <c r="D41" s="114"/>
      <c r="E41" s="48"/>
      <c r="F41" s="48"/>
      <c r="G41" s="48"/>
      <c r="H41" s="121" t="s">
        <v>359</v>
      </c>
      <c r="I41" s="522">
        <f>_xlfn.MINIFS(m4_Configuración_del_Sistema_2[m3/hrpl '[todos']],m4_Configuración_del_Sistema_2[m3/hrpl '[todos']],"&gt;0")</f>
        <v>51.055999999999997</v>
      </c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1:32" x14ac:dyDescent="0.3">
      <c r="A42" s="48"/>
      <c r="B42" s="48"/>
      <c r="C42" s="48"/>
      <c r="D42" s="48"/>
      <c r="F42" s="48"/>
      <c r="G42" s="48"/>
      <c r="H42" s="121" t="s">
        <v>360</v>
      </c>
      <c r="I42" s="522">
        <f>I41*'m1 Fac_oper'!C23</f>
        <v>510.55999999999995</v>
      </c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1:32" ht="15" thickBot="1" x14ac:dyDescent="0.35">
      <c r="A43" s="48"/>
      <c r="B43" s="48"/>
      <c r="C43" s="48"/>
      <c r="D43" s="48"/>
      <c r="E43" s="48"/>
      <c r="F43" s="48"/>
      <c r="G43" s="48"/>
      <c r="H43" s="123" t="s">
        <v>361</v>
      </c>
      <c r="I43" s="523">
        <f>I40*'m1 Fac_oper'!C46</f>
        <v>0</v>
      </c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1:32" x14ac:dyDescent="0.3">
      <c r="A44" s="48"/>
      <c r="B44" s="48"/>
      <c r="C44" s="48"/>
      <c r="D44" s="48"/>
      <c r="E44" s="49"/>
      <c r="F44" s="49"/>
      <c r="G44" s="48"/>
      <c r="H44" s="119" t="s">
        <v>352</v>
      </c>
      <c r="I44" s="359">
        <f>m4.Parámetros[Vol. Total cosecha, m3]/I41</f>
        <v>420.12854316828577</v>
      </c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1:32" ht="15" thickBot="1" x14ac:dyDescent="0.35">
      <c r="A45" s="48"/>
      <c r="B45" s="48"/>
      <c r="C45" s="48"/>
      <c r="D45" s="48"/>
      <c r="E45" s="49"/>
      <c r="F45" s="49"/>
      <c r="G45" s="48"/>
      <c r="H45" s="123" t="s">
        <v>353</v>
      </c>
      <c r="I45" s="520">
        <f>m4.Parámetros[Vol. Total cosecha, m3]/I42</f>
        <v>42.01285431682858</v>
      </c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1:32" x14ac:dyDescent="0.3">
      <c r="A46" s="48"/>
      <c r="B46" s="48"/>
      <c r="C46" s="48"/>
      <c r="D46" s="48"/>
      <c r="E46" s="49"/>
      <c r="F46" s="49"/>
      <c r="G46" s="48"/>
      <c r="H46" s="48"/>
      <c r="I46" s="72"/>
      <c r="J46" s="48"/>
      <c r="K46" s="48"/>
      <c r="L46" s="112"/>
      <c r="M46" s="48"/>
      <c r="N46" s="479"/>
      <c r="O46" s="48"/>
      <c r="P46" s="478"/>
      <c r="Q46" s="242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1:32" x14ac:dyDescent="0.3">
      <c r="A47" s="48"/>
      <c r="B47" s="48"/>
      <c r="C47" s="48"/>
      <c r="D47" s="48"/>
      <c r="E47" s="49"/>
      <c r="F47" s="49"/>
      <c r="G47" s="48"/>
      <c r="H47" s="48"/>
      <c r="I47" s="107"/>
      <c r="J47" s="48"/>
      <c r="K47" s="48"/>
      <c r="L47" s="48"/>
      <c r="M47" s="48"/>
      <c r="N47" s="479"/>
      <c r="O47" s="48"/>
      <c r="P47" s="478"/>
      <c r="Q47" s="242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1:32" x14ac:dyDescent="0.3">
      <c r="A48" s="48"/>
      <c r="B48" s="48"/>
      <c r="C48" s="48"/>
      <c r="D48" s="48"/>
      <c r="E48" s="48"/>
      <c r="F48" s="48"/>
      <c r="G48" s="48"/>
      <c r="H48" s="48"/>
      <c r="I48" s="107"/>
      <c r="J48" s="48"/>
      <c r="K48" s="48"/>
      <c r="L48" s="48"/>
      <c r="M48" s="48"/>
      <c r="N48" s="479"/>
      <c r="O48" s="48"/>
      <c r="P48" s="478"/>
      <c r="Q48" s="242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1:53" x14ac:dyDescent="0.3">
      <c r="A49" s="48"/>
      <c r="B49" s="48"/>
      <c r="C49" s="48"/>
      <c r="D49" s="48"/>
      <c r="E49" s="48"/>
      <c r="F49" s="48"/>
      <c r="G49" s="48"/>
      <c r="H49" s="48"/>
      <c r="I49" s="107"/>
      <c r="J49" s="48"/>
      <c r="K49" s="48"/>
      <c r="L49" s="48"/>
      <c r="M49" s="48"/>
      <c r="N49" s="479"/>
      <c r="O49" s="48"/>
      <c r="P49" s="478"/>
      <c r="Q49" s="242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1:53" ht="15.6" x14ac:dyDescent="0.3">
      <c r="A50" s="48"/>
      <c r="B50" s="48"/>
      <c r="C50" s="48"/>
      <c r="D50" s="48"/>
      <c r="E50" s="48"/>
      <c r="F50" s="48"/>
      <c r="G50" s="501"/>
      <c r="H50" s="502"/>
      <c r="I50" s="502"/>
      <c r="J50" s="501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1:53" hidden="1" x14ac:dyDescent="0.3">
      <c r="A51" s="48"/>
      <c r="B51" s="48"/>
      <c r="C51" s="48"/>
      <c r="D51" s="48"/>
      <c r="E51" s="48"/>
      <c r="F51" s="48"/>
      <c r="G51" s="334"/>
      <c r="H51" s="334"/>
      <c r="I51" s="334"/>
      <c r="J51" s="334"/>
      <c r="K51" s="48"/>
      <c r="L51" s="48"/>
      <c r="M51" s="48"/>
      <c r="N51" s="48"/>
      <c r="O51" s="48"/>
      <c r="P51" s="334"/>
      <c r="Q51" s="242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1:53" hidden="1" x14ac:dyDescent="0.3">
      <c r="A52" s="48"/>
      <c r="B52" s="48"/>
      <c r="C52" s="48"/>
      <c r="D52" s="48"/>
      <c r="E52" s="48"/>
      <c r="F52" s="48"/>
      <c r="G52" s="334"/>
      <c r="H52" s="334"/>
      <c r="I52" s="334"/>
      <c r="J52" s="334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  <row r="53" spans="1:53" hidden="1" x14ac:dyDescent="0.3">
      <c r="A53" s="48"/>
      <c r="B53" s="48"/>
      <c r="C53" s="48"/>
      <c r="D53" s="48"/>
      <c r="E53" s="48"/>
      <c r="F53" s="48"/>
      <c r="G53" s="49"/>
      <c r="H53" s="49"/>
      <c r="I53" s="49"/>
      <c r="J53" s="49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</row>
    <row r="54" spans="1:53" hidden="1" x14ac:dyDescent="0.3">
      <c r="A54" s="48"/>
      <c r="B54" s="232"/>
      <c r="C54" s="48"/>
      <c r="D54" s="48"/>
      <c r="E54" s="48"/>
      <c r="F54" s="48"/>
      <c r="G54" s="49"/>
      <c r="H54" s="49"/>
      <c r="I54" s="49"/>
      <c r="J54" s="49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</row>
    <row r="55" spans="1:53" hidden="1" x14ac:dyDescent="0.3">
      <c r="A55" s="48"/>
      <c r="B55" s="315"/>
      <c r="C55" s="48"/>
      <c r="D55" s="48"/>
      <c r="E55" s="48"/>
      <c r="F55" s="48"/>
      <c r="G55" s="49"/>
      <c r="H55" s="49"/>
      <c r="I55" s="49"/>
      <c r="J55" s="53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</row>
    <row r="56" spans="1:53" hidden="1" x14ac:dyDescent="0.3">
      <c r="A56" s="48"/>
      <c r="B56" s="48"/>
      <c r="C56" s="48"/>
      <c r="D56" s="48"/>
      <c r="E56" s="48"/>
      <c r="F56" s="48"/>
      <c r="G56" s="49"/>
      <c r="H56" s="49"/>
      <c r="I56" s="49"/>
      <c r="J56" s="53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</row>
    <row r="57" spans="1:53" hidden="1" x14ac:dyDescent="0.3">
      <c r="A57" s="48"/>
      <c r="B57" s="48"/>
      <c r="C57" s="48"/>
      <c r="D57" s="48"/>
      <c r="E57" s="48"/>
      <c r="F57" s="48"/>
      <c r="G57" s="49"/>
      <c r="H57" s="49"/>
      <c r="I57" s="150"/>
      <c r="J57" s="53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</row>
    <row r="58" spans="1:53" hidden="1" x14ac:dyDescent="0.3">
      <c r="A58" s="48"/>
      <c r="B58" s="312"/>
      <c r="C58" s="48"/>
      <c r="D58" s="48"/>
      <c r="E58" s="48"/>
      <c r="F58" s="48"/>
      <c r="G58" s="49"/>
      <c r="H58" s="49"/>
      <c r="I58" s="49"/>
      <c r="J58" s="53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</row>
    <row r="59" spans="1:53" hidden="1" x14ac:dyDescent="0.3">
      <c r="A59" s="48"/>
      <c r="B59" s="48"/>
      <c r="C59" s="48"/>
      <c r="D59" s="48"/>
      <c r="E59" s="48"/>
      <c r="F59" s="48"/>
      <c r="G59" s="49"/>
      <c r="H59" s="49"/>
      <c r="I59" s="380"/>
      <c r="J59" s="49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</row>
    <row r="60" spans="1:53" hidden="1" x14ac:dyDescent="0.3">
      <c r="A60" s="48"/>
      <c r="B60" s="48"/>
      <c r="C60" s="48"/>
      <c r="D60" s="48"/>
      <c r="E60" s="48"/>
      <c r="F60" s="48"/>
      <c r="G60" s="72"/>
      <c r="H60" s="49"/>
      <c r="I60" s="49"/>
      <c r="J60" s="49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</row>
    <row r="61" spans="1:53" hidden="1" x14ac:dyDescent="0.3">
      <c r="A61" s="48"/>
      <c r="B61" s="48"/>
      <c r="C61" s="48"/>
      <c r="D61" s="48"/>
      <c r="E61" s="48"/>
      <c r="F61" s="48"/>
      <c r="G61" s="49"/>
      <c r="H61" s="49"/>
      <c r="I61" s="49"/>
      <c r="J61" s="53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</row>
    <row r="62" spans="1:53" hidden="1" x14ac:dyDescent="0.3">
      <c r="A62" s="48"/>
      <c r="B62" s="48"/>
      <c r="C62" s="48"/>
      <c r="D62" s="48"/>
      <c r="E62" s="48"/>
      <c r="F62" s="48"/>
      <c r="G62" s="49"/>
      <c r="H62" s="49"/>
      <c r="I62" s="49"/>
      <c r="J62" s="53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</row>
    <row r="63" spans="1:53" hidden="1" x14ac:dyDescent="0.3">
      <c r="A63" s="48"/>
      <c r="B63" s="48"/>
      <c r="C63" s="48"/>
      <c r="D63" s="48"/>
      <c r="E63" s="48"/>
      <c r="F63" s="48"/>
      <c r="G63" s="49"/>
      <c r="H63" s="49"/>
      <c r="I63" s="49"/>
      <c r="J63" s="53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</row>
    <row r="64" spans="1:53" hidden="1" x14ac:dyDescent="0.3">
      <c r="A64" s="48"/>
      <c r="B64" s="48"/>
      <c r="C64" s="48"/>
      <c r="D64" s="48"/>
      <c r="E64" s="48"/>
      <c r="F64" s="48"/>
      <c r="G64" s="49"/>
      <c r="H64" s="49"/>
      <c r="I64" s="49"/>
      <c r="J64" s="53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</row>
    <row r="65" spans="1:53" hidden="1" x14ac:dyDescent="0.3">
      <c r="A65" s="48"/>
      <c r="B65" s="48"/>
      <c r="C65" s="48"/>
      <c r="D65" s="48"/>
      <c r="E65" s="48"/>
      <c r="F65" s="48"/>
      <c r="G65" s="49"/>
      <c r="H65" s="49"/>
      <c r="I65" s="49"/>
      <c r="J65" s="49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</row>
    <row r="66" spans="1:53" hidden="1" x14ac:dyDescent="0.3">
      <c r="A66" s="48"/>
      <c r="B66" s="48"/>
      <c r="C66" s="48"/>
      <c r="D66" s="48"/>
      <c r="E66" s="48"/>
      <c r="F66" s="48"/>
      <c r="G66" s="72"/>
      <c r="H66" s="49"/>
      <c r="I66" s="49"/>
      <c r="J66" s="49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</row>
    <row r="67" spans="1:53" hidden="1" x14ac:dyDescent="0.3">
      <c r="A67" s="48"/>
      <c r="B67" s="48"/>
      <c r="C67" s="48"/>
      <c r="D67" s="48"/>
      <c r="E67" s="48"/>
      <c r="F67" s="48"/>
      <c r="G67" s="49"/>
      <c r="H67" s="49"/>
      <c r="I67" s="49"/>
      <c r="J67" s="53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</row>
    <row r="68" spans="1:53" hidden="1" x14ac:dyDescent="0.3">
      <c r="A68" s="48"/>
      <c r="B68" s="48"/>
      <c r="C68" s="48"/>
      <c r="D68" s="48"/>
      <c r="E68" s="48"/>
      <c r="F68" s="48"/>
      <c r="G68" s="49"/>
      <c r="H68" s="49"/>
      <c r="I68" s="49"/>
      <c r="J68" s="53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</row>
    <row r="69" spans="1:53" hidden="1" x14ac:dyDescent="0.3">
      <c r="A69" s="48"/>
      <c r="B69" s="48"/>
      <c r="C69" s="48"/>
      <c r="D69" s="48"/>
      <c r="E69" s="48"/>
      <c r="F69" s="48"/>
      <c r="G69" s="49"/>
      <c r="H69" s="49"/>
      <c r="I69" s="49"/>
      <c r="J69" s="53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</row>
    <row r="70" spans="1:53" hidden="1" x14ac:dyDescent="0.3">
      <c r="A70" s="48"/>
      <c r="B70" s="48"/>
      <c r="C70" s="48"/>
      <c r="D70" s="48"/>
      <c r="E70" s="48"/>
      <c r="F70" s="48"/>
      <c r="G70" s="49"/>
      <c r="H70" s="49"/>
      <c r="I70" s="49"/>
      <c r="J70" s="53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</row>
    <row r="71" spans="1:53" hidden="1" x14ac:dyDescent="0.3">
      <c r="A71" s="48"/>
      <c r="B71" s="48"/>
      <c r="C71" s="48"/>
      <c r="D71" s="48"/>
      <c r="E71" s="48"/>
      <c r="F71" s="48"/>
      <c r="G71" s="49"/>
      <c r="H71" s="49"/>
      <c r="I71" s="49"/>
      <c r="J71" s="53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</row>
    <row r="72" spans="1:53" ht="15" hidden="1" thickBot="1" x14ac:dyDescent="0.35">
      <c r="A72" s="48"/>
      <c r="B72" s="48"/>
      <c r="C72" s="48"/>
      <c r="D72" s="48"/>
      <c r="E72" s="48"/>
      <c r="F72" s="48"/>
      <c r="G72" s="49"/>
      <c r="H72" s="49"/>
      <c r="I72" s="49"/>
      <c r="J72" s="53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131" t="s">
        <v>346</v>
      </c>
      <c r="W72" s="131" t="s">
        <v>347</v>
      </c>
      <c r="X72" s="131" t="s">
        <v>345</v>
      </c>
      <c r="Y72" s="49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</row>
    <row r="73" spans="1:53" hidden="1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9" t="s">
        <v>177</v>
      </c>
      <c r="V73" s="232">
        <v>119619</v>
      </c>
      <c r="W73" s="232">
        <v>112717</v>
      </c>
      <c r="X73" s="232">
        <v>74378</v>
      </c>
      <c r="Y73" s="232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</row>
    <row r="74" spans="1:53" hidden="1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9" t="s">
        <v>348</v>
      </c>
      <c r="V74" s="232">
        <f>SUBTOTAL(109,m4_Costos_ConfSistema1_Tipo_y_Subsistema[CF, $])</f>
        <v>162377.44342972222</v>
      </c>
      <c r="W74" s="232">
        <f>SUBTOTAL(109,m4_Costos_ConfSistema1_Tipo_y_Subsistema[CV, $])</f>
        <v>180256.27667197108</v>
      </c>
      <c r="X74" s="232">
        <f>SUBTOTAL(109,m4_Costos_ConfSistema1_Tipo_y_Subsistema[CMO, $])</f>
        <v>39958.343333333331</v>
      </c>
      <c r="Y74" s="232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</row>
    <row r="75" spans="1:53" hidden="1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</row>
    <row r="76" spans="1:53" hidden="1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</row>
    <row r="77" spans="1:53" hidden="1" x14ac:dyDescent="0.3">
      <c r="A77" s="48"/>
      <c r="B77" s="48"/>
      <c r="C77" s="49"/>
      <c r="D77" s="49"/>
      <c r="E77" s="49"/>
      <c r="F77" s="49"/>
      <c r="G77" s="49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</row>
    <row r="78" spans="1:53" ht="15" hidden="1" thickBot="1" x14ac:dyDescent="0.35">
      <c r="A78" s="48"/>
      <c r="B78" s="48"/>
      <c r="C78" s="49"/>
      <c r="D78" s="49"/>
      <c r="E78" s="49"/>
      <c r="F78" s="49"/>
      <c r="G78" s="49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131" t="s">
        <v>346</v>
      </c>
      <c r="W78" s="131" t="s">
        <v>347</v>
      </c>
      <c r="X78" s="131" t="s">
        <v>345</v>
      </c>
      <c r="Y78" s="49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</row>
    <row r="79" spans="1:53" hidden="1" x14ac:dyDescent="0.3">
      <c r="A79" s="48"/>
      <c r="B79" s="48"/>
      <c r="C79" s="49"/>
      <c r="D79" s="49"/>
      <c r="E79" s="49"/>
      <c r="F79" s="49"/>
      <c r="G79" s="49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9" t="s">
        <v>177</v>
      </c>
      <c r="V79" s="232">
        <v>119619</v>
      </c>
      <c r="W79" s="232">
        <v>112717</v>
      </c>
      <c r="X79" s="232">
        <v>74378</v>
      </c>
      <c r="Y79" s="232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</row>
    <row r="80" spans="1:53" hidden="1" x14ac:dyDescent="0.3">
      <c r="A80" s="48"/>
      <c r="B80" s="48"/>
      <c r="C80" s="49"/>
      <c r="D80" s="49"/>
      <c r="E80" s="49"/>
      <c r="F80" s="49"/>
      <c r="G80" s="49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9" t="s">
        <v>348</v>
      </c>
      <c r="V80" s="232">
        <f>SUBTOTAL(109,m4_Costos_ConfSistema1_Tipo_y_Subsistema[CF, $])</f>
        <v>162377.44342972222</v>
      </c>
      <c r="W80" s="232">
        <f>SUBTOTAL(109,m4_Costos_ConfSistema1_Tipo_y_Subsistema[CV, $])</f>
        <v>180256.27667197108</v>
      </c>
      <c r="X80" s="232">
        <f>SUBTOTAL(109,m4_Costos_ConfSistema1_Tipo_y_Subsistema[CMO, $])</f>
        <v>39958.343333333331</v>
      </c>
      <c r="Y80" s="232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</row>
    <row r="81" spans="1:53" hidden="1" x14ac:dyDescent="0.3">
      <c r="A81" s="48"/>
      <c r="B81" s="48"/>
      <c r="C81" s="48"/>
      <c r="D81" s="333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</row>
    <row r="82" spans="1:53" hidden="1" x14ac:dyDescent="0.3">
      <c r="A82" s="48"/>
      <c r="B82" s="48"/>
      <c r="C82" s="49"/>
      <c r="D82" s="49"/>
      <c r="E82" s="49"/>
      <c r="F82" s="49"/>
      <c r="G82" s="49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</row>
    <row r="83" spans="1:53" hidden="1" x14ac:dyDescent="0.3">
      <c r="A83" s="48"/>
      <c r="B83" s="48"/>
      <c r="C83" s="49"/>
      <c r="D83" s="49"/>
      <c r="E83" s="49"/>
      <c r="F83" s="49"/>
      <c r="G83" s="49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</row>
    <row r="84" spans="1:53" hidden="1" x14ac:dyDescent="0.3">
      <c r="A84" s="48"/>
      <c r="B84" s="49"/>
      <c r="C84" s="232"/>
      <c r="D84" s="232"/>
      <c r="E84" s="232"/>
      <c r="F84" s="232"/>
      <c r="G84" s="232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</row>
    <row r="85" spans="1:53" hidden="1" x14ac:dyDescent="0.3">
      <c r="A85" s="48"/>
      <c r="B85" s="49"/>
      <c r="C85" s="232"/>
      <c r="D85" s="232"/>
      <c r="E85" s="232"/>
      <c r="F85" s="232"/>
      <c r="G85" s="232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</row>
    <row r="86" spans="1:53" hidden="1" x14ac:dyDescent="0.3">
      <c r="A86" s="48"/>
      <c r="B86" s="49"/>
      <c r="C86" s="49"/>
      <c r="D86" s="49"/>
      <c r="E86" s="49"/>
      <c r="F86" s="49"/>
      <c r="G86" s="49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</row>
    <row r="87" spans="1:53" hidden="1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</row>
    <row r="88" spans="1:53" hidden="1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</row>
    <row r="89" spans="1:53" hidden="1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  <c r="AZ89" s="48"/>
      <c r="BA89" s="48"/>
    </row>
    <row r="90" spans="1:53" hidden="1" x14ac:dyDescent="0.3">
      <c r="A90" s="48"/>
      <c r="B90" s="48"/>
      <c r="C90" s="182"/>
      <c r="D90" s="48"/>
      <c r="E90" s="49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</row>
    <row r="91" spans="1:53" hidden="1" x14ac:dyDescent="0.3">
      <c r="A91" s="48"/>
      <c r="B91" s="48"/>
      <c r="C91" s="48"/>
      <c r="D91" s="49"/>
      <c r="E91" s="232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48"/>
    </row>
    <row r="92" spans="1:53" hidden="1" x14ac:dyDescent="0.3">
      <c r="A92" s="48"/>
      <c r="B92" s="48"/>
      <c r="C92" s="48"/>
      <c r="D92" s="49"/>
      <c r="E92" s="232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</row>
    <row r="93" spans="1:53" hidden="1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48"/>
    </row>
    <row r="94" spans="1:53" hidden="1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48"/>
    </row>
    <row r="95" spans="1:53" hidden="1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74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48"/>
    </row>
    <row r="96" spans="1:53" hidden="1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74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</row>
    <row r="97" spans="1:53" hidden="1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74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</row>
    <row r="98" spans="1:53" hidden="1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74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</row>
    <row r="99" spans="1:53" hidden="1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74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48"/>
    </row>
    <row r="100" spans="1:53" hidden="1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74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  <c r="AZ100" s="48"/>
      <c r="BA100" s="48"/>
    </row>
    <row r="101" spans="1:53" hidden="1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74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48"/>
    </row>
    <row r="102" spans="1:53" hidden="1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74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48"/>
    </row>
    <row r="103" spans="1:53" hidden="1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74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</row>
    <row r="104" spans="1:53" hidden="1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74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</row>
    <row r="105" spans="1:53" hidden="1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74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</row>
    <row r="106" spans="1:53" hidden="1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74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48"/>
    </row>
    <row r="107" spans="1:53" hidden="1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48"/>
    </row>
    <row r="108" spans="1:53" hidden="1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48"/>
    </row>
    <row r="109" spans="1:53" hidden="1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48"/>
    </row>
    <row r="110" spans="1:53" hidden="1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</row>
    <row r="111" spans="1:53" hidden="1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  <c r="AZ111" s="48"/>
      <c r="BA111" s="48"/>
    </row>
    <row r="112" spans="1:53" hidden="1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</row>
    <row r="113" spans="1:53" hidden="1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AZ113" s="48"/>
      <c r="BA113" s="48"/>
    </row>
    <row r="114" spans="1:53" hidden="1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AZ114" s="48"/>
      <c r="BA114" s="48"/>
    </row>
    <row r="115" spans="1:53" hidden="1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AZ115" s="48"/>
      <c r="BA115" s="48"/>
    </row>
    <row r="116" spans="1:53" hidden="1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AZ116" s="48"/>
      <c r="BA116" s="48"/>
    </row>
    <row r="117" spans="1:53" hidden="1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AZ117" s="48"/>
      <c r="BA117" s="48"/>
    </row>
    <row r="118" spans="1:53" hidden="1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  <c r="AZ118" s="48"/>
      <c r="BA118" s="48"/>
    </row>
    <row r="119" spans="1:53" hidden="1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  <c r="AZ119" s="48"/>
      <c r="BA119" s="48"/>
    </row>
    <row r="120" spans="1:53" hidden="1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  <c r="AZ120" s="48"/>
      <c r="BA120" s="48"/>
    </row>
    <row r="121" spans="1:53" hidden="1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</row>
    <row r="122" spans="1:53" hidden="1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AZ122" s="48"/>
      <c r="BA122" s="48"/>
    </row>
    <row r="123" spans="1:53" hidden="1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AZ123" s="48"/>
      <c r="BA123" s="48"/>
    </row>
    <row r="124" spans="1:53" hidden="1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</row>
    <row r="125" spans="1:53" hidden="1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AZ125" s="48"/>
      <c r="BA125" s="48"/>
    </row>
    <row r="126" spans="1:53" hidden="1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AZ126" s="48"/>
      <c r="BA126" s="48"/>
    </row>
    <row r="127" spans="1:53" hidden="1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AZ127" s="48"/>
      <c r="BA127" s="48"/>
    </row>
    <row r="128" spans="1:53" hidden="1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AZ128" s="48"/>
      <c r="BA128" s="48"/>
    </row>
    <row r="129" spans="1:53" hidden="1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AZ129" s="48"/>
      <c r="BA129" s="48"/>
    </row>
    <row r="130" spans="1:53" hidden="1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  <c r="AX130" s="48"/>
      <c r="AY130" s="48"/>
      <c r="AZ130" s="48"/>
      <c r="BA130" s="48"/>
    </row>
    <row r="131" spans="1:53" hidden="1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</row>
    <row r="132" spans="1:53" hidden="1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  <c r="AX132" s="48"/>
      <c r="AY132" s="48"/>
      <c r="AZ132" s="48"/>
      <c r="BA132" s="48"/>
    </row>
    <row r="133" spans="1:53" hidden="1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  <c r="AX133" s="48"/>
      <c r="AY133" s="48"/>
      <c r="AZ133" s="48"/>
      <c r="BA133" s="48"/>
    </row>
    <row r="134" spans="1:53" hidden="1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AZ134" s="48"/>
      <c r="BA134" s="48"/>
    </row>
    <row r="135" spans="1:53" hidden="1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AZ135" s="48"/>
      <c r="BA135" s="48"/>
    </row>
    <row r="136" spans="1:53" hidden="1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</row>
    <row r="137" spans="1:53" hidden="1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</row>
    <row r="138" spans="1:53" hidden="1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AZ138" s="48"/>
      <c r="BA138" s="48"/>
    </row>
    <row r="139" spans="1:53" hidden="1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</row>
    <row r="140" spans="1:53" hidden="1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AZ140" s="48"/>
      <c r="BA140" s="48"/>
    </row>
    <row r="141" spans="1:53" hidden="1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AZ141" s="48"/>
      <c r="BA141" s="48"/>
    </row>
    <row r="142" spans="1:53" hidden="1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AZ142" s="48"/>
      <c r="BA142" s="48"/>
    </row>
    <row r="143" spans="1:53" hidden="1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  <c r="AX143" s="48"/>
      <c r="AY143" s="48"/>
      <c r="AZ143" s="48"/>
      <c r="BA143" s="48"/>
    </row>
    <row r="144" spans="1:53" hidden="1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AZ144" s="48"/>
      <c r="BA144" s="48"/>
    </row>
    <row r="145" spans="1:53" hidden="1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AZ145" s="48"/>
      <c r="BA145" s="48"/>
    </row>
    <row r="146" spans="1:53" hidden="1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</row>
    <row r="147" spans="1:53" hidden="1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</row>
    <row r="148" spans="1:53" hidden="1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  <c r="AX148" s="48"/>
      <c r="AY148" s="48"/>
      <c r="AZ148" s="48"/>
      <c r="BA148" s="48"/>
    </row>
    <row r="149" spans="1:53" hidden="1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  <c r="AX149" s="48"/>
      <c r="AY149" s="48"/>
      <c r="AZ149" s="48"/>
      <c r="BA149" s="48"/>
    </row>
    <row r="150" spans="1:53" hidden="1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48"/>
    </row>
    <row r="151" spans="1:53" hidden="1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48"/>
    </row>
    <row r="152" spans="1:53" hidden="1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48"/>
    </row>
    <row r="153" spans="1:53" hidden="1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</row>
    <row r="154" spans="1:53" hidden="1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</row>
    <row r="155" spans="1:53" hidden="1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</row>
    <row r="156" spans="1:53" hidden="1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</row>
    <row r="157" spans="1:53" hidden="1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</row>
    <row r="158" spans="1:53" hidden="1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48"/>
    </row>
    <row r="159" spans="1:53" hidden="1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48"/>
    </row>
    <row r="160" spans="1:53" hidden="1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48"/>
    </row>
    <row r="161" spans="1:53" hidden="1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/>
      <c r="AG161" s="48"/>
      <c r="AH161" s="48"/>
      <c r="AI161" s="48"/>
      <c r="AJ161" s="48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  <c r="AX161" s="48"/>
      <c r="AY161" s="48"/>
      <c r="AZ161" s="48"/>
      <c r="BA161" s="48"/>
    </row>
    <row r="162" spans="1:53" hidden="1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48"/>
      <c r="AJ162" s="48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  <c r="AX162" s="48"/>
      <c r="AY162" s="48"/>
      <c r="AZ162" s="48"/>
      <c r="BA162" s="48"/>
    </row>
    <row r="163" spans="1:53" hidden="1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48"/>
      <c r="AJ163" s="48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  <c r="AX163" s="48"/>
      <c r="AY163" s="48"/>
      <c r="AZ163" s="48"/>
      <c r="BA163" s="48"/>
    </row>
    <row r="164" spans="1:53" hidden="1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  <c r="AX164" s="48"/>
      <c r="AY164" s="48"/>
      <c r="AZ164" s="48"/>
      <c r="BA164" s="48"/>
    </row>
    <row r="165" spans="1:53" hidden="1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48"/>
      <c r="AJ165" s="48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  <c r="AX165" s="48"/>
      <c r="AY165" s="48"/>
      <c r="AZ165" s="48"/>
      <c r="BA165" s="48"/>
    </row>
    <row r="166" spans="1:53" hidden="1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8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  <c r="AZ166" s="48"/>
      <c r="BA166" s="48"/>
    </row>
    <row r="167" spans="1:53" hidden="1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</row>
    <row r="168" spans="1:53" hidden="1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48"/>
      <c r="AJ168" s="48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  <c r="AZ168" s="48"/>
      <c r="BA168" s="48"/>
    </row>
    <row r="169" spans="1:53" hidden="1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</row>
    <row r="170" spans="1:53" hidden="1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</row>
    <row r="171" spans="1:53" hidden="1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</row>
    <row r="172" spans="1:53" hidden="1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</row>
    <row r="173" spans="1:53" hidden="1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</row>
    <row r="174" spans="1:53" hidden="1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48"/>
      <c r="AJ174" s="48"/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  <c r="AX174" s="48"/>
      <c r="AY174" s="48"/>
      <c r="AZ174" s="48"/>
      <c r="BA174" s="48"/>
    </row>
    <row r="175" spans="1:53" hidden="1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  <c r="AX175" s="48"/>
      <c r="AY175" s="48"/>
      <c r="AZ175" s="48"/>
      <c r="BA175" s="48"/>
    </row>
    <row r="176" spans="1:53" hidden="1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48"/>
      <c r="AJ176" s="48"/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  <c r="AX176" s="48"/>
      <c r="AY176" s="48"/>
      <c r="AZ176" s="48"/>
      <c r="BA176" s="48"/>
    </row>
    <row r="177" spans="1:53" hidden="1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48"/>
      <c r="AJ177" s="48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  <c r="AX177" s="48"/>
      <c r="AY177" s="48"/>
      <c r="AZ177" s="48"/>
      <c r="BA177" s="48"/>
    </row>
    <row r="178" spans="1:53" hidden="1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48"/>
      <c r="AJ178" s="48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  <c r="AX178" s="48"/>
      <c r="AY178" s="48"/>
      <c r="AZ178" s="48"/>
      <c r="BA178" s="48"/>
    </row>
    <row r="179" spans="1:53" hidden="1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48"/>
      <c r="AJ179" s="48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  <c r="AX179" s="48"/>
      <c r="AY179" s="48"/>
      <c r="AZ179" s="48"/>
      <c r="BA179" s="48"/>
    </row>
    <row r="180" spans="1:53" hidden="1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  <c r="AX180" s="48"/>
      <c r="AY180" s="48"/>
      <c r="AZ180" s="48"/>
      <c r="BA180" s="48"/>
    </row>
    <row r="181" spans="1:53" hidden="1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48"/>
      <c r="AJ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  <c r="AX181" s="48"/>
      <c r="AY181" s="48"/>
      <c r="AZ181" s="48"/>
      <c r="BA181" s="48"/>
    </row>
    <row r="182" spans="1:53" hidden="1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  <c r="AX182" s="48"/>
      <c r="AY182" s="48"/>
      <c r="AZ182" s="48"/>
      <c r="BA182" s="48"/>
    </row>
    <row r="183" spans="1:53" hidden="1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  <c r="AX183" s="48"/>
      <c r="AY183" s="48"/>
      <c r="AZ183" s="48"/>
      <c r="BA183" s="48"/>
    </row>
    <row r="184" spans="1:53" hidden="1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48"/>
      <c r="AJ184" s="4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  <c r="AX184" s="48"/>
      <c r="AY184" s="48"/>
      <c r="AZ184" s="48"/>
      <c r="BA184" s="48"/>
    </row>
    <row r="185" spans="1:53" hidden="1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  <c r="AX185" s="48"/>
      <c r="AY185" s="48"/>
      <c r="AZ185" s="48"/>
      <c r="BA185" s="48"/>
    </row>
    <row r="186" spans="1:53" hidden="1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48"/>
      <c r="AJ186" s="48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  <c r="AX186" s="48"/>
      <c r="AY186" s="48"/>
      <c r="AZ186" s="48"/>
      <c r="BA186" s="48"/>
    </row>
    <row r="187" spans="1:53" hidden="1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48"/>
      <c r="AJ187" s="4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  <c r="AX187" s="48"/>
      <c r="AY187" s="48"/>
      <c r="AZ187" s="48"/>
      <c r="BA187" s="48"/>
    </row>
    <row r="188" spans="1:53" hidden="1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  <c r="AX188" s="48"/>
      <c r="AY188" s="48"/>
      <c r="AZ188" s="48"/>
      <c r="BA188" s="48"/>
    </row>
    <row r="189" spans="1:53" hidden="1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48"/>
      <c r="AJ189" s="48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  <c r="AX189" s="48"/>
      <c r="AY189" s="48"/>
      <c r="AZ189" s="48"/>
      <c r="BA189" s="48"/>
    </row>
    <row r="190" spans="1:53" hidden="1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48"/>
      <c r="AJ190" s="48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  <c r="AX190" s="48"/>
      <c r="AY190" s="48"/>
      <c r="AZ190" s="48"/>
      <c r="BA190" s="48"/>
    </row>
    <row r="191" spans="1:53" hidden="1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48"/>
      <c r="AJ191" s="48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  <c r="AX191" s="48"/>
      <c r="AY191" s="48"/>
      <c r="AZ191" s="48"/>
      <c r="BA191" s="48"/>
    </row>
    <row r="192" spans="1:53" hidden="1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48"/>
      <c r="AJ192" s="48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  <c r="AX192" s="48"/>
      <c r="AY192" s="48"/>
      <c r="AZ192" s="48"/>
      <c r="BA192" s="48"/>
    </row>
    <row r="193" spans="1:53" hidden="1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  <c r="AX193" s="48"/>
      <c r="AY193" s="48"/>
      <c r="AZ193" s="48"/>
      <c r="BA193" s="48"/>
    </row>
    <row r="194" spans="1:53" hidden="1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48"/>
      <c r="AJ194" s="48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  <c r="AX194" s="48"/>
      <c r="AY194" s="48"/>
      <c r="AZ194" s="48"/>
      <c r="BA194" s="48"/>
    </row>
    <row r="195" spans="1:53" hidden="1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</row>
    <row r="196" spans="1:53" hidden="1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48"/>
      <c r="AJ196" s="48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  <c r="AX196" s="48"/>
      <c r="AY196" s="48"/>
      <c r="AZ196" s="48"/>
      <c r="BA196" s="48"/>
    </row>
    <row r="197" spans="1:53" hidden="1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48"/>
      <c r="AJ197" s="48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  <c r="AX197" s="48"/>
      <c r="AY197" s="48"/>
      <c r="AZ197" s="48"/>
      <c r="BA197" s="48"/>
    </row>
    <row r="198" spans="1:53" hidden="1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48"/>
      <c r="AJ198" s="48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  <c r="AX198" s="48"/>
      <c r="AY198" s="48"/>
      <c r="AZ198" s="48"/>
      <c r="BA198" s="48"/>
    </row>
    <row r="199" spans="1:53" hidden="1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48"/>
      <c r="AJ199" s="48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  <c r="AX199" s="48"/>
      <c r="AY199" s="48"/>
      <c r="AZ199" s="48"/>
      <c r="BA199" s="48"/>
    </row>
    <row r="200" spans="1:53" hidden="1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48"/>
      <c r="AJ200" s="48"/>
      <c r="AK200" s="48"/>
      <c r="AL200" s="48"/>
      <c r="AM200" s="48"/>
      <c r="AN200" s="48"/>
      <c r="AO200" s="48"/>
      <c r="AP200" s="48"/>
      <c r="AQ200" s="48"/>
      <c r="AR200" s="48"/>
      <c r="AS200" s="48"/>
      <c r="AT200" s="48"/>
      <c r="AU200" s="48"/>
      <c r="AV200" s="48"/>
      <c r="AW200" s="48"/>
      <c r="AX200" s="48"/>
      <c r="AY200" s="48"/>
      <c r="AZ200" s="48"/>
      <c r="BA200" s="48"/>
    </row>
    <row r="201" spans="1:53" hidden="1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48"/>
      <c r="AJ201" s="48"/>
      <c r="AK201" s="48"/>
      <c r="AL201" s="48"/>
      <c r="AM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  <c r="AX201" s="48"/>
      <c r="AY201" s="48"/>
      <c r="AZ201" s="48"/>
      <c r="BA201" s="48"/>
    </row>
    <row r="202" spans="1:53" hidden="1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48"/>
      <c r="AJ202" s="48"/>
      <c r="AK202" s="48"/>
      <c r="AL202" s="48"/>
      <c r="AM202" s="48"/>
      <c r="AN202" s="48"/>
      <c r="AO202" s="48"/>
      <c r="AP202" s="48"/>
      <c r="AQ202" s="48"/>
      <c r="AR202" s="48"/>
      <c r="AS202" s="48"/>
      <c r="AT202" s="48"/>
      <c r="AU202" s="48"/>
      <c r="AV202" s="48"/>
      <c r="AW202" s="48"/>
      <c r="AX202" s="48"/>
      <c r="AY202" s="48"/>
      <c r="AZ202" s="48"/>
      <c r="BA202" s="48"/>
    </row>
    <row r="203" spans="1:53" hidden="1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48"/>
      <c r="AJ203" s="48"/>
      <c r="AK203" s="48"/>
      <c r="AL203" s="48"/>
      <c r="AM203" s="48"/>
      <c r="AN203" s="48"/>
      <c r="AO203" s="48"/>
      <c r="AP203" s="48"/>
      <c r="AQ203" s="48"/>
      <c r="AR203" s="48"/>
      <c r="AS203" s="48"/>
      <c r="AT203" s="48"/>
      <c r="AU203" s="48"/>
      <c r="AV203" s="48"/>
      <c r="AW203" s="48"/>
      <c r="AX203" s="48"/>
      <c r="AY203" s="48"/>
      <c r="AZ203" s="48"/>
      <c r="BA203" s="48"/>
    </row>
    <row r="204" spans="1:53" hidden="1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48"/>
      <c r="AJ204" s="48"/>
      <c r="AK204" s="48"/>
      <c r="AL204" s="48"/>
      <c r="AM204" s="48"/>
      <c r="AN204" s="48"/>
      <c r="AO204" s="48"/>
      <c r="AP204" s="48"/>
      <c r="AQ204" s="48"/>
      <c r="AR204" s="48"/>
      <c r="AS204" s="48"/>
      <c r="AT204" s="48"/>
      <c r="AU204" s="48"/>
      <c r="AV204" s="48"/>
      <c r="AW204" s="48"/>
      <c r="AX204" s="48"/>
      <c r="AY204" s="48"/>
      <c r="AZ204" s="48"/>
      <c r="BA204" s="48"/>
    </row>
    <row r="205" spans="1:53" hidden="1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Q205" s="48"/>
      <c r="AR205" s="48"/>
      <c r="AS205" s="48"/>
      <c r="AT205" s="48"/>
      <c r="AU205" s="48"/>
      <c r="AV205" s="48"/>
      <c r="AW205" s="48"/>
      <c r="AX205" s="48"/>
      <c r="AY205" s="48"/>
      <c r="AZ205" s="48"/>
      <c r="BA205" s="48"/>
    </row>
    <row r="206" spans="1:53" hidden="1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48"/>
      <c r="AJ206" s="48"/>
      <c r="AK206" s="48"/>
      <c r="AL206" s="48"/>
      <c r="AM206" s="48"/>
      <c r="AN206" s="48"/>
      <c r="AO206" s="48"/>
      <c r="AP206" s="48"/>
      <c r="AQ206" s="48"/>
      <c r="AR206" s="48"/>
      <c r="AS206" s="48"/>
      <c r="AT206" s="48"/>
      <c r="AU206" s="48"/>
      <c r="AV206" s="48"/>
      <c r="AW206" s="48"/>
      <c r="AX206" s="48"/>
      <c r="AY206" s="48"/>
      <c r="AZ206" s="48"/>
      <c r="BA206" s="48"/>
    </row>
    <row r="207" spans="1:53" hidden="1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48"/>
      <c r="AJ207" s="48"/>
      <c r="AK207" s="48"/>
      <c r="AL207" s="48"/>
      <c r="AM207" s="48"/>
      <c r="AN207" s="48"/>
      <c r="AO207" s="48"/>
      <c r="AP207" s="48"/>
      <c r="AQ207" s="48"/>
      <c r="AR207" s="48"/>
      <c r="AS207" s="48"/>
      <c r="AT207" s="48"/>
      <c r="AU207" s="48"/>
      <c r="AV207" s="48"/>
      <c r="AW207" s="48"/>
      <c r="AX207" s="48"/>
      <c r="AY207" s="48"/>
      <c r="AZ207" s="48"/>
      <c r="BA207" s="48"/>
    </row>
    <row r="208" spans="1:53" hidden="1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8"/>
      <c r="AP208" s="48"/>
      <c r="AQ208" s="48"/>
      <c r="AR208" s="48"/>
      <c r="AS208" s="48"/>
      <c r="AT208" s="48"/>
      <c r="AU208" s="48"/>
      <c r="AV208" s="48"/>
      <c r="AW208" s="48"/>
      <c r="AX208" s="48"/>
      <c r="AY208" s="48"/>
      <c r="AZ208" s="48"/>
      <c r="BA208" s="48"/>
    </row>
    <row r="209" spans="1:53" hidden="1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8"/>
      <c r="AP209" s="48"/>
      <c r="AQ209" s="48"/>
      <c r="AR209" s="48"/>
      <c r="AS209" s="48"/>
      <c r="AT209" s="48"/>
      <c r="AU209" s="48"/>
      <c r="AV209" s="48"/>
      <c r="AW209" s="48"/>
      <c r="AX209" s="48"/>
      <c r="AY209" s="48"/>
      <c r="AZ209" s="48"/>
      <c r="BA209" s="48"/>
    </row>
    <row r="210" spans="1:53" hidden="1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8"/>
      <c r="AP210" s="48"/>
      <c r="AQ210" s="48"/>
      <c r="AR210" s="48"/>
      <c r="AS210" s="48"/>
      <c r="AT210" s="48"/>
      <c r="AU210" s="48"/>
      <c r="AV210" s="48"/>
      <c r="AW210" s="48"/>
      <c r="AX210" s="48"/>
      <c r="AY210" s="48"/>
      <c r="AZ210" s="48"/>
      <c r="BA210" s="48"/>
    </row>
    <row r="211" spans="1:53" hidden="1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8"/>
      <c r="AP211" s="48"/>
      <c r="AQ211" s="48"/>
      <c r="AR211" s="48"/>
      <c r="AS211" s="48"/>
      <c r="AT211" s="48"/>
      <c r="AU211" s="48"/>
      <c r="AV211" s="48"/>
      <c r="AW211" s="48"/>
      <c r="AX211" s="48"/>
      <c r="AY211" s="48"/>
      <c r="AZ211" s="48"/>
      <c r="BA211" s="48"/>
    </row>
    <row r="212" spans="1:53" hidden="1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8"/>
      <c r="AP212" s="48"/>
      <c r="AQ212" s="48"/>
      <c r="AR212" s="48"/>
      <c r="AS212" s="48"/>
      <c r="AT212" s="48"/>
      <c r="AU212" s="48"/>
      <c r="AV212" s="48"/>
      <c r="AW212" s="48"/>
      <c r="AX212" s="48"/>
      <c r="AY212" s="48"/>
      <c r="AZ212" s="48"/>
      <c r="BA212" s="48"/>
    </row>
    <row r="213" spans="1:53" hidden="1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8"/>
      <c r="AP213" s="48"/>
      <c r="AQ213" s="48"/>
      <c r="AR213" s="48"/>
      <c r="AS213" s="48"/>
      <c r="AT213" s="48"/>
      <c r="AU213" s="48"/>
      <c r="AV213" s="48"/>
      <c r="AW213" s="48"/>
      <c r="AX213" s="48"/>
      <c r="AY213" s="48"/>
      <c r="AZ213" s="48"/>
      <c r="BA213" s="48"/>
    </row>
    <row r="214" spans="1:53" hidden="1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8"/>
      <c r="AP214" s="48"/>
      <c r="AQ214" s="48"/>
      <c r="AR214" s="48"/>
      <c r="AS214" s="48"/>
      <c r="AT214" s="48"/>
      <c r="AU214" s="48"/>
      <c r="AV214" s="48"/>
      <c r="AW214" s="48"/>
      <c r="AX214" s="48"/>
      <c r="AY214" s="48"/>
      <c r="AZ214" s="48"/>
      <c r="BA214" s="48"/>
    </row>
    <row r="215" spans="1:53" hidden="1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8"/>
      <c r="AP215" s="48"/>
      <c r="AQ215" s="48"/>
      <c r="AR215" s="48"/>
      <c r="AS215" s="48"/>
      <c r="AT215" s="48"/>
      <c r="AU215" s="48"/>
      <c r="AV215" s="48"/>
      <c r="AW215" s="48"/>
      <c r="AX215" s="48"/>
      <c r="AY215" s="48"/>
      <c r="AZ215" s="48"/>
      <c r="BA215" s="48"/>
    </row>
    <row r="216" spans="1:53" hidden="1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8"/>
      <c r="AP216" s="48"/>
      <c r="AQ216" s="48"/>
      <c r="AR216" s="48"/>
      <c r="AS216" s="48"/>
      <c r="AT216" s="48"/>
      <c r="AU216" s="48"/>
      <c r="AV216" s="48"/>
      <c r="AW216" s="48"/>
      <c r="AX216" s="48"/>
      <c r="AY216" s="48"/>
      <c r="AZ216" s="48"/>
      <c r="BA216" s="48"/>
    </row>
    <row r="217" spans="1:53" hidden="1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8"/>
      <c r="AP217" s="48"/>
      <c r="AQ217" s="48"/>
      <c r="AR217" s="48"/>
      <c r="AS217" s="48"/>
      <c r="AT217" s="48"/>
      <c r="AU217" s="48"/>
      <c r="AV217" s="48"/>
      <c r="AW217" s="48"/>
      <c r="AX217" s="48"/>
      <c r="AY217" s="48"/>
      <c r="AZ217" s="48"/>
      <c r="BA217" s="48"/>
    </row>
    <row r="218" spans="1:53" hidden="1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8"/>
      <c r="AP218" s="48"/>
      <c r="AQ218" s="48"/>
      <c r="AR218" s="48"/>
      <c r="AS218" s="48"/>
      <c r="AT218" s="48"/>
      <c r="AU218" s="48"/>
      <c r="AV218" s="48"/>
      <c r="AW218" s="48"/>
      <c r="AX218" s="48"/>
      <c r="AY218" s="48"/>
      <c r="AZ218" s="48"/>
      <c r="BA218" s="48"/>
    </row>
    <row r="219" spans="1:53" hidden="1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  <c r="AC219" s="48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AZ219" s="48"/>
      <c r="BA219" s="48"/>
    </row>
    <row r="220" spans="1:53" hidden="1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8"/>
      <c r="AP220" s="48"/>
      <c r="AQ220" s="48"/>
      <c r="AR220" s="48"/>
      <c r="AS220" s="48"/>
      <c r="AT220" s="48"/>
      <c r="AU220" s="48"/>
      <c r="AV220" s="48"/>
      <c r="AW220" s="48"/>
      <c r="AX220" s="48"/>
      <c r="AY220" s="48"/>
      <c r="AZ220" s="48"/>
      <c r="BA220" s="48"/>
    </row>
    <row r="221" spans="1:53" hidden="1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48"/>
      <c r="AJ221" s="48"/>
      <c r="AK221" s="48"/>
      <c r="AL221" s="48"/>
      <c r="AM221" s="48"/>
      <c r="AN221" s="48"/>
      <c r="AO221" s="48"/>
      <c r="AP221" s="48"/>
      <c r="AQ221" s="48"/>
      <c r="AR221" s="48"/>
      <c r="AS221" s="48"/>
      <c r="AT221" s="48"/>
      <c r="AU221" s="48"/>
      <c r="AV221" s="48"/>
      <c r="AW221" s="48"/>
      <c r="AX221" s="48"/>
      <c r="AY221" s="48"/>
      <c r="AZ221" s="48"/>
      <c r="BA221" s="48"/>
    </row>
    <row r="222" spans="1:53" hidden="1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48"/>
      <c r="AJ222" s="48"/>
      <c r="AK222" s="48"/>
      <c r="AL222" s="48"/>
      <c r="AM222" s="48"/>
      <c r="AN222" s="48"/>
      <c r="AO222" s="48"/>
      <c r="AP222" s="48"/>
      <c r="AQ222" s="48"/>
      <c r="AR222" s="48"/>
      <c r="AS222" s="48"/>
      <c r="AT222" s="48"/>
      <c r="AU222" s="48"/>
      <c r="AV222" s="48"/>
      <c r="AW222" s="48"/>
      <c r="AX222" s="48"/>
      <c r="AY222" s="48"/>
      <c r="AZ222" s="48"/>
      <c r="BA222" s="48"/>
    </row>
    <row r="223" spans="1:53" hidden="1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48"/>
      <c r="AJ223" s="48"/>
      <c r="AK223" s="48"/>
      <c r="AL223" s="48"/>
      <c r="AM223" s="48"/>
      <c r="AN223" s="48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</row>
    <row r="224" spans="1:53" hidden="1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48"/>
      <c r="AJ224" s="48"/>
      <c r="AK224" s="48"/>
      <c r="AL224" s="48"/>
      <c r="AM224" s="48"/>
      <c r="AN224" s="48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</row>
    <row r="225" spans="1:53" hidden="1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48"/>
      <c r="AJ225" s="48"/>
      <c r="AK225" s="48"/>
      <c r="AL225" s="48"/>
      <c r="AM225" s="48"/>
      <c r="AN225" s="48"/>
      <c r="AO225" s="48"/>
      <c r="AP225" s="48"/>
      <c r="AQ225" s="48"/>
      <c r="AR225" s="48"/>
      <c r="AS225" s="48"/>
      <c r="AT225" s="48"/>
      <c r="AU225" s="48"/>
      <c r="AV225" s="48"/>
      <c r="AW225" s="48"/>
      <c r="AX225" s="48"/>
      <c r="AY225" s="48"/>
      <c r="AZ225" s="48"/>
      <c r="BA225" s="48"/>
    </row>
    <row r="226" spans="1:53" hidden="1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8"/>
      <c r="AP226" s="48"/>
      <c r="AQ226" s="48"/>
      <c r="AR226" s="48"/>
      <c r="AS226" s="48"/>
      <c r="AT226" s="48"/>
      <c r="AU226" s="48"/>
      <c r="AV226" s="48"/>
      <c r="AW226" s="48"/>
      <c r="AX226" s="48"/>
      <c r="AY226" s="48"/>
      <c r="AZ226" s="48"/>
      <c r="BA226" s="48"/>
    </row>
    <row r="227" spans="1:53" hidden="1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8"/>
      <c r="AP227" s="48"/>
      <c r="AQ227" s="48"/>
      <c r="AR227" s="48"/>
      <c r="AS227" s="48"/>
      <c r="AT227" s="48"/>
      <c r="AU227" s="48"/>
      <c r="AV227" s="48"/>
      <c r="AW227" s="48"/>
      <c r="AX227" s="48"/>
      <c r="AY227" s="48"/>
      <c r="AZ227" s="48"/>
      <c r="BA227" s="48"/>
    </row>
    <row r="228" spans="1:53" hidden="1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</row>
    <row r="229" spans="1:53" hidden="1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8"/>
      <c r="AP229" s="48"/>
      <c r="AQ229" s="48"/>
      <c r="AR229" s="48"/>
      <c r="AS229" s="48"/>
      <c r="AT229" s="48"/>
      <c r="AU229" s="48"/>
      <c r="AV229" s="48"/>
      <c r="AW229" s="48"/>
      <c r="AX229" s="48"/>
      <c r="AY229" s="48"/>
      <c r="AZ229" s="48"/>
      <c r="BA229" s="48"/>
    </row>
    <row r="230" spans="1:53" hidden="1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8"/>
      <c r="AP230" s="48"/>
      <c r="AQ230" s="48"/>
      <c r="AR230" s="48"/>
      <c r="AS230" s="48"/>
      <c r="AT230" s="48"/>
      <c r="AU230" s="48"/>
      <c r="AV230" s="48"/>
      <c r="AW230" s="48"/>
      <c r="AX230" s="48"/>
      <c r="AY230" s="48"/>
      <c r="AZ230" s="48"/>
      <c r="BA230" s="48"/>
    </row>
    <row r="231" spans="1:53" hidden="1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8"/>
      <c r="AP231" s="48"/>
      <c r="AQ231" s="48"/>
      <c r="AR231" s="48"/>
      <c r="AS231" s="48"/>
      <c r="AT231" s="48"/>
      <c r="AU231" s="48"/>
      <c r="AV231" s="48"/>
      <c r="AW231" s="48"/>
      <c r="AX231" s="48"/>
      <c r="AY231" s="48"/>
      <c r="AZ231" s="48"/>
      <c r="BA231" s="48"/>
    </row>
    <row r="232" spans="1:53" hidden="1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8"/>
      <c r="AP232" s="48"/>
      <c r="AQ232" s="48"/>
      <c r="AR232" s="48"/>
      <c r="AS232" s="48"/>
      <c r="AT232" s="48"/>
      <c r="AU232" s="48"/>
      <c r="AV232" s="48"/>
      <c r="AW232" s="48"/>
      <c r="AX232" s="48"/>
      <c r="AY232" s="48"/>
      <c r="AZ232" s="48"/>
      <c r="BA232" s="48"/>
    </row>
    <row r="233" spans="1:53" hidden="1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8"/>
      <c r="AP233" s="48"/>
      <c r="AQ233" s="48"/>
      <c r="AR233" s="48"/>
      <c r="AS233" s="48"/>
      <c r="AT233" s="48"/>
      <c r="AU233" s="48"/>
      <c r="AV233" s="48"/>
      <c r="AW233" s="48"/>
      <c r="AX233" s="48"/>
      <c r="AY233" s="48"/>
      <c r="AZ233" s="48"/>
      <c r="BA233" s="48"/>
    </row>
    <row r="234" spans="1:53" hidden="1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8"/>
      <c r="AP234" s="48"/>
      <c r="AQ234" s="48"/>
      <c r="AR234" s="48"/>
      <c r="AS234" s="48"/>
      <c r="AT234" s="48"/>
      <c r="AU234" s="48"/>
      <c r="AV234" s="48"/>
      <c r="AW234" s="48"/>
      <c r="AX234" s="48"/>
      <c r="AY234" s="48"/>
      <c r="AZ234" s="48"/>
      <c r="BA234" s="48"/>
    </row>
    <row r="235" spans="1:53" hidden="1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8"/>
      <c r="AP235" s="48"/>
      <c r="AQ235" s="48"/>
      <c r="AR235" s="48"/>
      <c r="AS235" s="48"/>
      <c r="AT235" s="48"/>
      <c r="AU235" s="48"/>
      <c r="AV235" s="48"/>
      <c r="AW235" s="48"/>
      <c r="AX235" s="48"/>
      <c r="AY235" s="48"/>
      <c r="AZ235" s="48"/>
      <c r="BA235" s="48"/>
    </row>
    <row r="236" spans="1:53" hidden="1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8"/>
      <c r="AP236" s="48"/>
      <c r="AQ236" s="48"/>
      <c r="AR236" s="48"/>
      <c r="AS236" s="48"/>
      <c r="AT236" s="48"/>
      <c r="AU236" s="48"/>
      <c r="AV236" s="48"/>
      <c r="AW236" s="48"/>
      <c r="AX236" s="48"/>
      <c r="AY236" s="48"/>
      <c r="AZ236" s="48"/>
      <c r="BA236" s="48"/>
    </row>
    <row r="237" spans="1:53" hidden="1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8"/>
      <c r="AP237" s="48"/>
      <c r="AQ237" s="48"/>
      <c r="AR237" s="48"/>
      <c r="AS237" s="48"/>
      <c r="AT237" s="48"/>
      <c r="AU237" s="48"/>
      <c r="AV237" s="48"/>
      <c r="AW237" s="48"/>
      <c r="AX237" s="48"/>
      <c r="AY237" s="48"/>
      <c r="AZ237" s="48"/>
      <c r="BA237" s="48"/>
    </row>
    <row r="238" spans="1:53" hidden="1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8"/>
      <c r="AP238" s="48"/>
      <c r="AQ238" s="48"/>
      <c r="AR238" s="48"/>
      <c r="AS238" s="48"/>
      <c r="AT238" s="48"/>
      <c r="AU238" s="48"/>
      <c r="AV238" s="48"/>
      <c r="AW238" s="48"/>
      <c r="AX238" s="48"/>
      <c r="AY238" s="48"/>
      <c r="AZ238" s="48"/>
      <c r="BA238" s="48"/>
    </row>
    <row r="239" spans="1:53" hidden="1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8"/>
      <c r="AP239" s="48"/>
      <c r="AQ239" s="48"/>
      <c r="AR239" s="48"/>
      <c r="AS239" s="48"/>
      <c r="AT239" s="48"/>
      <c r="AU239" s="48"/>
      <c r="AV239" s="48"/>
      <c r="AW239" s="48"/>
      <c r="AX239" s="48"/>
      <c r="AY239" s="48"/>
      <c r="AZ239" s="48"/>
      <c r="BA239" s="48"/>
    </row>
    <row r="240" spans="1:53" hidden="1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8"/>
      <c r="AP240" s="48"/>
      <c r="AQ240" s="48"/>
      <c r="AR240" s="48"/>
      <c r="AS240" s="48"/>
      <c r="AT240" s="48"/>
      <c r="AU240" s="48"/>
      <c r="AV240" s="48"/>
      <c r="AW240" s="48"/>
      <c r="AX240" s="48"/>
      <c r="AY240" s="48"/>
      <c r="AZ240" s="48"/>
      <c r="BA240" s="48"/>
    </row>
    <row r="241" spans="1:53" hidden="1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8"/>
      <c r="AP241" s="48"/>
      <c r="AQ241" s="48"/>
      <c r="AR241" s="48"/>
      <c r="AS241" s="48"/>
      <c r="AT241" s="48"/>
      <c r="AU241" s="48"/>
      <c r="AV241" s="48"/>
      <c r="AW241" s="48"/>
      <c r="AX241" s="48"/>
      <c r="AY241" s="48"/>
      <c r="AZ241" s="48"/>
      <c r="BA241" s="48"/>
    </row>
    <row r="242" spans="1:53" hidden="1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8"/>
      <c r="AP242" s="48"/>
      <c r="AQ242" s="48"/>
      <c r="AR242" s="48"/>
      <c r="AS242" s="48"/>
      <c r="AT242" s="48"/>
      <c r="AU242" s="48"/>
      <c r="AV242" s="48"/>
      <c r="AW242" s="48"/>
      <c r="AX242" s="48"/>
      <c r="AY242" s="48"/>
      <c r="AZ242" s="48"/>
      <c r="BA242" s="48"/>
    </row>
    <row r="243" spans="1:53" hidden="1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8"/>
      <c r="AP243" s="48"/>
      <c r="AQ243" s="48"/>
      <c r="AR243" s="48"/>
      <c r="AS243" s="48"/>
      <c r="AT243" s="48"/>
      <c r="AU243" s="48"/>
      <c r="AV243" s="48"/>
      <c r="AW243" s="48"/>
      <c r="AX243" s="48"/>
      <c r="AY243" s="48"/>
      <c r="AZ243" s="48"/>
      <c r="BA243" s="48"/>
    </row>
    <row r="244" spans="1:53" hidden="1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8"/>
      <c r="AP244" s="48"/>
      <c r="AQ244" s="48"/>
      <c r="AR244" s="48"/>
      <c r="AS244" s="48"/>
      <c r="AT244" s="48"/>
      <c r="AU244" s="48"/>
      <c r="AV244" s="48"/>
      <c r="AW244" s="48"/>
      <c r="AX244" s="48"/>
      <c r="AY244" s="48"/>
      <c r="AZ244" s="48"/>
      <c r="BA244" s="48"/>
    </row>
    <row r="245" spans="1:53" hidden="1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8"/>
      <c r="AP245" s="48"/>
      <c r="AQ245" s="48"/>
      <c r="AR245" s="48"/>
      <c r="AS245" s="48"/>
      <c r="AT245" s="48"/>
      <c r="AU245" s="48"/>
      <c r="AV245" s="48"/>
      <c r="AW245" s="48"/>
      <c r="AX245" s="48"/>
      <c r="AY245" s="48"/>
      <c r="AZ245" s="48"/>
      <c r="BA245" s="48"/>
    </row>
    <row r="246" spans="1:53" hidden="1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8"/>
      <c r="AP246" s="48"/>
      <c r="AQ246" s="48"/>
      <c r="AR246" s="48"/>
      <c r="AS246" s="48"/>
      <c r="AT246" s="48"/>
      <c r="AU246" s="48"/>
      <c r="AV246" s="48"/>
      <c r="AW246" s="48"/>
      <c r="AX246" s="48"/>
      <c r="AY246" s="48"/>
      <c r="AZ246" s="48"/>
      <c r="BA246" s="48"/>
    </row>
    <row r="247" spans="1:53" hidden="1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48"/>
      <c r="AJ247" s="48"/>
      <c r="AK247" s="48"/>
      <c r="AL247" s="48"/>
      <c r="AM247" s="48"/>
      <c r="AN247" s="48"/>
      <c r="AO247" s="48"/>
      <c r="AP247" s="48"/>
      <c r="AQ247" s="48"/>
      <c r="AR247" s="48"/>
      <c r="AS247" s="48"/>
      <c r="AT247" s="48"/>
      <c r="AU247" s="48"/>
      <c r="AV247" s="48"/>
      <c r="AW247" s="48"/>
      <c r="AX247" s="48"/>
      <c r="AY247" s="48"/>
      <c r="AZ247" s="48"/>
      <c r="BA247" s="48"/>
    </row>
    <row r="248" spans="1:53" hidden="1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48"/>
      <c r="AJ248" s="48"/>
      <c r="AK248" s="48"/>
      <c r="AL248" s="48"/>
      <c r="AM248" s="48"/>
      <c r="AN248" s="48"/>
      <c r="AO248" s="48"/>
      <c r="AP248" s="48"/>
      <c r="AQ248" s="48"/>
      <c r="AR248" s="48"/>
      <c r="AS248" s="48"/>
      <c r="AT248" s="48"/>
      <c r="AU248" s="48"/>
      <c r="AV248" s="48"/>
      <c r="AW248" s="48"/>
      <c r="AX248" s="48"/>
      <c r="AY248" s="48"/>
      <c r="AZ248" s="48"/>
      <c r="BA248" s="48"/>
    </row>
    <row r="249" spans="1:53" hidden="1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48"/>
      <c r="AJ249" s="48"/>
      <c r="AK249" s="48"/>
      <c r="AL249" s="48"/>
      <c r="AM249" s="48"/>
      <c r="AN249" s="48"/>
      <c r="AO249" s="48"/>
      <c r="AP249" s="48"/>
      <c r="AQ249" s="48"/>
      <c r="AR249" s="48"/>
      <c r="AS249" s="48"/>
      <c r="AT249" s="48"/>
      <c r="AU249" s="48"/>
      <c r="AV249" s="48"/>
      <c r="AW249" s="48"/>
      <c r="AX249" s="48"/>
      <c r="AY249" s="48"/>
      <c r="AZ249" s="48"/>
      <c r="BA249" s="48"/>
    </row>
    <row r="250" spans="1:53" hidden="1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48"/>
      <c r="AJ250" s="48"/>
      <c r="AK250" s="48"/>
      <c r="AL250" s="48"/>
      <c r="AM250" s="48"/>
      <c r="AN250" s="48"/>
      <c r="AO250" s="48"/>
      <c r="AP250" s="48"/>
      <c r="AQ250" s="48"/>
      <c r="AR250" s="48"/>
      <c r="AS250" s="48"/>
      <c r="AT250" s="48"/>
      <c r="AU250" s="48"/>
      <c r="AV250" s="48"/>
      <c r="AW250" s="48"/>
      <c r="AX250" s="48"/>
      <c r="AY250" s="48"/>
      <c r="AZ250" s="48"/>
      <c r="BA250" s="48"/>
    </row>
    <row r="251" spans="1:53" hidden="1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48"/>
      <c r="AJ251" s="48"/>
      <c r="AK251" s="48"/>
      <c r="AL251" s="48"/>
      <c r="AM251" s="48"/>
      <c r="AN251" s="48"/>
      <c r="AO251" s="48"/>
      <c r="AP251" s="48"/>
      <c r="AQ251" s="48"/>
      <c r="AR251" s="48"/>
      <c r="AS251" s="48"/>
      <c r="AT251" s="48"/>
      <c r="AU251" s="48"/>
      <c r="AV251" s="48"/>
      <c r="AW251" s="48"/>
      <c r="AX251" s="48"/>
      <c r="AY251" s="48"/>
      <c r="AZ251" s="48"/>
      <c r="BA251" s="48"/>
    </row>
    <row r="252" spans="1:53" hidden="1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48"/>
      <c r="AJ252" s="48"/>
      <c r="AK252" s="48"/>
      <c r="AL252" s="48"/>
      <c r="AM252" s="48"/>
      <c r="AN252" s="48"/>
      <c r="AO252" s="48"/>
      <c r="AP252" s="48"/>
      <c r="AQ252" s="48"/>
      <c r="AR252" s="48"/>
      <c r="AS252" s="48"/>
      <c r="AT252" s="48"/>
      <c r="AU252" s="48"/>
      <c r="AV252" s="48"/>
      <c r="AW252" s="48"/>
      <c r="AX252" s="48"/>
      <c r="AY252" s="48"/>
      <c r="AZ252" s="48"/>
      <c r="BA252" s="48"/>
    </row>
    <row r="253" spans="1:53" hidden="1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48"/>
      <c r="AJ253" s="48"/>
      <c r="AK253" s="48"/>
      <c r="AL253" s="48"/>
      <c r="AM253" s="48"/>
      <c r="AN253" s="48"/>
      <c r="AO253" s="48"/>
      <c r="AP253" s="48"/>
      <c r="AQ253" s="48"/>
      <c r="AR253" s="48"/>
      <c r="AS253" s="48"/>
      <c r="AT253" s="48"/>
      <c r="AU253" s="48"/>
      <c r="AV253" s="48"/>
      <c r="AW253" s="48"/>
      <c r="AX253" s="48"/>
      <c r="AY253" s="48"/>
      <c r="AZ253" s="48"/>
      <c r="BA253" s="48"/>
    </row>
    <row r="254" spans="1:53" hidden="1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48"/>
      <c r="AJ254" s="48"/>
      <c r="AK254" s="48"/>
      <c r="AL254" s="48"/>
      <c r="AM254" s="48"/>
      <c r="AN254" s="48"/>
      <c r="AO254" s="48"/>
      <c r="AP254" s="48"/>
      <c r="AQ254" s="48"/>
      <c r="AR254" s="48"/>
      <c r="AS254" s="48"/>
      <c r="AT254" s="48"/>
      <c r="AU254" s="48"/>
      <c r="AV254" s="48"/>
      <c r="AW254" s="48"/>
      <c r="AX254" s="48"/>
      <c r="AY254" s="48"/>
      <c r="AZ254" s="48"/>
      <c r="BA254" s="48"/>
    </row>
    <row r="255" spans="1:53" hidden="1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48"/>
      <c r="AJ255" s="48"/>
      <c r="AK255" s="48"/>
      <c r="AL255" s="48"/>
      <c r="AM255" s="48"/>
      <c r="AN255" s="48"/>
      <c r="AO255" s="48"/>
      <c r="AP255" s="48"/>
      <c r="AQ255" s="48"/>
      <c r="AR255" s="48"/>
      <c r="AS255" s="48"/>
      <c r="AT255" s="48"/>
      <c r="AU255" s="48"/>
      <c r="AV255" s="48"/>
      <c r="AW255" s="48"/>
      <c r="AX255" s="48"/>
      <c r="AY255" s="48"/>
      <c r="AZ255" s="48"/>
      <c r="BA255" s="48"/>
    </row>
    <row r="256" spans="1:53" hidden="1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48"/>
      <c r="AJ256" s="48"/>
      <c r="AK256" s="48"/>
      <c r="AL256" s="48"/>
      <c r="AM256" s="48"/>
      <c r="AN256" s="48"/>
      <c r="AO256" s="48"/>
      <c r="AP256" s="48"/>
      <c r="AQ256" s="48"/>
      <c r="AR256" s="48"/>
      <c r="AS256" s="48"/>
      <c r="AT256" s="48"/>
      <c r="AU256" s="48"/>
      <c r="AV256" s="48"/>
      <c r="AW256" s="48"/>
      <c r="AX256" s="48"/>
      <c r="AY256" s="48"/>
      <c r="AZ256" s="48"/>
      <c r="BA256" s="48"/>
    </row>
    <row r="257" spans="1:53" hidden="1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48"/>
      <c r="AJ257" s="48"/>
      <c r="AK257" s="48"/>
      <c r="AL257" s="48"/>
      <c r="AM257" s="48"/>
      <c r="AN257" s="48"/>
      <c r="AO257" s="48"/>
      <c r="AP257" s="48"/>
      <c r="AQ257" s="48"/>
      <c r="AR257" s="48"/>
      <c r="AS257" s="48"/>
      <c r="AT257" s="48"/>
      <c r="AU257" s="48"/>
      <c r="AV257" s="48"/>
      <c r="AW257" s="48"/>
      <c r="AX257" s="48"/>
      <c r="AY257" s="48"/>
      <c r="AZ257" s="48"/>
      <c r="BA257" s="48"/>
    </row>
    <row r="258" spans="1:53" hidden="1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48"/>
      <c r="AJ258" s="48"/>
      <c r="AK258" s="48"/>
      <c r="AL258" s="48"/>
      <c r="AM258" s="48"/>
      <c r="AN258" s="48"/>
      <c r="AO258" s="48"/>
      <c r="AP258" s="48"/>
      <c r="AQ258" s="48"/>
      <c r="AR258" s="48"/>
      <c r="AS258" s="48"/>
      <c r="AT258" s="48"/>
      <c r="AU258" s="48"/>
      <c r="AV258" s="48"/>
      <c r="AW258" s="48"/>
      <c r="AX258" s="48"/>
      <c r="AY258" s="48"/>
      <c r="AZ258" s="48"/>
      <c r="BA258" s="48"/>
    </row>
    <row r="259" spans="1:53" hidden="1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48"/>
      <c r="AJ259" s="48"/>
      <c r="AK259" s="48"/>
      <c r="AL259" s="48"/>
      <c r="AM259" s="48"/>
      <c r="AN259" s="48"/>
      <c r="AO259" s="48"/>
      <c r="AP259" s="48"/>
      <c r="AQ259" s="48"/>
      <c r="AR259" s="48"/>
      <c r="AS259" s="48"/>
      <c r="AT259" s="48"/>
      <c r="AU259" s="48"/>
      <c r="AV259" s="48"/>
      <c r="AW259" s="48"/>
      <c r="AX259" s="48"/>
      <c r="AY259" s="48"/>
      <c r="AZ259" s="48"/>
      <c r="BA259" s="48"/>
    </row>
    <row r="260" spans="1:53" hidden="1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48"/>
      <c r="AJ260" s="48"/>
      <c r="AK260" s="48"/>
      <c r="AL260" s="48"/>
      <c r="AM260" s="48"/>
      <c r="AN260" s="48"/>
      <c r="AO260" s="48"/>
      <c r="AP260" s="48"/>
      <c r="AQ260" s="48"/>
      <c r="AR260" s="48"/>
      <c r="AS260" s="48"/>
      <c r="AT260" s="48"/>
      <c r="AU260" s="48"/>
      <c r="AV260" s="48"/>
      <c r="AW260" s="48"/>
      <c r="AX260" s="48"/>
      <c r="AY260" s="48"/>
      <c r="AZ260" s="48"/>
      <c r="BA260" s="48"/>
    </row>
    <row r="261" spans="1:53" hidden="1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48"/>
      <c r="AK261" s="48"/>
      <c r="AL261" s="48"/>
      <c r="AM261" s="48"/>
      <c r="AN261" s="48"/>
      <c r="AO261" s="48"/>
      <c r="AP261" s="48"/>
      <c r="AQ261" s="48"/>
      <c r="AR261" s="48"/>
      <c r="AS261" s="48"/>
      <c r="AT261" s="48"/>
      <c r="AU261" s="48"/>
      <c r="AV261" s="48"/>
      <c r="AW261" s="48"/>
      <c r="AX261" s="48"/>
      <c r="AY261" s="48"/>
      <c r="AZ261" s="48"/>
      <c r="BA261" s="48"/>
    </row>
    <row r="262" spans="1:53" hidden="1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48"/>
      <c r="AJ262" s="48"/>
      <c r="AK262" s="48"/>
      <c r="AL262" s="48"/>
      <c r="AM262" s="48"/>
      <c r="AN262" s="48"/>
      <c r="AO262" s="48"/>
      <c r="AP262" s="48"/>
      <c r="AQ262" s="48"/>
      <c r="AR262" s="48"/>
      <c r="AS262" s="48"/>
      <c r="AT262" s="48"/>
      <c r="AU262" s="48"/>
      <c r="AV262" s="48"/>
      <c r="AW262" s="48"/>
      <c r="AX262" s="48"/>
      <c r="AY262" s="48"/>
      <c r="AZ262" s="48"/>
      <c r="BA262" s="48"/>
    </row>
    <row r="263" spans="1:53" hidden="1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48"/>
      <c r="AJ263" s="48"/>
      <c r="AK263" s="48"/>
      <c r="AL263" s="48"/>
      <c r="AM263" s="48"/>
      <c r="AN263" s="48"/>
      <c r="AO263" s="48"/>
      <c r="AP263" s="48"/>
      <c r="AQ263" s="48"/>
      <c r="AR263" s="48"/>
      <c r="AS263" s="48"/>
      <c r="AT263" s="48"/>
      <c r="AU263" s="48"/>
      <c r="AV263" s="48"/>
      <c r="AW263" s="48"/>
      <c r="AX263" s="48"/>
      <c r="AY263" s="48"/>
      <c r="AZ263" s="48"/>
      <c r="BA263" s="48"/>
    </row>
    <row r="264" spans="1:53" hidden="1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48"/>
      <c r="AJ264" s="48"/>
      <c r="AK264" s="48"/>
      <c r="AL264" s="48"/>
      <c r="AM264" s="48"/>
      <c r="AN264" s="48"/>
      <c r="AO264" s="48"/>
      <c r="AP264" s="48"/>
      <c r="AQ264" s="48"/>
      <c r="AR264" s="48"/>
      <c r="AS264" s="48"/>
      <c r="AT264" s="48"/>
      <c r="AU264" s="48"/>
      <c r="AV264" s="48"/>
      <c r="AW264" s="48"/>
      <c r="AX264" s="48"/>
      <c r="AY264" s="48"/>
      <c r="AZ264" s="48"/>
      <c r="BA264" s="48"/>
    </row>
    <row r="265" spans="1:53" hidden="1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48"/>
      <c r="AJ265" s="48"/>
      <c r="AK265" s="48"/>
      <c r="AL265" s="48"/>
      <c r="AM265" s="48"/>
      <c r="AN265" s="48"/>
      <c r="AO265" s="48"/>
      <c r="AP265" s="48"/>
      <c r="AQ265" s="48"/>
      <c r="AR265" s="48"/>
      <c r="AS265" s="48"/>
      <c r="AT265" s="48"/>
      <c r="AU265" s="48"/>
      <c r="AV265" s="48"/>
      <c r="AW265" s="48"/>
      <c r="AX265" s="48"/>
      <c r="AY265" s="48"/>
      <c r="AZ265" s="48"/>
      <c r="BA265" s="48"/>
    </row>
    <row r="266" spans="1:53" hidden="1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48"/>
      <c r="AJ266" s="48"/>
      <c r="AK266" s="48"/>
      <c r="AL266" s="48"/>
      <c r="AM266" s="48"/>
      <c r="AN266" s="48"/>
      <c r="AO266" s="48"/>
      <c r="AP266" s="48"/>
      <c r="AQ266" s="48"/>
      <c r="AR266" s="48"/>
      <c r="AS266" s="48"/>
      <c r="AT266" s="48"/>
      <c r="AU266" s="48"/>
      <c r="AV266" s="48"/>
      <c r="AW266" s="48"/>
      <c r="AX266" s="48"/>
      <c r="AY266" s="48"/>
      <c r="AZ266" s="48"/>
      <c r="BA266" s="48"/>
    </row>
    <row r="267" spans="1:53" hidden="1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48"/>
      <c r="AJ267" s="48"/>
      <c r="AK267" s="48"/>
      <c r="AL267" s="48"/>
      <c r="AM267" s="48"/>
      <c r="AN267" s="48"/>
      <c r="AO267" s="48"/>
      <c r="AP267" s="48"/>
      <c r="AQ267" s="48"/>
      <c r="AR267" s="48"/>
      <c r="AS267" s="48"/>
      <c r="AT267" s="48"/>
      <c r="AU267" s="48"/>
      <c r="AV267" s="48"/>
      <c r="AW267" s="48"/>
      <c r="AX267" s="48"/>
      <c r="AY267" s="48"/>
      <c r="AZ267" s="48"/>
      <c r="BA267" s="48"/>
    </row>
    <row r="268" spans="1:53" hidden="1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48"/>
      <c r="AJ268" s="48"/>
      <c r="AK268" s="48"/>
      <c r="AL268" s="48"/>
      <c r="AM268" s="48"/>
      <c r="AN268" s="48"/>
      <c r="AO268" s="48"/>
      <c r="AP268" s="48"/>
      <c r="AQ268" s="48"/>
      <c r="AR268" s="48"/>
      <c r="AS268" s="48"/>
      <c r="AT268" s="48"/>
      <c r="AU268" s="48"/>
      <c r="AV268" s="48"/>
      <c r="AW268" s="48"/>
      <c r="AX268" s="48"/>
      <c r="AY268" s="48"/>
      <c r="AZ268" s="48"/>
      <c r="BA268" s="48"/>
    </row>
    <row r="269" spans="1:53" hidden="1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48"/>
      <c r="AJ269" s="48"/>
      <c r="AK269" s="48"/>
      <c r="AL269" s="48"/>
      <c r="AM269" s="48"/>
      <c r="AN269" s="48"/>
      <c r="AO269" s="48"/>
      <c r="AP269" s="48"/>
      <c r="AQ269" s="48"/>
      <c r="AR269" s="48"/>
      <c r="AS269" s="48"/>
      <c r="AT269" s="48"/>
      <c r="AU269" s="48"/>
      <c r="AV269" s="48"/>
      <c r="AW269" s="48"/>
      <c r="AX269" s="48"/>
      <c r="AY269" s="48"/>
      <c r="AZ269" s="48"/>
      <c r="BA269" s="48"/>
    </row>
    <row r="270" spans="1:53" hidden="1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  <c r="AZ270" s="48"/>
      <c r="BA270" s="48"/>
    </row>
    <row r="271" spans="1:53" hidden="1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48"/>
      <c r="AJ271" s="48"/>
      <c r="AK271" s="48"/>
      <c r="AL271" s="48"/>
      <c r="AM271" s="48"/>
      <c r="AN271" s="48"/>
      <c r="AO271" s="48"/>
      <c r="AP271" s="48"/>
      <c r="AQ271" s="48"/>
      <c r="AR271" s="48"/>
      <c r="AS271" s="48"/>
      <c r="AT271" s="48"/>
      <c r="AU271" s="48"/>
      <c r="AV271" s="48"/>
      <c r="AW271" s="48"/>
      <c r="AX271" s="48"/>
      <c r="AY271" s="48"/>
      <c r="AZ271" s="48"/>
      <c r="BA271" s="48"/>
    </row>
    <row r="272" spans="1:53" hidden="1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48"/>
      <c r="AJ272" s="48"/>
      <c r="AK272" s="48"/>
      <c r="AL272" s="48"/>
      <c r="AM272" s="48"/>
      <c r="AN272" s="48"/>
      <c r="AO272" s="48"/>
      <c r="AP272" s="48"/>
      <c r="AQ272" s="48"/>
      <c r="AR272" s="48"/>
      <c r="AS272" s="48"/>
      <c r="AT272" s="48"/>
      <c r="AU272" s="48"/>
      <c r="AV272" s="48"/>
      <c r="AW272" s="48"/>
      <c r="AX272" s="48"/>
      <c r="AY272" s="48"/>
      <c r="AZ272" s="48"/>
      <c r="BA272" s="48"/>
    </row>
    <row r="273" spans="1:53" hidden="1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48"/>
      <c r="AJ273" s="48"/>
      <c r="AK273" s="48"/>
      <c r="AL273" s="48"/>
      <c r="AM273" s="48"/>
      <c r="AN273" s="48"/>
      <c r="AO273" s="48"/>
      <c r="AP273" s="48"/>
      <c r="AQ273" s="48"/>
      <c r="AR273" s="48"/>
      <c r="AS273" s="48"/>
      <c r="AT273" s="48"/>
      <c r="AU273" s="48"/>
      <c r="AV273" s="48"/>
      <c r="AW273" s="48"/>
      <c r="AX273" s="48"/>
      <c r="AY273" s="48"/>
      <c r="AZ273" s="48"/>
      <c r="BA273" s="48"/>
    </row>
    <row r="274" spans="1:53" hidden="1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48"/>
      <c r="AJ274" s="48"/>
      <c r="AK274" s="48"/>
      <c r="AL274" s="48"/>
      <c r="AM274" s="48"/>
      <c r="AN274" s="48"/>
      <c r="AO274" s="48"/>
      <c r="AP274" s="48"/>
      <c r="AQ274" s="48"/>
      <c r="AR274" s="48"/>
      <c r="AS274" s="48"/>
      <c r="AT274" s="48"/>
      <c r="AU274" s="48"/>
      <c r="AV274" s="48"/>
      <c r="AW274" s="48"/>
      <c r="AX274" s="48"/>
      <c r="AY274" s="48"/>
      <c r="AZ274" s="48"/>
      <c r="BA274" s="48"/>
    </row>
    <row r="275" spans="1:53" hidden="1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48"/>
      <c r="AJ275" s="48"/>
      <c r="AK275" s="48"/>
      <c r="AL275" s="48"/>
      <c r="AM275" s="48"/>
      <c r="AN275" s="48"/>
      <c r="AO275" s="48"/>
      <c r="AP275" s="48"/>
      <c r="AQ275" s="48"/>
      <c r="AR275" s="48"/>
      <c r="AS275" s="48"/>
      <c r="AT275" s="48"/>
      <c r="AU275" s="48"/>
      <c r="AV275" s="48"/>
      <c r="AW275" s="48"/>
      <c r="AX275" s="48"/>
      <c r="AY275" s="48"/>
      <c r="AZ275" s="48"/>
      <c r="BA275" s="48"/>
    </row>
    <row r="276" spans="1:53" hidden="1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  <c r="AJ276" s="48"/>
      <c r="AK276" s="48"/>
      <c r="AL276" s="48"/>
      <c r="AM276" s="48"/>
      <c r="AN276" s="48"/>
      <c r="AO276" s="48"/>
      <c r="AP276" s="48"/>
      <c r="AQ276" s="48"/>
      <c r="AR276" s="48"/>
      <c r="AS276" s="48"/>
      <c r="AT276" s="48"/>
      <c r="AU276" s="48"/>
      <c r="AV276" s="48"/>
      <c r="AW276" s="48"/>
      <c r="AX276" s="48"/>
      <c r="AY276" s="48"/>
      <c r="AZ276" s="48"/>
      <c r="BA276" s="48"/>
    </row>
    <row r="277" spans="1:53" hidden="1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48"/>
      <c r="AJ277" s="48"/>
      <c r="AK277" s="48"/>
      <c r="AL277" s="48"/>
      <c r="AM277" s="48"/>
      <c r="AN277" s="48"/>
      <c r="AO277" s="48"/>
      <c r="AP277" s="48"/>
      <c r="AQ277" s="48"/>
      <c r="AR277" s="48"/>
      <c r="AS277" s="48"/>
      <c r="AT277" s="48"/>
      <c r="AU277" s="48"/>
      <c r="AV277" s="48"/>
      <c r="AW277" s="48"/>
      <c r="AX277" s="48"/>
      <c r="AY277" s="48"/>
      <c r="AZ277" s="48"/>
      <c r="BA277" s="48"/>
    </row>
    <row r="278" spans="1:53" hidden="1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48"/>
      <c r="AJ278" s="48"/>
      <c r="AK278" s="48"/>
      <c r="AL278" s="48"/>
      <c r="AM278" s="48"/>
      <c r="AN278" s="48"/>
      <c r="AO278" s="48"/>
      <c r="AP278" s="48"/>
      <c r="AQ278" s="48"/>
      <c r="AR278" s="48"/>
      <c r="AS278" s="48"/>
      <c r="AT278" s="48"/>
      <c r="AU278" s="48"/>
      <c r="AV278" s="48"/>
      <c r="AW278" s="48"/>
      <c r="AX278" s="48"/>
      <c r="AY278" s="48"/>
      <c r="AZ278" s="48"/>
      <c r="BA278" s="48"/>
    </row>
    <row r="279" spans="1:53" hidden="1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48"/>
      <c r="AJ279" s="48"/>
      <c r="AK279" s="48"/>
      <c r="AL279" s="48"/>
      <c r="AM279" s="48"/>
      <c r="AN279" s="48"/>
      <c r="AO279" s="48"/>
      <c r="AP279" s="48"/>
      <c r="AQ279" s="48"/>
      <c r="AR279" s="48"/>
      <c r="AS279" s="48"/>
      <c r="AT279" s="48"/>
      <c r="AU279" s="48"/>
      <c r="AV279" s="48"/>
      <c r="AW279" s="48"/>
      <c r="AX279" s="48"/>
      <c r="AY279" s="48"/>
      <c r="AZ279" s="48"/>
      <c r="BA279" s="48"/>
    </row>
    <row r="280" spans="1:53" hidden="1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48"/>
      <c r="AJ280" s="48"/>
      <c r="AK280" s="48"/>
      <c r="AL280" s="48"/>
      <c r="AM280" s="48"/>
      <c r="AN280" s="48"/>
      <c r="AO280" s="48"/>
      <c r="AP280" s="48"/>
      <c r="AQ280" s="48"/>
      <c r="AR280" s="48"/>
      <c r="AS280" s="48"/>
      <c r="AT280" s="48"/>
      <c r="AU280" s="48"/>
      <c r="AV280" s="48"/>
      <c r="AW280" s="48"/>
      <c r="AX280" s="48"/>
      <c r="AY280" s="48"/>
      <c r="AZ280" s="48"/>
      <c r="BA280" s="48"/>
    </row>
    <row r="281" spans="1:53" hidden="1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48"/>
      <c r="AJ281" s="48"/>
      <c r="AK281" s="48"/>
      <c r="AL281" s="48"/>
      <c r="AM281" s="48"/>
      <c r="AN281" s="48"/>
      <c r="AO281" s="48"/>
      <c r="AP281" s="48"/>
      <c r="AQ281" s="48"/>
      <c r="AR281" s="48"/>
      <c r="AS281" s="48"/>
      <c r="AT281" s="48"/>
      <c r="AU281" s="48"/>
      <c r="AV281" s="48"/>
      <c r="AW281" s="48"/>
      <c r="AX281" s="48"/>
      <c r="AY281" s="48"/>
      <c r="AZ281" s="48"/>
      <c r="BA281" s="48"/>
    </row>
    <row r="282" spans="1:53" hidden="1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48"/>
      <c r="AJ282" s="48"/>
      <c r="AK282" s="48"/>
      <c r="AL282" s="48"/>
      <c r="AM282" s="48"/>
      <c r="AN282" s="48"/>
      <c r="AO282" s="48"/>
      <c r="AP282" s="48"/>
      <c r="AQ282" s="48"/>
      <c r="AR282" s="48"/>
      <c r="AS282" s="48"/>
      <c r="AT282" s="48"/>
      <c r="AU282" s="48"/>
      <c r="AV282" s="48"/>
      <c r="AW282" s="48"/>
      <c r="AX282" s="48"/>
      <c r="AY282" s="48"/>
      <c r="AZ282" s="48"/>
      <c r="BA282" s="48"/>
    </row>
    <row r="283" spans="1:53" hidden="1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48"/>
      <c r="AJ283" s="48"/>
      <c r="AK283" s="48"/>
      <c r="AL283" s="48"/>
      <c r="AM283" s="48"/>
      <c r="AN283" s="48"/>
      <c r="AO283" s="48"/>
      <c r="AP283" s="48"/>
      <c r="AQ283" s="48"/>
      <c r="AR283" s="48"/>
      <c r="AS283" s="48"/>
      <c r="AT283" s="48"/>
      <c r="AU283" s="48"/>
      <c r="AV283" s="48"/>
      <c r="AW283" s="48"/>
      <c r="AX283" s="48"/>
      <c r="AY283" s="48"/>
      <c r="AZ283" s="48"/>
      <c r="BA283" s="48"/>
    </row>
    <row r="284" spans="1:53" hidden="1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48"/>
      <c r="AJ284" s="48"/>
      <c r="AK284" s="48"/>
      <c r="AL284" s="48"/>
      <c r="AM284" s="48"/>
      <c r="AN284" s="48"/>
      <c r="AO284" s="48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  <c r="AZ284" s="48"/>
      <c r="BA284" s="48"/>
    </row>
    <row r="285" spans="1:53" hidden="1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48"/>
      <c r="AJ285" s="48"/>
      <c r="AK285" s="48"/>
      <c r="AL285" s="48"/>
      <c r="AM285" s="48"/>
      <c r="AN285" s="48"/>
      <c r="AO285" s="48"/>
      <c r="AP285" s="48"/>
      <c r="AQ285" s="48"/>
      <c r="AR285" s="48"/>
      <c r="AS285" s="48"/>
      <c r="AT285" s="48"/>
      <c r="AU285" s="48"/>
      <c r="AV285" s="48"/>
      <c r="AW285" s="48"/>
      <c r="AX285" s="48"/>
      <c r="AY285" s="48"/>
      <c r="AZ285" s="48"/>
      <c r="BA285" s="48"/>
    </row>
    <row r="286" spans="1:53" hidden="1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48"/>
      <c r="AJ286" s="48"/>
      <c r="AK286" s="48"/>
      <c r="AL286" s="48"/>
      <c r="AM286" s="48"/>
      <c r="AN286" s="48"/>
      <c r="AO286" s="48"/>
      <c r="AP286" s="48"/>
      <c r="AQ286" s="48"/>
      <c r="AR286" s="48"/>
      <c r="AS286" s="48"/>
      <c r="AT286" s="48"/>
      <c r="AU286" s="48"/>
      <c r="AV286" s="48"/>
      <c r="AW286" s="48"/>
      <c r="AX286" s="48"/>
      <c r="AY286" s="48"/>
      <c r="AZ286" s="48"/>
      <c r="BA286" s="48"/>
    </row>
    <row r="287" spans="1:53" hidden="1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48"/>
      <c r="AJ287" s="48"/>
      <c r="AK287" s="48"/>
      <c r="AL287" s="48"/>
      <c r="AM287" s="48"/>
      <c r="AN287" s="48"/>
      <c r="AO287" s="48"/>
      <c r="AP287" s="48"/>
      <c r="AQ287" s="48"/>
      <c r="AR287" s="48"/>
      <c r="AS287" s="48"/>
      <c r="AT287" s="48"/>
      <c r="AU287" s="48"/>
      <c r="AV287" s="48"/>
      <c r="AW287" s="48"/>
      <c r="AX287" s="48"/>
      <c r="AY287" s="48"/>
      <c r="AZ287" s="48"/>
      <c r="BA287" s="48"/>
    </row>
    <row r="288" spans="1:53" hidden="1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48"/>
      <c r="AJ288" s="48"/>
      <c r="AK288" s="48"/>
      <c r="AL288" s="48"/>
      <c r="AM288" s="48"/>
      <c r="AN288" s="48"/>
      <c r="AO288" s="48"/>
      <c r="AP288" s="48"/>
      <c r="AQ288" s="48"/>
      <c r="AR288" s="48"/>
      <c r="AS288" s="48"/>
      <c r="AT288" s="48"/>
      <c r="AU288" s="48"/>
      <c r="AV288" s="48"/>
      <c r="AW288" s="48"/>
      <c r="AX288" s="48"/>
      <c r="AY288" s="48"/>
      <c r="AZ288" s="48"/>
      <c r="BA288" s="48"/>
    </row>
    <row r="289" spans="1:53" hidden="1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48"/>
      <c r="AJ289" s="48"/>
      <c r="AK289" s="48"/>
      <c r="AL289" s="48"/>
      <c r="AM289" s="48"/>
      <c r="AN289" s="48"/>
      <c r="AO289" s="48"/>
      <c r="AP289" s="48"/>
      <c r="AQ289" s="48"/>
      <c r="AR289" s="48"/>
      <c r="AS289" s="48"/>
      <c r="AT289" s="48"/>
      <c r="AU289" s="48"/>
      <c r="AV289" s="48"/>
      <c r="AW289" s="48"/>
      <c r="AX289" s="48"/>
      <c r="AY289" s="48"/>
      <c r="AZ289" s="48"/>
      <c r="BA289" s="48"/>
    </row>
    <row r="290" spans="1:53" hidden="1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48"/>
      <c r="AJ290" s="48"/>
      <c r="AK290" s="48"/>
      <c r="AL290" s="48"/>
      <c r="AM290" s="48"/>
      <c r="AN290" s="48"/>
      <c r="AO290" s="48"/>
      <c r="AP290" s="48"/>
      <c r="AQ290" s="48"/>
      <c r="AR290" s="48"/>
      <c r="AS290" s="48"/>
      <c r="AT290" s="48"/>
      <c r="AU290" s="48"/>
      <c r="AV290" s="48"/>
      <c r="AW290" s="48"/>
      <c r="AX290" s="48"/>
      <c r="AY290" s="48"/>
      <c r="AZ290" s="48"/>
      <c r="BA290" s="48"/>
    </row>
    <row r="291" spans="1:53" hidden="1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48"/>
      <c r="AJ291" s="48"/>
      <c r="AK291" s="48"/>
      <c r="AL291" s="48"/>
      <c r="AM291" s="48"/>
      <c r="AN291" s="48"/>
      <c r="AO291" s="48"/>
      <c r="AP291" s="48"/>
      <c r="AQ291" s="48"/>
      <c r="AR291" s="48"/>
      <c r="AS291" s="48"/>
      <c r="AT291" s="48"/>
      <c r="AU291" s="48"/>
      <c r="AV291" s="48"/>
      <c r="AW291" s="48"/>
      <c r="AX291" s="48"/>
      <c r="AY291" s="48"/>
      <c r="AZ291" s="48"/>
      <c r="BA291" s="48"/>
    </row>
    <row r="292" spans="1:53" hidden="1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48"/>
      <c r="AJ292" s="48"/>
      <c r="AK292" s="48"/>
      <c r="AL292" s="48"/>
      <c r="AM292" s="48"/>
      <c r="AN292" s="48"/>
      <c r="AO292" s="48"/>
      <c r="AP292" s="48"/>
      <c r="AQ292" s="48"/>
      <c r="AR292" s="48"/>
      <c r="AS292" s="48"/>
      <c r="AT292" s="48"/>
      <c r="AU292" s="48"/>
      <c r="AV292" s="48"/>
      <c r="AW292" s="48"/>
      <c r="AX292" s="48"/>
      <c r="AY292" s="48"/>
      <c r="AZ292" s="48"/>
      <c r="BA292" s="48"/>
    </row>
    <row r="293" spans="1:53" hidden="1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48"/>
      <c r="AJ293" s="48"/>
      <c r="AK293" s="48"/>
      <c r="AL293" s="48"/>
      <c r="AM293" s="48"/>
      <c r="AN293" s="48"/>
      <c r="AO293" s="48"/>
      <c r="AP293" s="48"/>
      <c r="AQ293" s="48"/>
      <c r="AR293" s="48"/>
      <c r="AS293" s="48"/>
      <c r="AT293" s="48"/>
      <c r="AU293" s="48"/>
      <c r="AV293" s="48"/>
      <c r="AW293" s="48"/>
      <c r="AX293" s="48"/>
      <c r="AY293" s="48"/>
      <c r="AZ293" s="48"/>
      <c r="BA293" s="48"/>
    </row>
    <row r="294" spans="1:53" hidden="1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48"/>
      <c r="AJ294" s="48"/>
      <c r="AK294" s="48"/>
      <c r="AL294" s="48"/>
      <c r="AM294" s="48"/>
      <c r="AN294" s="48"/>
      <c r="AO294" s="48"/>
      <c r="AP294" s="48"/>
      <c r="AQ294" s="48"/>
      <c r="AR294" s="48"/>
      <c r="AS294" s="48"/>
      <c r="AT294" s="48"/>
      <c r="AU294" s="48"/>
      <c r="AV294" s="48"/>
      <c r="AW294" s="48"/>
      <c r="AX294" s="48"/>
      <c r="AY294" s="48"/>
      <c r="AZ294" s="48"/>
      <c r="BA294" s="48"/>
    </row>
    <row r="295" spans="1:53" hidden="1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48"/>
      <c r="AJ295" s="48"/>
      <c r="AK295" s="48"/>
      <c r="AL295" s="48"/>
      <c r="AM295" s="48"/>
      <c r="AN295" s="48"/>
      <c r="AO295" s="48"/>
      <c r="AP295" s="48"/>
      <c r="AQ295" s="48"/>
      <c r="AR295" s="48"/>
      <c r="AS295" s="48"/>
      <c r="AT295" s="48"/>
      <c r="AU295" s="48"/>
      <c r="AV295" s="48"/>
      <c r="AW295" s="48"/>
      <c r="AX295" s="48"/>
      <c r="AY295" s="48"/>
      <c r="AZ295" s="48"/>
      <c r="BA295" s="48"/>
    </row>
    <row r="296" spans="1:53" hidden="1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48"/>
      <c r="AJ296" s="48"/>
      <c r="AK296" s="48"/>
      <c r="AL296" s="48"/>
      <c r="AM296" s="48"/>
      <c r="AN296" s="48"/>
      <c r="AO296" s="48"/>
      <c r="AP296" s="48"/>
      <c r="AQ296" s="48"/>
      <c r="AR296" s="48"/>
      <c r="AS296" s="48"/>
      <c r="AT296" s="48"/>
      <c r="AU296" s="48"/>
      <c r="AV296" s="48"/>
      <c r="AW296" s="48"/>
      <c r="AX296" s="48"/>
      <c r="AY296" s="48"/>
      <c r="AZ296" s="48"/>
      <c r="BA296" s="48"/>
    </row>
    <row r="297" spans="1:53" hidden="1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48"/>
      <c r="AJ297" s="48"/>
      <c r="AK297" s="48"/>
      <c r="AL297" s="48"/>
      <c r="AM297" s="48"/>
      <c r="AN297" s="48"/>
      <c r="AO297" s="48"/>
      <c r="AP297" s="48"/>
      <c r="AQ297" s="48"/>
      <c r="AR297" s="48"/>
      <c r="AS297" s="48"/>
      <c r="AT297" s="48"/>
      <c r="AU297" s="48"/>
      <c r="AV297" s="48"/>
      <c r="AW297" s="48"/>
      <c r="AX297" s="48"/>
      <c r="AY297" s="48"/>
      <c r="AZ297" s="48"/>
      <c r="BA297" s="48"/>
    </row>
    <row r="298" spans="1:53" hidden="1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8"/>
      <c r="AH298" s="48"/>
      <c r="AI298" s="48"/>
      <c r="AJ298" s="48"/>
      <c r="AK298" s="48"/>
      <c r="AL298" s="48"/>
      <c r="AM298" s="48"/>
      <c r="AN298" s="48"/>
      <c r="AO298" s="48"/>
      <c r="AP298" s="48"/>
      <c r="AQ298" s="48"/>
      <c r="AR298" s="48"/>
      <c r="AS298" s="48"/>
      <c r="AT298" s="48"/>
      <c r="AU298" s="48"/>
      <c r="AV298" s="48"/>
      <c r="AW298" s="48"/>
      <c r="AX298" s="48"/>
      <c r="AY298" s="48"/>
      <c r="AZ298" s="48"/>
      <c r="BA298" s="48"/>
    </row>
    <row r="299" spans="1:53" hidden="1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8"/>
      <c r="AH299" s="48"/>
      <c r="AI299" s="48"/>
      <c r="AJ299" s="48"/>
      <c r="AK299" s="48"/>
      <c r="AL299" s="48"/>
      <c r="AM299" s="48"/>
      <c r="AN299" s="48"/>
      <c r="AO299" s="48"/>
      <c r="AP299" s="48"/>
      <c r="AQ299" s="48"/>
      <c r="AR299" s="48"/>
      <c r="AS299" s="48"/>
      <c r="AT299" s="48"/>
      <c r="AU299" s="48"/>
      <c r="AV299" s="48"/>
      <c r="AW299" s="48"/>
      <c r="AX299" s="48"/>
      <c r="AY299" s="48"/>
      <c r="AZ299" s="48"/>
      <c r="BA299" s="48"/>
    </row>
    <row r="300" spans="1:53" hidden="1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8"/>
      <c r="AH300" s="48"/>
      <c r="AI300" s="48"/>
      <c r="AJ300" s="48"/>
      <c r="AK300" s="48"/>
      <c r="AL300" s="48"/>
      <c r="AM300" s="48"/>
      <c r="AN300" s="48"/>
      <c r="AO300" s="48"/>
      <c r="AP300" s="48"/>
      <c r="AQ300" s="48"/>
      <c r="AR300" s="48"/>
      <c r="AS300" s="48"/>
      <c r="AT300" s="48"/>
      <c r="AU300" s="48"/>
      <c r="AV300" s="48"/>
      <c r="AW300" s="48"/>
      <c r="AX300" s="48"/>
      <c r="AY300" s="48"/>
      <c r="AZ300" s="48"/>
      <c r="BA300" s="48"/>
    </row>
    <row r="301" spans="1:53" hidden="1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  <c r="AB301" s="48"/>
      <c r="AC301" s="48"/>
      <c r="AD301" s="48"/>
      <c r="AE301" s="48"/>
      <c r="AF301" s="48"/>
      <c r="AG301" s="48"/>
      <c r="AH301" s="48"/>
      <c r="AI301" s="48"/>
      <c r="AJ301" s="48"/>
      <c r="AK301" s="48"/>
      <c r="AL301" s="48"/>
      <c r="AM301" s="48"/>
      <c r="AN301" s="48"/>
      <c r="AO301" s="48"/>
      <c r="AP301" s="48"/>
      <c r="AQ301" s="48"/>
      <c r="AR301" s="48"/>
      <c r="AS301" s="48"/>
      <c r="AT301" s="48"/>
      <c r="AU301" s="48"/>
      <c r="AV301" s="48"/>
      <c r="AW301" s="48"/>
      <c r="AX301" s="48"/>
      <c r="AY301" s="48"/>
      <c r="AZ301" s="48"/>
      <c r="BA301" s="48"/>
    </row>
    <row r="302" spans="1:53" hidden="1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48"/>
      <c r="AC302" s="48"/>
      <c r="AD302" s="48"/>
      <c r="AE302" s="48"/>
      <c r="AF302" s="48"/>
      <c r="AG302" s="48"/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48"/>
      <c r="AS302" s="48"/>
      <c r="AT302" s="48"/>
      <c r="AU302" s="48"/>
      <c r="AV302" s="48"/>
      <c r="AW302" s="48"/>
      <c r="AX302" s="48"/>
      <c r="AY302" s="48"/>
      <c r="AZ302" s="48"/>
      <c r="BA302" s="48"/>
    </row>
    <row r="303" spans="1:53" hidden="1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  <c r="AB303" s="48"/>
      <c r="AC303" s="48"/>
      <c r="AD303" s="48"/>
      <c r="AE303" s="48"/>
      <c r="AF303" s="48"/>
      <c r="AG303" s="48"/>
      <c r="AH303" s="48"/>
      <c r="AI303" s="48"/>
      <c r="AJ303" s="48"/>
      <c r="AK303" s="48"/>
      <c r="AL303" s="48"/>
      <c r="AM303" s="48"/>
      <c r="AN303" s="48"/>
      <c r="AO303" s="48"/>
      <c r="AP303" s="48"/>
      <c r="AQ303" s="48"/>
      <c r="AR303" s="48"/>
      <c r="AS303" s="48"/>
      <c r="AT303" s="48"/>
      <c r="AU303" s="48"/>
      <c r="AV303" s="48"/>
      <c r="AW303" s="48"/>
      <c r="AX303" s="48"/>
      <c r="AY303" s="48"/>
      <c r="AZ303" s="48"/>
      <c r="BA303" s="48"/>
    </row>
    <row r="304" spans="1:53" hidden="1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  <c r="AB304" s="48"/>
      <c r="AC304" s="48"/>
      <c r="AD304" s="48"/>
      <c r="AE304" s="48"/>
      <c r="AF304" s="48"/>
      <c r="AG304" s="48"/>
      <c r="AH304" s="48"/>
      <c r="AI304" s="48"/>
      <c r="AJ304" s="48"/>
      <c r="AK304" s="48"/>
      <c r="AL304" s="48"/>
      <c r="AM304" s="48"/>
      <c r="AN304" s="48"/>
      <c r="AO304" s="48"/>
      <c r="AP304" s="48"/>
      <c r="AQ304" s="48"/>
      <c r="AR304" s="48"/>
      <c r="AS304" s="48"/>
      <c r="AT304" s="48"/>
      <c r="AU304" s="48"/>
      <c r="AV304" s="48"/>
      <c r="AW304" s="48"/>
      <c r="AX304" s="48"/>
      <c r="AY304" s="48"/>
      <c r="AZ304" s="48"/>
      <c r="BA304" s="48"/>
    </row>
    <row r="305" spans="1:53" hidden="1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  <c r="AB305" s="48"/>
      <c r="AC305" s="48"/>
      <c r="AD305" s="48"/>
      <c r="AE305" s="48"/>
      <c r="AF305" s="48"/>
      <c r="AG305" s="48"/>
      <c r="AH305" s="48"/>
      <c r="AI305" s="48"/>
      <c r="AJ305" s="48"/>
      <c r="AK305" s="48"/>
      <c r="AL305" s="48"/>
      <c r="AM305" s="48"/>
      <c r="AN305" s="48"/>
      <c r="AO305" s="48"/>
      <c r="AP305" s="48"/>
      <c r="AQ305" s="48"/>
      <c r="AR305" s="48"/>
      <c r="AS305" s="48"/>
      <c r="AT305" s="48"/>
      <c r="AU305" s="48"/>
      <c r="AV305" s="48"/>
      <c r="AW305" s="48"/>
      <c r="AX305" s="48"/>
      <c r="AY305" s="48"/>
      <c r="AZ305" s="48"/>
      <c r="BA305" s="48"/>
    </row>
    <row r="306" spans="1:53" hidden="1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8"/>
      <c r="AH306" s="48"/>
      <c r="AI306" s="48"/>
      <c r="AJ306" s="48"/>
      <c r="AK306" s="48"/>
      <c r="AL306" s="48"/>
      <c r="AM306" s="48"/>
      <c r="AN306" s="48"/>
      <c r="AO306" s="48"/>
      <c r="AP306" s="48"/>
      <c r="AQ306" s="48"/>
      <c r="AR306" s="48"/>
      <c r="AS306" s="48"/>
      <c r="AT306" s="48"/>
      <c r="AU306" s="48"/>
      <c r="AV306" s="48"/>
      <c r="AW306" s="48"/>
      <c r="AX306" s="48"/>
      <c r="AY306" s="48"/>
      <c r="AZ306" s="48"/>
      <c r="BA306" s="48"/>
    </row>
    <row r="307" spans="1:53" hidden="1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8"/>
      <c r="AH307" s="48"/>
      <c r="AI307" s="48"/>
      <c r="AJ307" s="48"/>
      <c r="AK307" s="48"/>
      <c r="AL307" s="48"/>
      <c r="AM307" s="48"/>
      <c r="AN307" s="48"/>
      <c r="AO307" s="48"/>
      <c r="AP307" s="48"/>
      <c r="AQ307" s="48"/>
      <c r="AR307" s="48"/>
      <c r="AS307" s="48"/>
      <c r="AT307" s="48"/>
      <c r="AU307" s="48"/>
      <c r="AV307" s="48"/>
      <c r="AW307" s="48"/>
      <c r="AX307" s="48"/>
      <c r="AY307" s="48"/>
      <c r="AZ307" s="48"/>
      <c r="BA307" s="48"/>
    </row>
    <row r="308" spans="1:53" hidden="1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8"/>
      <c r="AH308" s="48"/>
      <c r="AI308" s="48"/>
      <c r="AJ308" s="48"/>
      <c r="AK308" s="48"/>
      <c r="AL308" s="48"/>
      <c r="AM308" s="48"/>
      <c r="AN308" s="48"/>
      <c r="AO308" s="48"/>
      <c r="AP308" s="48"/>
      <c r="AQ308" s="48"/>
      <c r="AR308" s="48"/>
      <c r="AS308" s="48"/>
      <c r="AT308" s="48"/>
      <c r="AU308" s="48"/>
      <c r="AV308" s="48"/>
      <c r="AW308" s="48"/>
      <c r="AX308" s="48"/>
      <c r="AY308" s="48"/>
      <c r="AZ308" s="48"/>
      <c r="BA308" s="48"/>
    </row>
    <row r="309" spans="1:53" hidden="1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48"/>
      <c r="AC309" s="48"/>
      <c r="AD309" s="48"/>
      <c r="AE309" s="48"/>
      <c r="AF309" s="48"/>
      <c r="AG309" s="48"/>
      <c r="AH309" s="48"/>
      <c r="AI309" s="48"/>
      <c r="AJ309" s="48"/>
      <c r="AK309" s="48"/>
      <c r="AL309" s="48"/>
      <c r="AM309" s="48"/>
      <c r="AN309" s="48"/>
      <c r="AO309" s="48"/>
      <c r="AP309" s="48"/>
      <c r="AQ309" s="48"/>
      <c r="AR309" s="48"/>
      <c r="AS309" s="48"/>
      <c r="AT309" s="48"/>
      <c r="AU309" s="48"/>
      <c r="AV309" s="48"/>
      <c r="AW309" s="48"/>
      <c r="AX309" s="48"/>
      <c r="AY309" s="48"/>
      <c r="AZ309" s="48"/>
      <c r="BA309" s="48"/>
    </row>
    <row r="310" spans="1:53" hidden="1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48"/>
      <c r="AC310" s="48"/>
      <c r="AD310" s="48"/>
      <c r="AE310" s="48"/>
      <c r="AF310" s="48"/>
      <c r="AG310" s="48"/>
      <c r="AH310" s="48"/>
      <c r="AI310" s="48"/>
      <c r="AJ310" s="48"/>
      <c r="AK310" s="48"/>
      <c r="AL310" s="48"/>
      <c r="AM310" s="48"/>
      <c r="AN310" s="48"/>
      <c r="AO310" s="48"/>
      <c r="AP310" s="48"/>
      <c r="AQ310" s="48"/>
      <c r="AR310" s="48"/>
      <c r="AS310" s="48"/>
      <c r="AT310" s="48"/>
      <c r="AU310" s="48"/>
      <c r="AV310" s="48"/>
      <c r="AW310" s="48"/>
      <c r="AX310" s="48"/>
      <c r="AY310" s="48"/>
      <c r="AZ310" s="48"/>
      <c r="BA310" s="48"/>
    </row>
    <row r="311" spans="1:53" hidden="1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48"/>
      <c r="AC311" s="48"/>
      <c r="AD311" s="48"/>
      <c r="AE311" s="48"/>
      <c r="AF311" s="48"/>
      <c r="AG311" s="48"/>
      <c r="AH311" s="48"/>
      <c r="AI311" s="48"/>
      <c r="AJ311" s="48"/>
      <c r="AK311" s="48"/>
      <c r="AL311" s="48"/>
      <c r="AM311" s="48"/>
      <c r="AN311" s="48"/>
      <c r="AO311" s="48"/>
      <c r="AP311" s="48"/>
      <c r="AQ311" s="48"/>
      <c r="AR311" s="48"/>
      <c r="AS311" s="48"/>
      <c r="AT311" s="48"/>
      <c r="AU311" s="48"/>
      <c r="AV311" s="48"/>
      <c r="AW311" s="48"/>
      <c r="AX311" s="48"/>
      <c r="AY311" s="48"/>
      <c r="AZ311" s="48"/>
      <c r="BA311" s="48"/>
    </row>
    <row r="312" spans="1:53" hidden="1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  <c r="AC312" s="48"/>
      <c r="AD312" s="48"/>
      <c r="AE312" s="48"/>
      <c r="AF312" s="48"/>
      <c r="AG312" s="48"/>
      <c r="AH312" s="48"/>
      <c r="AI312" s="48"/>
      <c r="AJ312" s="48"/>
      <c r="AK312" s="48"/>
      <c r="AL312" s="48"/>
      <c r="AM312" s="48"/>
      <c r="AN312" s="48"/>
      <c r="AO312" s="48"/>
      <c r="AP312" s="48"/>
      <c r="AQ312" s="48"/>
      <c r="AR312" s="48"/>
      <c r="AS312" s="48"/>
      <c r="AT312" s="48"/>
      <c r="AU312" s="48"/>
      <c r="AV312" s="48"/>
      <c r="AW312" s="48"/>
      <c r="AX312" s="48"/>
      <c r="AY312" s="48"/>
      <c r="AZ312" s="48"/>
      <c r="BA312" s="48"/>
    </row>
    <row r="313" spans="1:53" hidden="1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  <c r="AC313" s="48"/>
      <c r="AD313" s="48"/>
      <c r="AE313" s="48"/>
      <c r="AF313" s="48"/>
      <c r="AG313" s="48"/>
      <c r="AH313" s="48"/>
      <c r="AI313" s="48"/>
      <c r="AJ313" s="48"/>
      <c r="AK313" s="48"/>
      <c r="AL313" s="48"/>
      <c r="AM313" s="48"/>
      <c r="AN313" s="48"/>
      <c r="AO313" s="48"/>
      <c r="AP313" s="48"/>
      <c r="AQ313" s="48"/>
      <c r="AR313" s="48"/>
      <c r="AS313" s="48"/>
      <c r="AT313" s="48"/>
      <c r="AU313" s="48"/>
      <c r="AV313" s="48"/>
      <c r="AW313" s="48"/>
      <c r="AX313" s="48"/>
      <c r="AY313" s="48"/>
      <c r="AZ313" s="48"/>
      <c r="BA313" s="48"/>
    </row>
    <row r="314" spans="1:53" hidden="1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  <c r="AB314" s="48"/>
      <c r="AC314" s="48"/>
      <c r="AD314" s="48"/>
      <c r="AE314" s="48"/>
      <c r="AF314" s="48"/>
      <c r="AG314" s="48"/>
      <c r="AH314" s="48"/>
      <c r="AI314" s="48"/>
      <c r="AJ314" s="48"/>
      <c r="AK314" s="48"/>
      <c r="AL314" s="48"/>
      <c r="AM314" s="48"/>
      <c r="AN314" s="48"/>
      <c r="AO314" s="48"/>
      <c r="AP314" s="48"/>
      <c r="AQ314" s="48"/>
      <c r="AR314" s="48"/>
      <c r="AS314" s="48"/>
      <c r="AT314" s="48"/>
      <c r="AU314" s="48"/>
      <c r="AV314" s="48"/>
      <c r="AW314" s="48"/>
      <c r="AX314" s="48"/>
      <c r="AY314" s="48"/>
      <c r="AZ314" s="48"/>
      <c r="BA314" s="48"/>
    </row>
    <row r="315" spans="1:53" hidden="1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  <c r="AB315" s="48"/>
      <c r="AC315" s="48"/>
      <c r="AD315" s="48"/>
      <c r="AE315" s="48"/>
      <c r="AF315" s="48"/>
      <c r="AG315" s="48"/>
      <c r="AH315" s="48"/>
      <c r="AI315" s="48"/>
      <c r="AJ315" s="48"/>
      <c r="AK315" s="48"/>
      <c r="AL315" s="48"/>
      <c r="AM315" s="48"/>
      <c r="AN315" s="48"/>
      <c r="AO315" s="48"/>
      <c r="AP315" s="48"/>
      <c r="AQ315" s="48"/>
      <c r="AR315" s="48"/>
      <c r="AS315" s="48"/>
      <c r="AT315" s="48"/>
      <c r="AU315" s="48"/>
      <c r="AV315" s="48"/>
      <c r="AW315" s="48"/>
      <c r="AX315" s="48"/>
      <c r="AY315" s="48"/>
      <c r="AZ315" s="48"/>
      <c r="BA315" s="48"/>
    </row>
    <row r="316" spans="1:53" hidden="1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8"/>
      <c r="AH316" s="48"/>
      <c r="AI316" s="48"/>
      <c r="AJ316" s="48"/>
      <c r="AK316" s="48"/>
      <c r="AL316" s="48"/>
      <c r="AM316" s="48"/>
      <c r="AN316" s="48"/>
      <c r="AO316" s="48"/>
      <c r="AP316" s="48"/>
      <c r="AQ316" s="48"/>
      <c r="AR316" s="48"/>
      <c r="AS316" s="48"/>
      <c r="AT316" s="48"/>
      <c r="AU316" s="48"/>
      <c r="AV316" s="48"/>
      <c r="AW316" s="48"/>
      <c r="AX316" s="48"/>
      <c r="AY316" s="48"/>
      <c r="AZ316" s="48"/>
      <c r="BA316" s="48"/>
    </row>
    <row r="317" spans="1:53" hidden="1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8"/>
      <c r="AH317" s="48"/>
      <c r="AI317" s="48"/>
      <c r="AJ317" s="48"/>
      <c r="AK317" s="48"/>
      <c r="AL317" s="48"/>
      <c r="AM317" s="48"/>
      <c r="AN317" s="48"/>
      <c r="AO317" s="48"/>
      <c r="AP317" s="48"/>
      <c r="AQ317" s="48"/>
      <c r="AR317" s="48"/>
      <c r="AS317" s="48"/>
      <c r="AT317" s="48"/>
      <c r="AU317" s="48"/>
      <c r="AV317" s="48"/>
      <c r="AW317" s="48"/>
      <c r="AX317" s="48"/>
      <c r="AY317" s="48"/>
      <c r="AZ317" s="48"/>
      <c r="BA317" s="48"/>
    </row>
    <row r="318" spans="1:53" hidden="1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8"/>
      <c r="AH318" s="48"/>
      <c r="AI318" s="48"/>
      <c r="AJ318" s="48"/>
      <c r="AK318" s="48"/>
      <c r="AL318" s="48"/>
      <c r="AM318" s="48"/>
      <c r="AN318" s="48"/>
      <c r="AO318" s="48"/>
      <c r="AP318" s="48"/>
      <c r="AQ318" s="48"/>
      <c r="AR318" s="48"/>
      <c r="AS318" s="48"/>
      <c r="AT318" s="48"/>
      <c r="AU318" s="48"/>
      <c r="AV318" s="48"/>
      <c r="AW318" s="48"/>
      <c r="AX318" s="48"/>
      <c r="AY318" s="48"/>
      <c r="AZ318" s="48"/>
      <c r="BA318" s="48"/>
    </row>
    <row r="319" spans="1:53" hidden="1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8"/>
      <c r="AH319" s="48"/>
      <c r="AI319" s="48"/>
      <c r="AJ319" s="48"/>
      <c r="AK319" s="48"/>
      <c r="AL319" s="48"/>
      <c r="AM319" s="48"/>
      <c r="AN319" s="48"/>
      <c r="AO319" s="48"/>
      <c r="AP319" s="48"/>
      <c r="AQ319" s="48"/>
      <c r="AR319" s="48"/>
      <c r="AS319" s="48"/>
      <c r="AT319" s="48"/>
      <c r="AU319" s="48"/>
      <c r="AV319" s="48"/>
      <c r="AW319" s="48"/>
      <c r="AX319" s="48"/>
      <c r="AY319" s="48"/>
      <c r="AZ319" s="48"/>
      <c r="BA319" s="48"/>
    </row>
    <row r="320" spans="1:53" hidden="1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  <c r="AB320" s="48"/>
      <c r="AC320" s="48"/>
      <c r="AD320" s="48"/>
      <c r="AE320" s="48"/>
      <c r="AF320" s="48"/>
      <c r="AG320" s="48"/>
      <c r="AH320" s="48"/>
      <c r="AI320" s="48"/>
      <c r="AJ320" s="48"/>
      <c r="AK320" s="48"/>
      <c r="AL320" s="48"/>
      <c r="AM320" s="48"/>
      <c r="AN320" s="48"/>
      <c r="AO320" s="48"/>
      <c r="AP320" s="48"/>
      <c r="AQ320" s="48"/>
      <c r="AR320" s="48"/>
      <c r="AS320" s="48"/>
      <c r="AT320" s="48"/>
      <c r="AU320" s="48"/>
      <c r="AV320" s="48"/>
      <c r="AW320" s="48"/>
      <c r="AX320" s="48"/>
      <c r="AY320" s="48"/>
      <c r="AZ320" s="48"/>
      <c r="BA320" s="48"/>
    </row>
    <row r="321" spans="1:53" hidden="1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  <c r="AC321" s="48"/>
      <c r="AD321" s="48"/>
      <c r="AE321" s="48"/>
      <c r="AF321" s="48"/>
      <c r="AG321" s="48"/>
      <c r="AH321" s="48"/>
      <c r="AI321" s="48"/>
      <c r="AJ321" s="48"/>
      <c r="AK321" s="48"/>
      <c r="AL321" s="48"/>
      <c r="AM321" s="48"/>
      <c r="AN321" s="48"/>
      <c r="AO321" s="48"/>
      <c r="AP321" s="48"/>
      <c r="AQ321" s="48"/>
      <c r="AR321" s="48"/>
      <c r="AS321" s="48"/>
      <c r="AT321" s="48"/>
      <c r="AU321" s="48"/>
      <c r="AV321" s="48"/>
      <c r="AW321" s="48"/>
      <c r="AX321" s="48"/>
      <c r="AY321" s="48"/>
      <c r="AZ321" s="48"/>
      <c r="BA321" s="48"/>
    </row>
    <row r="322" spans="1:53" hidden="1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  <c r="AB322" s="48"/>
      <c r="AC322" s="48"/>
      <c r="AD322" s="48"/>
      <c r="AE322" s="48"/>
      <c r="AF322" s="48"/>
      <c r="AG322" s="48"/>
      <c r="AH322" s="48"/>
      <c r="AI322" s="48"/>
      <c r="AJ322" s="48"/>
      <c r="AK322" s="48"/>
      <c r="AL322" s="48"/>
      <c r="AM322" s="48"/>
      <c r="AN322" s="48"/>
      <c r="AO322" s="48"/>
      <c r="AP322" s="48"/>
      <c r="AQ322" s="48"/>
      <c r="AR322" s="48"/>
      <c r="AS322" s="48"/>
      <c r="AT322" s="48"/>
      <c r="AU322" s="48"/>
      <c r="AV322" s="48"/>
      <c r="AW322" s="48"/>
      <c r="AX322" s="48"/>
      <c r="AY322" s="48"/>
      <c r="AZ322" s="48"/>
      <c r="BA322" s="48"/>
    </row>
    <row r="323" spans="1:53" hidden="1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  <c r="AC323" s="48"/>
      <c r="AD323" s="48"/>
      <c r="AE323" s="48"/>
      <c r="AF323" s="48"/>
      <c r="AG323" s="48"/>
      <c r="AH323" s="48"/>
      <c r="AI323" s="48"/>
      <c r="AJ323" s="48"/>
      <c r="AK323" s="48"/>
      <c r="AL323" s="48"/>
      <c r="AM323" s="48"/>
      <c r="AN323" s="48"/>
      <c r="AO323" s="48"/>
      <c r="AP323" s="48"/>
      <c r="AQ323" s="48"/>
      <c r="AR323" s="48"/>
      <c r="AS323" s="48"/>
      <c r="AT323" s="48"/>
      <c r="AU323" s="48"/>
      <c r="AV323" s="48"/>
      <c r="AW323" s="48"/>
      <c r="AX323" s="48"/>
      <c r="AY323" s="48"/>
      <c r="AZ323" s="48"/>
      <c r="BA323" s="48"/>
    </row>
    <row r="324" spans="1:53" hidden="1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8"/>
      <c r="AH324" s="48"/>
      <c r="AI324" s="48"/>
      <c r="AJ324" s="48"/>
      <c r="AK324" s="48"/>
      <c r="AL324" s="48"/>
      <c r="AM324" s="48"/>
      <c r="AN324" s="48"/>
      <c r="AO324" s="48"/>
      <c r="AP324" s="48"/>
      <c r="AQ324" s="48"/>
      <c r="AR324" s="48"/>
      <c r="AS324" s="48"/>
      <c r="AT324" s="48"/>
      <c r="AU324" s="48"/>
      <c r="AV324" s="48"/>
      <c r="AW324" s="48"/>
      <c r="AX324" s="48"/>
      <c r="AY324" s="48"/>
      <c r="AZ324" s="48"/>
      <c r="BA324" s="48"/>
    </row>
    <row r="325" spans="1:53" hidden="1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8"/>
      <c r="AH325" s="48"/>
      <c r="AI325" s="48"/>
      <c r="AJ325" s="48"/>
      <c r="AK325" s="48"/>
      <c r="AL325" s="48"/>
      <c r="AM325" s="48"/>
      <c r="AN325" s="48"/>
      <c r="AO325" s="48"/>
      <c r="AP325" s="48"/>
      <c r="AQ325" s="48"/>
      <c r="AR325" s="48"/>
      <c r="AS325" s="48"/>
      <c r="AT325" s="48"/>
      <c r="AU325" s="48"/>
      <c r="AV325" s="48"/>
      <c r="AW325" s="48"/>
      <c r="AX325" s="48"/>
      <c r="AY325" s="48"/>
      <c r="AZ325" s="48"/>
      <c r="BA325" s="48"/>
    </row>
    <row r="326" spans="1:53" hidden="1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8"/>
      <c r="AH326" s="48"/>
      <c r="AI326" s="48"/>
      <c r="AJ326" s="48"/>
      <c r="AK326" s="48"/>
      <c r="AL326" s="48"/>
      <c r="AM326" s="48"/>
      <c r="AN326" s="48"/>
      <c r="AO326" s="48"/>
      <c r="AP326" s="48"/>
      <c r="AQ326" s="48"/>
      <c r="AR326" s="48"/>
      <c r="AS326" s="48"/>
      <c r="AT326" s="48"/>
      <c r="AU326" s="48"/>
      <c r="AV326" s="48"/>
      <c r="AW326" s="48"/>
      <c r="AX326" s="48"/>
      <c r="AY326" s="48"/>
      <c r="AZ326" s="48"/>
      <c r="BA326" s="48"/>
    </row>
    <row r="327" spans="1:53" hidden="1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8"/>
      <c r="AH327" s="48"/>
      <c r="AI327" s="48"/>
      <c r="AJ327" s="48"/>
      <c r="AK327" s="48"/>
      <c r="AL327" s="48"/>
      <c r="AM327" s="48"/>
      <c r="AN327" s="48"/>
      <c r="AO327" s="48"/>
      <c r="AP327" s="48"/>
      <c r="AQ327" s="48"/>
      <c r="AR327" s="48"/>
      <c r="AS327" s="48"/>
      <c r="AT327" s="48"/>
      <c r="AU327" s="48"/>
      <c r="AV327" s="48"/>
      <c r="AW327" s="48"/>
      <c r="AX327" s="48"/>
      <c r="AY327" s="48"/>
      <c r="AZ327" s="48"/>
      <c r="BA327" s="48"/>
    </row>
    <row r="328" spans="1:53" hidden="1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8"/>
      <c r="AH328" s="48"/>
      <c r="AI328" s="48"/>
      <c r="AJ328" s="48"/>
      <c r="AK328" s="48"/>
      <c r="AL328" s="48"/>
      <c r="AM328" s="48"/>
      <c r="AN328" s="48"/>
      <c r="AO328" s="48"/>
      <c r="AP328" s="48"/>
      <c r="AQ328" s="48"/>
      <c r="AR328" s="48"/>
      <c r="AS328" s="48"/>
      <c r="AT328" s="48"/>
      <c r="AU328" s="48"/>
      <c r="AV328" s="48"/>
      <c r="AW328" s="48"/>
      <c r="AX328" s="48"/>
      <c r="AY328" s="48"/>
      <c r="AZ328" s="48"/>
      <c r="BA328" s="48"/>
    </row>
    <row r="329" spans="1:53" hidden="1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8"/>
      <c r="AH329" s="48"/>
      <c r="AI329" s="48"/>
      <c r="AJ329" s="48"/>
      <c r="AK329" s="48"/>
      <c r="AL329" s="48"/>
      <c r="AM329" s="48"/>
      <c r="AN329" s="48"/>
      <c r="AO329" s="48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  <c r="AZ329" s="48"/>
      <c r="BA329" s="48"/>
    </row>
    <row r="330" spans="1:53" hidden="1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8"/>
      <c r="AH330" s="48"/>
      <c r="AI330" s="48"/>
      <c r="AJ330" s="48"/>
      <c r="AK330" s="48"/>
      <c r="AL330" s="48"/>
      <c r="AM330" s="48"/>
      <c r="AN330" s="48"/>
      <c r="AO330" s="48"/>
      <c r="AP330" s="48"/>
      <c r="AQ330" s="48"/>
      <c r="AR330" s="48"/>
      <c r="AS330" s="48"/>
      <c r="AT330" s="48"/>
      <c r="AU330" s="48"/>
      <c r="AV330" s="48"/>
      <c r="AW330" s="48"/>
      <c r="AX330" s="48"/>
      <c r="AY330" s="48"/>
      <c r="AZ330" s="48"/>
      <c r="BA330" s="48"/>
    </row>
    <row r="331" spans="1:53" hidden="1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8"/>
      <c r="AH331" s="48"/>
      <c r="AI331" s="48"/>
      <c r="AJ331" s="48"/>
      <c r="AK331" s="48"/>
      <c r="AL331" s="48"/>
      <c r="AM331" s="48"/>
      <c r="AN331" s="48"/>
      <c r="AO331" s="48"/>
      <c r="AP331" s="48"/>
      <c r="AQ331" s="48"/>
      <c r="AR331" s="48"/>
      <c r="AS331" s="48"/>
      <c r="AT331" s="48"/>
      <c r="AU331" s="48"/>
      <c r="AV331" s="48"/>
      <c r="AW331" s="48"/>
      <c r="AX331" s="48"/>
      <c r="AY331" s="48"/>
      <c r="AZ331" s="48"/>
      <c r="BA331" s="48"/>
    </row>
    <row r="332" spans="1:53" hidden="1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  <c r="AB332" s="48"/>
      <c r="AC332" s="48"/>
      <c r="AD332" s="48"/>
      <c r="AE332" s="48"/>
      <c r="AF332" s="48"/>
      <c r="AG332" s="48"/>
      <c r="AH332" s="48"/>
      <c r="AI332" s="48"/>
      <c r="AJ332" s="48"/>
      <c r="AK332" s="48"/>
      <c r="AL332" s="48"/>
      <c r="AM332" s="48"/>
      <c r="AN332" s="48"/>
      <c r="AO332" s="48"/>
      <c r="AP332" s="48"/>
      <c r="AQ332" s="48"/>
      <c r="AR332" s="48"/>
      <c r="AS332" s="48"/>
      <c r="AT332" s="48"/>
      <c r="AU332" s="48"/>
      <c r="AV332" s="48"/>
      <c r="AW332" s="48"/>
      <c r="AX332" s="48"/>
      <c r="AY332" s="48"/>
      <c r="AZ332" s="48"/>
      <c r="BA332" s="48"/>
    </row>
    <row r="333" spans="1:53" hidden="1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  <c r="AC333" s="48"/>
      <c r="AD333" s="48"/>
      <c r="AE333" s="48"/>
      <c r="AF333" s="48"/>
      <c r="AG333" s="48"/>
      <c r="AH333" s="48"/>
      <c r="AI333" s="48"/>
      <c r="AJ333" s="48"/>
      <c r="AK333" s="48"/>
      <c r="AL333" s="48"/>
      <c r="AM333" s="48"/>
      <c r="AN333" s="48"/>
      <c r="AO333" s="48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  <c r="AZ333" s="48"/>
      <c r="BA333" s="48"/>
    </row>
    <row r="334" spans="1:53" hidden="1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48"/>
      <c r="AC334" s="48"/>
      <c r="AD334" s="48"/>
      <c r="AE334" s="48"/>
      <c r="AF334" s="48"/>
      <c r="AG334" s="48"/>
      <c r="AH334" s="48"/>
      <c r="AI334" s="48"/>
      <c r="AJ334" s="48"/>
      <c r="AK334" s="48"/>
      <c r="AL334" s="48"/>
      <c r="AM334" s="48"/>
      <c r="AN334" s="48"/>
      <c r="AO334" s="48"/>
      <c r="AP334" s="48"/>
      <c r="AQ334" s="48"/>
      <c r="AR334" s="48"/>
      <c r="AS334" s="48"/>
      <c r="AT334" s="48"/>
      <c r="AU334" s="48"/>
      <c r="AV334" s="48"/>
      <c r="AW334" s="48"/>
      <c r="AX334" s="48"/>
      <c r="AY334" s="48"/>
      <c r="AZ334" s="48"/>
      <c r="BA334" s="48"/>
    </row>
    <row r="335" spans="1:53" hidden="1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8"/>
      <c r="AH335" s="48"/>
      <c r="AI335" s="48"/>
      <c r="AJ335" s="48"/>
      <c r="AK335" s="48"/>
      <c r="AL335" s="48"/>
      <c r="AM335" s="48"/>
      <c r="AN335" s="48"/>
      <c r="AO335" s="48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  <c r="AZ335" s="48"/>
      <c r="BA335" s="48"/>
    </row>
    <row r="336" spans="1:53" hidden="1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8"/>
      <c r="AH336" s="48"/>
      <c r="AI336" s="48"/>
      <c r="AJ336" s="48"/>
      <c r="AK336" s="48"/>
      <c r="AL336" s="48"/>
      <c r="AM336" s="48"/>
      <c r="AN336" s="48"/>
      <c r="AO336" s="48"/>
      <c r="AP336" s="48"/>
      <c r="AQ336" s="48"/>
      <c r="AR336" s="48"/>
      <c r="AS336" s="48"/>
      <c r="AT336" s="48"/>
      <c r="AU336" s="48"/>
      <c r="AV336" s="48"/>
      <c r="AW336" s="48"/>
      <c r="AX336" s="48"/>
      <c r="AY336" s="48"/>
      <c r="AZ336" s="48"/>
      <c r="BA336" s="48"/>
    </row>
    <row r="337" spans="1:53" hidden="1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8"/>
      <c r="AH337" s="48"/>
      <c r="AI337" s="48"/>
      <c r="AJ337" s="48"/>
      <c r="AK337" s="48"/>
      <c r="AL337" s="48"/>
      <c r="AM337" s="48"/>
      <c r="AN337" s="48"/>
      <c r="AO337" s="48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  <c r="AZ337" s="48"/>
      <c r="BA337" s="48"/>
    </row>
    <row r="338" spans="1:53" hidden="1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8"/>
      <c r="AH338" s="48"/>
      <c r="AI338" s="48"/>
      <c r="AJ338" s="48"/>
      <c r="AK338" s="48"/>
      <c r="AL338" s="48"/>
      <c r="AM338" s="48"/>
      <c r="AN338" s="48"/>
      <c r="AO338" s="48"/>
      <c r="AP338" s="48"/>
      <c r="AQ338" s="48"/>
      <c r="AR338" s="48"/>
      <c r="AS338" s="48"/>
      <c r="AT338" s="48"/>
      <c r="AU338" s="48"/>
      <c r="AV338" s="48"/>
      <c r="AW338" s="48"/>
      <c r="AX338" s="48"/>
      <c r="AY338" s="48"/>
      <c r="AZ338" s="48"/>
      <c r="BA338" s="48"/>
    </row>
    <row r="339" spans="1:53" hidden="1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8"/>
      <c r="AH339" s="48"/>
      <c r="AI339" s="48"/>
      <c r="AJ339" s="48"/>
      <c r="AK339" s="48"/>
      <c r="AL339" s="48"/>
      <c r="AM339" s="48"/>
      <c r="AN339" s="48"/>
      <c r="AO339" s="48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  <c r="AZ339" s="48"/>
      <c r="BA339" s="48"/>
    </row>
    <row r="340" spans="1:53" hidden="1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8"/>
      <c r="AH340" s="48"/>
      <c r="AI340" s="48"/>
      <c r="AJ340" s="48"/>
      <c r="AK340" s="48"/>
      <c r="AL340" s="48"/>
      <c r="AM340" s="48"/>
      <c r="AN340" s="48"/>
      <c r="AO340" s="48"/>
      <c r="AP340" s="48"/>
      <c r="AQ340" s="48"/>
      <c r="AR340" s="48"/>
      <c r="AS340" s="48"/>
      <c r="AT340" s="48"/>
      <c r="AU340" s="48"/>
      <c r="AV340" s="48"/>
      <c r="AW340" s="48"/>
      <c r="AX340" s="48"/>
      <c r="AY340" s="48"/>
      <c r="AZ340" s="48"/>
      <c r="BA340" s="48"/>
    </row>
    <row r="341" spans="1:53" hidden="1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8"/>
      <c r="AH341" s="48"/>
      <c r="AI341" s="48"/>
      <c r="AJ341" s="48"/>
      <c r="AK341" s="48"/>
      <c r="AL341" s="48"/>
      <c r="AM341" s="48"/>
      <c r="AN341" s="48"/>
      <c r="AO341" s="48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  <c r="AZ341" s="48"/>
      <c r="BA341" s="48"/>
    </row>
    <row r="342" spans="1:53" hidden="1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8"/>
      <c r="AH342" s="48"/>
      <c r="AI342" s="48"/>
      <c r="AJ342" s="48"/>
      <c r="AK342" s="48"/>
      <c r="AL342" s="48"/>
      <c r="AM342" s="48"/>
      <c r="AN342" s="48"/>
      <c r="AO342" s="48"/>
      <c r="AP342" s="48"/>
      <c r="AQ342" s="48"/>
      <c r="AR342" s="48"/>
      <c r="AS342" s="48"/>
      <c r="AT342" s="48"/>
      <c r="AU342" s="48"/>
      <c r="AV342" s="48"/>
      <c r="AW342" s="48"/>
      <c r="AX342" s="48"/>
      <c r="AY342" s="48"/>
      <c r="AZ342" s="48"/>
      <c r="BA342" s="48"/>
    </row>
    <row r="343" spans="1:53" hidden="1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  <c r="AC343" s="48"/>
      <c r="AD343" s="48"/>
      <c r="AE343" s="48"/>
      <c r="AF343" s="48"/>
      <c r="AG343" s="48"/>
      <c r="AH343" s="48"/>
      <c r="AI343" s="48"/>
      <c r="AJ343" s="48"/>
      <c r="AK343" s="48"/>
      <c r="AL343" s="48"/>
      <c r="AM343" s="48"/>
      <c r="AN343" s="48"/>
      <c r="AO343" s="48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  <c r="AZ343" s="48"/>
      <c r="BA343" s="48"/>
    </row>
    <row r="344" spans="1:53" hidden="1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8"/>
      <c r="AH344" s="48"/>
      <c r="AI344" s="48"/>
      <c r="AJ344" s="48"/>
      <c r="AK344" s="48"/>
      <c r="AL344" s="48"/>
      <c r="AM344" s="48"/>
      <c r="AN344" s="48"/>
      <c r="AO344" s="48"/>
      <c r="AP344" s="48"/>
      <c r="AQ344" s="48"/>
      <c r="AR344" s="48"/>
      <c r="AS344" s="48"/>
      <c r="AT344" s="48"/>
      <c r="AU344" s="48"/>
      <c r="AV344" s="48"/>
      <c r="AW344" s="48"/>
      <c r="AX344" s="48"/>
      <c r="AY344" s="48"/>
      <c r="AZ344" s="48"/>
      <c r="BA344" s="48"/>
    </row>
    <row r="345" spans="1:53" hidden="1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8"/>
      <c r="AH345" s="48"/>
      <c r="AI345" s="48"/>
      <c r="AJ345" s="48"/>
      <c r="AK345" s="48"/>
      <c r="AL345" s="48"/>
      <c r="AM345" s="48"/>
      <c r="AN345" s="48"/>
      <c r="AO345" s="48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  <c r="AZ345" s="48"/>
      <c r="BA345" s="48"/>
    </row>
    <row r="346" spans="1:53" hidden="1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8"/>
      <c r="AH346" s="48"/>
      <c r="AI346" s="48"/>
      <c r="AJ346" s="48"/>
      <c r="AK346" s="48"/>
      <c r="AL346" s="48"/>
      <c r="AM346" s="48"/>
      <c r="AN346" s="48"/>
      <c r="AO346" s="48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  <c r="AZ346" s="48"/>
      <c r="BA346" s="48"/>
    </row>
    <row r="347" spans="1:53" hidden="1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8"/>
      <c r="AH347" s="48"/>
      <c r="AI347" s="48"/>
      <c r="AJ347" s="48"/>
      <c r="AK347" s="48"/>
      <c r="AL347" s="48"/>
      <c r="AM347" s="48"/>
      <c r="AN347" s="48"/>
      <c r="AO347" s="48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  <c r="AZ347" s="48"/>
      <c r="BA347" s="48"/>
    </row>
    <row r="348" spans="1:53" hidden="1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  <c r="AZ348" s="48"/>
      <c r="BA348" s="48"/>
    </row>
    <row r="349" spans="1:53" hidden="1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8"/>
      <c r="AH349" s="48"/>
      <c r="AI349" s="48"/>
      <c r="AJ349" s="48"/>
      <c r="AK349" s="48"/>
      <c r="AL349" s="48"/>
      <c r="AM349" s="48"/>
      <c r="AN349" s="48"/>
      <c r="AO349" s="48"/>
      <c r="AP349" s="48"/>
      <c r="AQ349" s="48"/>
      <c r="AR349" s="48"/>
      <c r="AS349" s="48"/>
      <c r="AT349" s="48"/>
      <c r="AU349" s="48"/>
      <c r="AV349" s="48"/>
      <c r="AW349" s="48"/>
      <c r="AX349" s="48"/>
      <c r="AY349" s="48"/>
      <c r="AZ349" s="48"/>
      <c r="BA349" s="48"/>
    </row>
    <row r="350" spans="1:53" hidden="1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8"/>
      <c r="AH350" s="48"/>
      <c r="AI350" s="48"/>
      <c r="AJ350" s="48"/>
      <c r="AK350" s="48"/>
      <c r="AL350" s="48"/>
      <c r="AM350" s="48"/>
      <c r="AN350" s="48"/>
      <c r="AO350" s="48"/>
      <c r="AP350" s="48"/>
      <c r="AQ350" s="48"/>
      <c r="AR350" s="48"/>
      <c r="AS350" s="48"/>
      <c r="AT350" s="48"/>
      <c r="AU350" s="48"/>
      <c r="AV350" s="48"/>
      <c r="AW350" s="48"/>
      <c r="AX350" s="48"/>
      <c r="AY350" s="48"/>
      <c r="AZ350" s="48"/>
      <c r="BA350" s="48"/>
    </row>
    <row r="351" spans="1:53" hidden="1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8"/>
      <c r="AH351" s="48"/>
      <c r="AI351" s="48"/>
      <c r="AJ351" s="48"/>
      <c r="AK351" s="48"/>
      <c r="AL351" s="48"/>
      <c r="AM351" s="48"/>
      <c r="AN351" s="48"/>
      <c r="AO351" s="48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  <c r="AZ351" s="48"/>
      <c r="BA351" s="48"/>
    </row>
    <row r="352" spans="1:53" hidden="1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8"/>
      <c r="AH352" s="48"/>
      <c r="AI352" s="48"/>
      <c r="AJ352" s="48"/>
      <c r="AK352" s="48"/>
      <c r="AL352" s="48"/>
      <c r="AM352" s="48"/>
      <c r="AN352" s="48"/>
      <c r="AO352" s="48"/>
      <c r="AP352" s="48"/>
      <c r="AQ352" s="48"/>
      <c r="AR352" s="48"/>
      <c r="AS352" s="48"/>
      <c r="AT352" s="48"/>
      <c r="AU352" s="48"/>
      <c r="AV352" s="48"/>
      <c r="AW352" s="48"/>
      <c r="AX352" s="48"/>
      <c r="AY352" s="48"/>
      <c r="AZ352" s="48"/>
      <c r="BA352" s="48"/>
    </row>
    <row r="353" spans="1:53" hidden="1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8"/>
      <c r="AH353" s="48"/>
      <c r="AI353" s="48"/>
      <c r="AJ353" s="48"/>
      <c r="AK353" s="48"/>
      <c r="AL353" s="48"/>
      <c r="AM353" s="48"/>
      <c r="AN353" s="48"/>
      <c r="AO353" s="48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  <c r="AZ353" s="48"/>
      <c r="BA353" s="48"/>
    </row>
    <row r="354" spans="1:53" hidden="1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8"/>
      <c r="AH354" s="48"/>
      <c r="AI354" s="48"/>
      <c r="AJ354" s="48"/>
      <c r="AK354" s="48"/>
      <c r="AL354" s="48"/>
      <c r="AM354" s="48"/>
      <c r="AN354" s="48"/>
      <c r="AO354" s="48"/>
      <c r="AP354" s="48"/>
      <c r="AQ354" s="48"/>
      <c r="AR354" s="48"/>
      <c r="AS354" s="48"/>
      <c r="AT354" s="48"/>
      <c r="AU354" s="48"/>
      <c r="AV354" s="48"/>
      <c r="AW354" s="48"/>
      <c r="AX354" s="48"/>
      <c r="AY354" s="48"/>
      <c r="AZ354" s="48"/>
      <c r="BA354" s="48"/>
    </row>
    <row r="355" spans="1:53" hidden="1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8"/>
      <c r="AH355" s="48"/>
      <c r="AI355" s="48"/>
      <c r="AJ355" s="48"/>
      <c r="AK355" s="48"/>
      <c r="AL355" s="48"/>
      <c r="AM355" s="48"/>
      <c r="AN355" s="48"/>
      <c r="AO355" s="48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  <c r="AZ355" s="48"/>
      <c r="BA355" s="48"/>
    </row>
    <row r="356" spans="1:53" hidden="1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8"/>
      <c r="AH356" s="48"/>
      <c r="AI356" s="48"/>
      <c r="AJ356" s="48"/>
      <c r="AK356" s="48"/>
      <c r="AL356" s="48"/>
      <c r="AM356" s="48"/>
      <c r="AN356" s="48"/>
      <c r="AO356" s="48"/>
      <c r="AP356" s="48"/>
      <c r="AQ356" s="48"/>
      <c r="AR356" s="48"/>
      <c r="AS356" s="48"/>
      <c r="AT356" s="48"/>
      <c r="AU356" s="48"/>
      <c r="AV356" s="48"/>
      <c r="AW356" s="48"/>
      <c r="AX356" s="48"/>
      <c r="AY356" s="48"/>
      <c r="AZ356" s="48"/>
      <c r="BA356" s="48"/>
    </row>
    <row r="357" spans="1:53" hidden="1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8"/>
      <c r="AH357" s="48"/>
      <c r="AI357" s="48"/>
      <c r="AJ357" s="48"/>
      <c r="AK357" s="48"/>
      <c r="AL357" s="48"/>
      <c r="AM357" s="48"/>
      <c r="AN357" s="48"/>
      <c r="AO357" s="48"/>
      <c r="AP357" s="48"/>
      <c r="AQ357" s="48"/>
      <c r="AR357" s="48"/>
      <c r="AS357" s="48"/>
      <c r="AT357" s="48"/>
      <c r="AU357" s="48"/>
      <c r="AV357" s="48"/>
      <c r="AW357" s="48"/>
      <c r="AX357" s="48"/>
      <c r="AY357" s="48"/>
      <c r="AZ357" s="48"/>
      <c r="BA357" s="48"/>
    </row>
    <row r="358" spans="1:53" hidden="1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8"/>
      <c r="AH358" s="48"/>
      <c r="AI358" s="48"/>
      <c r="AJ358" s="48"/>
      <c r="AK358" s="48"/>
      <c r="AL358" s="48"/>
      <c r="AM358" s="48"/>
      <c r="AN358" s="48"/>
      <c r="AO358" s="48"/>
      <c r="AP358" s="48"/>
      <c r="AQ358" s="48"/>
      <c r="AR358" s="48"/>
      <c r="AS358" s="48"/>
      <c r="AT358" s="48"/>
      <c r="AU358" s="48"/>
      <c r="AV358" s="48"/>
      <c r="AW358" s="48"/>
      <c r="AX358" s="48"/>
      <c r="AY358" s="48"/>
      <c r="AZ358" s="48"/>
      <c r="BA358" s="48"/>
    </row>
    <row r="359" spans="1:53" hidden="1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8"/>
      <c r="AH359" s="48"/>
      <c r="AI359" s="48"/>
      <c r="AJ359" s="48"/>
      <c r="AK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  <c r="BA359" s="48"/>
    </row>
    <row r="360" spans="1:53" hidden="1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8"/>
      <c r="AH360" s="48"/>
      <c r="AI360" s="48"/>
      <c r="AJ360" s="48"/>
      <c r="AK360" s="48"/>
      <c r="AL360" s="48"/>
      <c r="AM360" s="48"/>
      <c r="AN360" s="48"/>
      <c r="AO360" s="48"/>
      <c r="AP360" s="48"/>
      <c r="AQ360" s="48"/>
      <c r="AR360" s="48"/>
      <c r="AS360" s="48"/>
      <c r="AT360" s="48"/>
      <c r="AU360" s="48"/>
      <c r="AV360" s="48"/>
      <c r="AW360" s="48"/>
      <c r="AX360" s="48"/>
      <c r="AY360" s="48"/>
      <c r="AZ360" s="48"/>
      <c r="BA360" s="48"/>
    </row>
    <row r="361" spans="1:53" hidden="1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8"/>
      <c r="AH361" s="48"/>
      <c r="AI361" s="48"/>
      <c r="AJ361" s="48"/>
      <c r="AK361" s="48"/>
      <c r="AL361" s="48"/>
      <c r="AM361" s="48"/>
      <c r="AN361" s="48"/>
      <c r="AO361" s="48"/>
      <c r="AP361" s="48"/>
      <c r="AQ361" s="48"/>
      <c r="AR361" s="48"/>
      <c r="AS361" s="48"/>
      <c r="AT361" s="48"/>
      <c r="AU361" s="48"/>
      <c r="AV361" s="48"/>
      <c r="AW361" s="48"/>
      <c r="AX361" s="48"/>
      <c r="AY361" s="48"/>
      <c r="AZ361" s="48"/>
      <c r="BA361" s="48"/>
    </row>
    <row r="362" spans="1:53" hidden="1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8"/>
      <c r="AH362" s="48"/>
      <c r="AI362" s="48"/>
      <c r="AJ362" s="48"/>
      <c r="AK362" s="48"/>
      <c r="AL362" s="48"/>
      <c r="AM362" s="48"/>
      <c r="AN362" s="48"/>
      <c r="AO362" s="48"/>
      <c r="AP362" s="48"/>
      <c r="AQ362" s="48"/>
      <c r="AR362" s="48"/>
      <c r="AS362" s="48"/>
      <c r="AT362" s="48"/>
      <c r="AU362" s="48"/>
      <c r="AV362" s="48"/>
      <c r="AW362" s="48"/>
      <c r="AX362" s="48"/>
      <c r="AY362" s="48"/>
      <c r="AZ362" s="48"/>
      <c r="BA362" s="48"/>
    </row>
    <row r="363" spans="1:53" hidden="1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  <c r="AZ363" s="48"/>
      <c r="BA363" s="48"/>
    </row>
    <row r="364" spans="1:53" hidden="1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8"/>
      <c r="AH364" s="48"/>
      <c r="AI364" s="48"/>
      <c r="AJ364" s="48"/>
      <c r="AK364" s="48"/>
      <c r="AL364" s="48"/>
      <c r="AM364" s="48"/>
      <c r="AN364" s="48"/>
      <c r="AO364" s="48"/>
      <c r="AP364" s="48"/>
      <c r="AQ364" s="48"/>
      <c r="AR364" s="48"/>
      <c r="AS364" s="48"/>
      <c r="AT364" s="48"/>
      <c r="AU364" s="48"/>
      <c r="AV364" s="48"/>
      <c r="AW364" s="48"/>
      <c r="AX364" s="48"/>
      <c r="AY364" s="48"/>
      <c r="AZ364" s="48"/>
      <c r="BA364" s="48"/>
    </row>
    <row r="365" spans="1:53" hidden="1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  <c r="AZ365" s="48"/>
      <c r="BA365" s="48"/>
    </row>
    <row r="366" spans="1:53" hidden="1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8"/>
      <c r="AH366" s="48"/>
      <c r="AI366" s="48"/>
      <c r="AJ366" s="48"/>
      <c r="AK366" s="48"/>
      <c r="AL366" s="48"/>
      <c r="AM366" s="48"/>
      <c r="AN366" s="48"/>
      <c r="AO366" s="48"/>
      <c r="AP366" s="48"/>
      <c r="AQ366" s="48"/>
      <c r="AR366" s="48"/>
      <c r="AS366" s="48"/>
      <c r="AT366" s="48"/>
      <c r="AU366" s="48"/>
      <c r="AV366" s="48"/>
      <c r="AW366" s="48"/>
      <c r="AX366" s="48"/>
      <c r="AY366" s="48"/>
      <c r="AZ366" s="48"/>
      <c r="BA366" s="48"/>
    </row>
    <row r="367" spans="1:53" hidden="1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  <c r="AZ367" s="48"/>
      <c r="BA367" s="48"/>
    </row>
    <row r="368" spans="1:53" hidden="1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  <c r="AC368" s="48"/>
      <c r="AD368" s="48"/>
      <c r="AE368" s="4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48"/>
      <c r="AY368" s="48"/>
      <c r="AZ368" s="48"/>
      <c r="BA368" s="48"/>
    </row>
    <row r="369" spans="1:53" hidden="1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  <c r="AZ369" s="48"/>
      <c r="BA369" s="48"/>
    </row>
    <row r="370" spans="1:53" hidden="1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8"/>
      <c r="AH370" s="48"/>
      <c r="AI370" s="48"/>
      <c r="AJ370" s="48"/>
      <c r="AK370" s="48"/>
      <c r="AL370" s="48"/>
      <c r="AM370" s="48"/>
      <c r="AN370" s="48"/>
      <c r="AO370" s="48"/>
      <c r="AP370" s="48"/>
      <c r="AQ370" s="48"/>
      <c r="AR370" s="48"/>
      <c r="AS370" s="48"/>
      <c r="AT370" s="48"/>
      <c r="AU370" s="48"/>
      <c r="AV370" s="48"/>
      <c r="AW370" s="48"/>
      <c r="AX370" s="48"/>
      <c r="AY370" s="48"/>
      <c r="AZ370" s="48"/>
      <c r="BA370" s="48"/>
    </row>
    <row r="371" spans="1:53" hidden="1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  <c r="AZ371" s="48"/>
      <c r="BA371" s="48"/>
    </row>
    <row r="372" spans="1:53" hidden="1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8"/>
      <c r="AH372" s="48"/>
      <c r="AI372" s="48"/>
      <c r="AJ372" s="48"/>
      <c r="AK372" s="48"/>
      <c r="AL372" s="48"/>
      <c r="AM372" s="48"/>
      <c r="AN372" s="48"/>
      <c r="AO372" s="48"/>
      <c r="AP372" s="48"/>
      <c r="AQ372" s="48"/>
      <c r="AR372" s="48"/>
      <c r="AS372" s="48"/>
      <c r="AT372" s="48"/>
      <c r="AU372" s="48"/>
      <c r="AV372" s="48"/>
      <c r="AW372" s="48"/>
      <c r="AX372" s="48"/>
      <c r="AY372" s="48"/>
      <c r="AZ372" s="48"/>
      <c r="BA372" s="48"/>
    </row>
    <row r="373" spans="1:53" hidden="1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  <c r="AZ373" s="48"/>
      <c r="BA373" s="48"/>
    </row>
    <row r="374" spans="1:53" hidden="1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8"/>
      <c r="AH374" s="48"/>
      <c r="AI374" s="48"/>
      <c r="AJ374" s="48"/>
      <c r="AK374" s="48"/>
      <c r="AL374" s="48"/>
      <c r="AM374" s="48"/>
      <c r="AN374" s="48"/>
      <c r="AO374" s="48"/>
      <c r="AP374" s="48"/>
      <c r="AQ374" s="48"/>
      <c r="AR374" s="48"/>
      <c r="AS374" s="48"/>
      <c r="AT374" s="48"/>
      <c r="AU374" s="48"/>
      <c r="AV374" s="48"/>
      <c r="AW374" s="48"/>
      <c r="AX374" s="48"/>
      <c r="AY374" s="48"/>
      <c r="AZ374" s="48"/>
      <c r="BA374" s="48"/>
    </row>
    <row r="375" spans="1:53" hidden="1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  <c r="AZ375" s="48"/>
      <c r="BA375" s="48"/>
    </row>
    <row r="376" spans="1:53" hidden="1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8"/>
      <c r="AH376" s="48"/>
      <c r="AI376" s="48"/>
      <c r="AJ376" s="48"/>
      <c r="AK376" s="48"/>
      <c r="AL376" s="48"/>
      <c r="AM376" s="48"/>
      <c r="AN376" s="48"/>
      <c r="AO376" s="48"/>
      <c r="AP376" s="48"/>
      <c r="AQ376" s="48"/>
      <c r="AR376" s="48"/>
      <c r="AS376" s="48"/>
      <c r="AT376" s="48"/>
      <c r="AU376" s="48"/>
      <c r="AV376" s="48"/>
      <c r="AW376" s="48"/>
      <c r="AX376" s="48"/>
      <c r="AY376" s="48"/>
      <c r="AZ376" s="48"/>
      <c r="BA376" s="48"/>
    </row>
    <row r="377" spans="1:53" hidden="1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  <c r="AZ377" s="48"/>
      <c r="BA377" s="48"/>
    </row>
    <row r="378" spans="1:53" hidden="1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8"/>
      <c r="AP378" s="48"/>
      <c r="AQ378" s="48"/>
      <c r="AR378" s="48"/>
      <c r="AS378" s="48"/>
      <c r="AT378" s="48"/>
      <c r="AU378" s="48"/>
      <c r="AV378" s="48"/>
      <c r="AW378" s="48"/>
      <c r="AX378" s="48"/>
      <c r="AY378" s="48"/>
      <c r="AZ378" s="48"/>
      <c r="BA378" s="48"/>
    </row>
    <row r="379" spans="1:53" hidden="1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  <c r="AZ379" s="48"/>
      <c r="BA379" s="48"/>
    </row>
    <row r="380" spans="1:53" hidden="1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  <c r="AZ380" s="48"/>
      <c r="BA380" s="48"/>
    </row>
    <row r="381" spans="1:53" hidden="1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  <c r="AZ381" s="48"/>
      <c r="BA381" s="48"/>
    </row>
    <row r="382" spans="1:53" hidden="1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8"/>
      <c r="AH382" s="48"/>
      <c r="AI382" s="48"/>
      <c r="AJ382" s="48"/>
      <c r="AK382" s="48"/>
      <c r="AL382" s="48"/>
      <c r="AM382" s="48"/>
      <c r="AN382" s="48"/>
      <c r="AO382" s="48"/>
      <c r="AP382" s="48"/>
      <c r="AQ382" s="48"/>
      <c r="AR382" s="48"/>
      <c r="AS382" s="48"/>
      <c r="AT382" s="48"/>
      <c r="AU382" s="48"/>
      <c r="AV382" s="48"/>
      <c r="AW382" s="48"/>
      <c r="AX382" s="48"/>
      <c r="AY382" s="48"/>
      <c r="AZ382" s="48"/>
      <c r="BA382" s="48"/>
    </row>
    <row r="383" spans="1:53" hidden="1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  <c r="AZ383" s="48"/>
      <c r="BA383" s="48"/>
    </row>
    <row r="384" spans="1:53" hidden="1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</row>
    <row r="385" spans="1:53" hidden="1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</row>
    <row r="386" spans="1:53" hidden="1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  <c r="AB386" s="48"/>
      <c r="AC386" s="48"/>
      <c r="AD386" s="48"/>
      <c r="AE386" s="48"/>
      <c r="AF386" s="48"/>
      <c r="AG386" s="48"/>
      <c r="AH386" s="48"/>
      <c r="AI386" s="48"/>
      <c r="AJ386" s="48"/>
      <c r="AK386" s="48"/>
      <c r="AL386" s="48"/>
      <c r="AM386" s="48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</row>
    <row r="387" spans="1:53" hidden="1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</row>
    <row r="388" spans="1:53" hidden="1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</row>
    <row r="389" spans="1:53" hidden="1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</row>
    <row r="390" spans="1:53" hidden="1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  <c r="AC390" s="48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</row>
    <row r="391" spans="1:53" hidden="1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</row>
    <row r="392" spans="1:53" hidden="1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</row>
    <row r="393" spans="1:53" hidden="1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</row>
    <row r="394" spans="1:53" hidden="1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  <c r="AB394" s="48"/>
      <c r="AC394" s="4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</row>
    <row r="395" spans="1:53" hidden="1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</row>
    <row r="396" spans="1:53" hidden="1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</row>
    <row r="397" spans="1:53" hidden="1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</row>
    <row r="398" spans="1:53" hidden="1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</row>
    <row r="399" spans="1:53" hidden="1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</row>
    <row r="400" spans="1:53" hidden="1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</row>
    <row r="401" spans="1:53" hidden="1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</row>
    <row r="402" spans="1:53" hidden="1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  <c r="AC402" s="4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</row>
    <row r="403" spans="1:53" hidden="1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</row>
    <row r="404" spans="1:53" hidden="1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</row>
    <row r="405" spans="1:53" hidden="1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</row>
    <row r="406" spans="1:53" hidden="1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  <c r="AB406" s="48"/>
      <c r="AC406" s="4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</row>
    <row r="407" spans="1:53" hidden="1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</row>
    <row r="408" spans="1:53" hidden="1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  <c r="AC408" s="4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</row>
    <row r="409" spans="1:53" hidden="1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</row>
    <row r="410" spans="1:53" hidden="1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  <c r="AB410" s="48"/>
      <c r="AC410" s="4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</row>
    <row r="411" spans="1:53" hidden="1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</row>
    <row r="412" spans="1:53" hidden="1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  <c r="AB412" s="48"/>
      <c r="AC412" s="4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</row>
    <row r="413" spans="1:53" hidden="1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</row>
    <row r="414" spans="1:53" hidden="1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</row>
    <row r="415" spans="1:53" hidden="1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</row>
    <row r="416" spans="1:53" hidden="1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  <c r="AC416" s="4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</row>
    <row r="417" spans="1:53" hidden="1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</row>
    <row r="418" spans="1:53" hidden="1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  <c r="AC418" s="4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</row>
    <row r="419" spans="1:53" hidden="1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</row>
    <row r="420" spans="1:53" hidden="1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  <c r="AC420" s="4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</row>
    <row r="421" spans="1:53" hidden="1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</row>
    <row r="422" spans="1:53" hidden="1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  <c r="AC422" s="4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</row>
    <row r="423" spans="1:53" hidden="1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</row>
    <row r="424" spans="1:53" hidden="1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  <c r="AC424" s="4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</row>
    <row r="425" spans="1:53" hidden="1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</row>
    <row r="426" spans="1:53" hidden="1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  <c r="AC426" s="4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</row>
    <row r="427" spans="1:53" hidden="1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</row>
    <row r="428" spans="1:53" hidden="1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  <c r="AC428" s="4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</row>
    <row r="429" spans="1:53" hidden="1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</row>
    <row r="430" spans="1:53" hidden="1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  <c r="AC430" s="4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</row>
    <row r="431" spans="1:53" hidden="1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</row>
    <row r="432" spans="1:53" hidden="1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  <c r="AC432" s="4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</row>
    <row r="433" spans="1:53" hidden="1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</row>
    <row r="434" spans="1:53" hidden="1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  <c r="AC434" s="4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</row>
    <row r="435" spans="1:53" hidden="1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</row>
    <row r="436" spans="1:53" hidden="1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</row>
    <row r="437" spans="1:53" hidden="1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</row>
    <row r="438" spans="1:53" hidden="1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  <c r="AB438" s="48"/>
      <c r="AC438" s="48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</row>
    <row r="439" spans="1:53" hidden="1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  <c r="AC439" s="48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</row>
    <row r="440" spans="1:53" hidden="1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  <c r="AB440" s="48"/>
      <c r="AC440" s="48"/>
      <c r="AD440" s="48"/>
      <c r="AE440" s="48"/>
      <c r="AF440" s="48"/>
      <c r="AG440" s="48"/>
      <c r="AH440" s="48"/>
      <c r="AI440" s="48"/>
      <c r="AJ440" s="48"/>
      <c r="AK440" s="48"/>
      <c r="AL440" s="48"/>
      <c r="AM440" s="48"/>
      <c r="AN440" s="48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</row>
    <row r="441" spans="1:53" hidden="1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  <c r="AC441" s="48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</row>
    <row r="442" spans="1:53" hidden="1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C442" s="48"/>
      <c r="AD442" s="48"/>
      <c r="AE442" s="48"/>
      <c r="AF442" s="48"/>
      <c r="AG442" s="48"/>
      <c r="AH442" s="48"/>
      <c r="AI442" s="48"/>
      <c r="AJ442" s="48"/>
      <c r="AK442" s="48"/>
      <c r="AL442" s="48"/>
      <c r="AM442" s="48"/>
      <c r="AN442" s="48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</row>
    <row r="443" spans="1:53" hidden="1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  <c r="AC443" s="48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</row>
    <row r="444" spans="1:53" hidden="1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</row>
    <row r="445" spans="1:53" hidden="1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  <c r="AC445" s="48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</row>
    <row r="446" spans="1:53" hidden="1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  <c r="AB446" s="48"/>
      <c r="AC446" s="48"/>
      <c r="AD446" s="48"/>
      <c r="AE446" s="48"/>
      <c r="AF446" s="48"/>
      <c r="AG446" s="48"/>
      <c r="AH446" s="48"/>
      <c r="AI446" s="48"/>
      <c r="AJ446" s="48"/>
      <c r="AK446" s="48"/>
      <c r="AL446" s="48"/>
      <c r="AM446" s="48"/>
      <c r="AN446" s="48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</row>
    <row r="447" spans="1:53" hidden="1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  <c r="AC447" s="48"/>
      <c r="AD447" s="48"/>
      <c r="AE447" s="48"/>
      <c r="AF447" s="48"/>
      <c r="AG447" s="48"/>
      <c r="AH447" s="48"/>
      <c r="AI447" s="48"/>
      <c r="AJ447" s="48"/>
      <c r="AK447" s="48"/>
      <c r="AL447" s="48"/>
      <c r="AM447" s="48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</row>
    <row r="448" spans="1:53" hidden="1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  <c r="AB448" s="48"/>
      <c r="AC448" s="48"/>
      <c r="AD448" s="48"/>
      <c r="AE448" s="48"/>
      <c r="AF448" s="48"/>
      <c r="AG448" s="48"/>
      <c r="AH448" s="48"/>
      <c r="AI448" s="48"/>
      <c r="AJ448" s="48"/>
      <c r="AK448" s="48"/>
      <c r="AL448" s="48"/>
      <c r="AM448" s="48"/>
      <c r="AN448" s="48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</row>
    <row r="449" spans="1:53" hidden="1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  <c r="AC449" s="48"/>
      <c r="AD449" s="48"/>
      <c r="AE449" s="48"/>
      <c r="AF449" s="48"/>
      <c r="AG449" s="48"/>
      <c r="AH449" s="48"/>
      <c r="AI449" s="48"/>
      <c r="AJ449" s="48"/>
      <c r="AK449" s="48"/>
      <c r="AL449" s="48"/>
      <c r="AM449" s="48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</row>
    <row r="450" spans="1:53" hidden="1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  <c r="AB450" s="48"/>
      <c r="AC450" s="48"/>
      <c r="AD450" s="48"/>
      <c r="AE450" s="48"/>
      <c r="AF450" s="48"/>
      <c r="AG450" s="48"/>
      <c r="AH450" s="48"/>
      <c r="AI450" s="48"/>
      <c r="AJ450" s="48"/>
      <c r="AK450" s="48"/>
      <c r="AL450" s="48"/>
      <c r="AM450" s="48"/>
      <c r="AN450" s="48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</row>
    <row r="451" spans="1:53" hidden="1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  <c r="AC451" s="48"/>
      <c r="AD451" s="48"/>
      <c r="AE451" s="48"/>
      <c r="AF451" s="48"/>
      <c r="AG451" s="48"/>
      <c r="AH451" s="48"/>
      <c r="AI451" s="48"/>
      <c r="AJ451" s="48"/>
      <c r="AK451" s="48"/>
      <c r="AL451" s="48"/>
      <c r="AM451" s="48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</row>
    <row r="452" spans="1:53" hidden="1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  <c r="AB452" s="48"/>
      <c r="AC452" s="48"/>
      <c r="AD452" s="48"/>
      <c r="AE452" s="48"/>
      <c r="AF452" s="48"/>
      <c r="AG452" s="48"/>
      <c r="AH452" s="48"/>
      <c r="AI452" s="48"/>
      <c r="AJ452" s="48"/>
      <c r="AK452" s="48"/>
      <c r="AL452" s="48"/>
      <c r="AM452" s="48"/>
      <c r="AN452" s="48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</row>
    <row r="453" spans="1:53" hidden="1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  <c r="AC453" s="48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</row>
    <row r="454" spans="1:53" hidden="1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  <c r="AB454" s="48"/>
      <c r="AC454" s="48"/>
      <c r="AD454" s="48"/>
      <c r="AE454" s="48"/>
      <c r="AF454" s="48"/>
      <c r="AG454" s="48"/>
      <c r="AH454" s="48"/>
      <c r="AI454" s="48"/>
      <c r="AJ454" s="48"/>
      <c r="AK454" s="48"/>
      <c r="AL454" s="48"/>
      <c r="AM454" s="48"/>
      <c r="AN454" s="48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</row>
    <row r="455" spans="1:53" hidden="1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  <c r="AC455" s="48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</row>
    <row r="456" spans="1:53" hidden="1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  <c r="AB456" s="48"/>
      <c r="AC456" s="48"/>
      <c r="AD456" s="48"/>
      <c r="AE456" s="48"/>
      <c r="AF456" s="48"/>
      <c r="AG456" s="48"/>
      <c r="AH456" s="48"/>
      <c r="AI456" s="48"/>
      <c r="AJ456" s="48"/>
      <c r="AK456" s="48"/>
      <c r="AL456" s="48"/>
      <c r="AM456" s="48"/>
      <c r="AN456" s="48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</row>
    <row r="457" spans="1:53" hidden="1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</row>
    <row r="458" spans="1:53" hidden="1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  <c r="AB458" s="48"/>
      <c r="AC458" s="48"/>
      <c r="AD458" s="48"/>
      <c r="AE458" s="48"/>
      <c r="AF458" s="48"/>
      <c r="AG458" s="48"/>
      <c r="AH458" s="48"/>
      <c r="AI458" s="48"/>
      <c r="AJ458" s="48"/>
      <c r="AK458" s="48"/>
      <c r="AL458" s="48"/>
      <c r="AM458" s="48"/>
      <c r="AN458" s="48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</row>
    <row r="459" spans="1:53" hidden="1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  <c r="AC459" s="48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</row>
    <row r="460" spans="1:53" hidden="1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  <c r="AB460" s="48"/>
      <c r="AC460" s="48"/>
      <c r="AD460" s="48"/>
      <c r="AE460" s="48"/>
      <c r="AF460" s="48"/>
      <c r="AG460" s="48"/>
      <c r="AH460" s="48"/>
      <c r="AI460" s="48"/>
      <c r="AJ460" s="48"/>
      <c r="AK460" s="48"/>
      <c r="AL460" s="48"/>
      <c r="AM460" s="48"/>
      <c r="AN460" s="48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</row>
    <row r="461" spans="1:53" hidden="1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  <c r="AC461" s="48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</row>
    <row r="462" spans="1:53" hidden="1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  <c r="AB462" s="48"/>
      <c r="AC462" s="48"/>
      <c r="AD462" s="48"/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</row>
    <row r="463" spans="1:53" hidden="1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</row>
    <row r="464" spans="1:53" hidden="1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  <c r="AB464" s="48"/>
      <c r="AC464" s="48"/>
      <c r="AD464" s="48"/>
      <c r="AE464" s="48"/>
      <c r="AF464" s="48"/>
      <c r="AG464" s="48"/>
      <c r="AH464" s="48"/>
      <c r="AI464" s="48"/>
      <c r="AJ464" s="48"/>
      <c r="AK464" s="48"/>
      <c r="AL464" s="48"/>
      <c r="AM464" s="48"/>
      <c r="AN464" s="48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</row>
    <row r="465" spans="1:53" hidden="1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  <c r="AC465" s="48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</row>
    <row r="466" spans="1:53" hidden="1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  <c r="AB466" s="48"/>
      <c r="AC466" s="48"/>
      <c r="AD466" s="48"/>
      <c r="AE466" s="48"/>
      <c r="AF466" s="48"/>
      <c r="AG466" s="48"/>
      <c r="AH466" s="48"/>
      <c r="AI466" s="48"/>
      <c r="AJ466" s="48"/>
      <c r="AK466" s="48"/>
      <c r="AL466" s="48"/>
      <c r="AM466" s="48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</row>
    <row r="467" spans="1:53" hidden="1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  <c r="AC467" s="48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</row>
    <row r="468" spans="1:53" hidden="1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  <c r="AB468" s="48"/>
      <c r="AC468" s="48"/>
      <c r="AD468" s="48"/>
      <c r="AE468" s="48"/>
      <c r="AF468" s="48"/>
      <c r="AG468" s="48"/>
      <c r="AH468" s="48"/>
      <c r="AI468" s="48"/>
      <c r="AJ468" s="48"/>
      <c r="AK468" s="48"/>
      <c r="AL468" s="48"/>
      <c r="AM468" s="48"/>
      <c r="AN468" s="48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</row>
    <row r="469" spans="1:53" hidden="1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  <c r="AC469" s="48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</row>
    <row r="470" spans="1:53" hidden="1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  <c r="AB470" s="48"/>
      <c r="AC470" s="48"/>
      <c r="AD470" s="48"/>
      <c r="AE470" s="48"/>
      <c r="AF470" s="48"/>
      <c r="AG470" s="48"/>
      <c r="AH470" s="48"/>
      <c r="AI470" s="48"/>
      <c r="AJ470" s="48"/>
      <c r="AK470" s="48"/>
      <c r="AL470" s="48"/>
      <c r="AM470" s="48"/>
      <c r="AN470" s="48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</row>
    <row r="471" spans="1:53" hidden="1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  <c r="AC471" s="48"/>
      <c r="AD471" s="48"/>
      <c r="AE471" s="48"/>
      <c r="AF471" s="48"/>
      <c r="AG471" s="48"/>
      <c r="AH471" s="48"/>
      <c r="AI471" s="48"/>
      <c r="AJ471" s="48"/>
      <c r="AK471" s="48"/>
      <c r="AL471" s="48"/>
      <c r="AM471" s="48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</row>
    <row r="472" spans="1:53" hidden="1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  <c r="AB472" s="48"/>
      <c r="AC472" s="48"/>
      <c r="AD472" s="48"/>
      <c r="AE472" s="48"/>
      <c r="AF472" s="48"/>
      <c r="AG472" s="48"/>
      <c r="AH472" s="48"/>
      <c r="AI472" s="48"/>
      <c r="AJ472" s="48"/>
      <c r="AK472" s="48"/>
      <c r="AL472" s="48"/>
      <c r="AM472" s="48"/>
      <c r="AN472" s="48"/>
      <c r="AO472" s="48"/>
      <c r="AP472" s="48"/>
      <c r="AQ472" s="48"/>
      <c r="AR472" s="48"/>
      <c r="AS472" s="48"/>
      <c r="AT472" s="48"/>
      <c r="AU472" s="48"/>
      <c r="AV472" s="48"/>
      <c r="AW472" s="48"/>
      <c r="AX472" s="48"/>
      <c r="AY472" s="48"/>
      <c r="AZ472" s="48"/>
      <c r="BA472" s="48"/>
    </row>
    <row r="473" spans="1:53" hidden="1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  <c r="AC473" s="48"/>
      <c r="AD473" s="48"/>
      <c r="AE473" s="48"/>
      <c r="AF473" s="48"/>
      <c r="AG473" s="48"/>
      <c r="AH473" s="48"/>
      <c r="AI473" s="48"/>
      <c r="AJ473" s="48"/>
      <c r="AK473" s="48"/>
      <c r="AL473" s="48"/>
      <c r="AM473" s="48"/>
      <c r="AN473" s="48"/>
      <c r="AO473" s="48"/>
      <c r="AP473" s="48"/>
      <c r="AQ473" s="48"/>
      <c r="AR473" s="48"/>
      <c r="AS473" s="48"/>
      <c r="AT473" s="48"/>
      <c r="AU473" s="48"/>
      <c r="AV473" s="48"/>
      <c r="AW473" s="48"/>
      <c r="AX473" s="48"/>
      <c r="AY473" s="48"/>
      <c r="AZ473" s="48"/>
      <c r="BA473" s="48"/>
    </row>
    <row r="474" spans="1:53" hidden="1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  <c r="AB474" s="48"/>
      <c r="AC474" s="48"/>
      <c r="AD474" s="48"/>
      <c r="AE474" s="48"/>
      <c r="AF474" s="48"/>
      <c r="AG474" s="48"/>
      <c r="AH474" s="48"/>
      <c r="AI474" s="48"/>
      <c r="AJ474" s="48"/>
      <c r="AK474" s="48"/>
      <c r="AL474" s="48"/>
      <c r="AM474" s="48"/>
      <c r="AN474" s="48"/>
      <c r="AO474" s="48"/>
      <c r="AP474" s="48"/>
      <c r="AQ474" s="48"/>
      <c r="AR474" s="48"/>
      <c r="AS474" s="48"/>
      <c r="AT474" s="48"/>
      <c r="AU474" s="48"/>
      <c r="AV474" s="48"/>
      <c r="AW474" s="48"/>
      <c r="AX474" s="48"/>
      <c r="AY474" s="48"/>
      <c r="AZ474" s="48"/>
      <c r="BA474" s="48"/>
    </row>
    <row r="475" spans="1:53" hidden="1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  <c r="AC475" s="48"/>
      <c r="AD475" s="48"/>
      <c r="AE475" s="48"/>
      <c r="AF475" s="48"/>
      <c r="AG475" s="48"/>
      <c r="AH475" s="48"/>
      <c r="AI475" s="48"/>
      <c r="AJ475" s="48"/>
      <c r="AK475" s="48"/>
      <c r="AL475" s="48"/>
      <c r="AM475" s="48"/>
      <c r="AN475" s="48"/>
      <c r="AO475" s="48"/>
      <c r="AP475" s="48"/>
      <c r="AQ475" s="48"/>
      <c r="AR475" s="48"/>
      <c r="AS475" s="48"/>
      <c r="AT475" s="48"/>
      <c r="AU475" s="48"/>
      <c r="AV475" s="48"/>
      <c r="AW475" s="48"/>
      <c r="AX475" s="48"/>
      <c r="AY475" s="48"/>
      <c r="AZ475" s="48"/>
      <c r="BA475" s="48"/>
    </row>
    <row r="476" spans="1:53" hidden="1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  <c r="AB476" s="48"/>
      <c r="AC476" s="48"/>
      <c r="AD476" s="48"/>
      <c r="AE476" s="48"/>
      <c r="AF476" s="48"/>
      <c r="AG476" s="48"/>
      <c r="AH476" s="48"/>
      <c r="AI476" s="48"/>
      <c r="AJ476" s="48"/>
      <c r="AK476" s="48"/>
      <c r="AL476" s="48"/>
      <c r="AM476" s="48"/>
      <c r="AN476" s="48"/>
      <c r="AO476" s="48"/>
      <c r="AP476" s="48"/>
      <c r="AQ476" s="48"/>
      <c r="AR476" s="48"/>
      <c r="AS476" s="48"/>
      <c r="AT476" s="48"/>
      <c r="AU476" s="48"/>
      <c r="AV476" s="48"/>
      <c r="AW476" s="48"/>
      <c r="AX476" s="48"/>
      <c r="AY476" s="48"/>
      <c r="AZ476" s="48"/>
      <c r="BA476" s="48"/>
    </row>
    <row r="477" spans="1:53" hidden="1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  <c r="AM477" s="48"/>
      <c r="AN477" s="48"/>
      <c r="AO477" s="48"/>
      <c r="AP477" s="48"/>
      <c r="AQ477" s="48"/>
      <c r="AR477" s="48"/>
      <c r="AS477" s="48"/>
      <c r="AT477" s="48"/>
      <c r="AU477" s="48"/>
      <c r="AV477" s="48"/>
      <c r="AW477" s="48"/>
      <c r="AX477" s="48"/>
      <c r="AY477" s="48"/>
      <c r="AZ477" s="48"/>
      <c r="BA477" s="48"/>
    </row>
    <row r="478" spans="1:53" hidden="1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  <c r="AB478" s="48"/>
      <c r="AC478" s="48"/>
      <c r="AD478" s="48"/>
      <c r="AE478" s="48"/>
      <c r="AF478" s="48"/>
      <c r="AG478" s="48"/>
      <c r="AH478" s="48"/>
      <c r="AI478" s="48"/>
      <c r="AJ478" s="48"/>
      <c r="AK478" s="48"/>
      <c r="AL478" s="48"/>
      <c r="AM478" s="48"/>
      <c r="AN478" s="48"/>
      <c r="AO478" s="48"/>
      <c r="AP478" s="48"/>
      <c r="AQ478" s="48"/>
      <c r="AR478" s="48"/>
      <c r="AS478" s="48"/>
      <c r="AT478" s="48"/>
      <c r="AU478" s="48"/>
      <c r="AV478" s="48"/>
      <c r="AW478" s="48"/>
      <c r="AX478" s="48"/>
      <c r="AY478" s="48"/>
      <c r="AZ478" s="48"/>
      <c r="BA478" s="48"/>
    </row>
    <row r="479" spans="1:53" hidden="1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  <c r="AC479" s="48"/>
      <c r="AD479" s="48"/>
      <c r="AE479" s="48"/>
      <c r="AF479" s="48"/>
      <c r="AG479" s="48"/>
      <c r="AH479" s="48"/>
      <c r="AI479" s="48"/>
      <c r="AJ479" s="48"/>
      <c r="AK479" s="48"/>
      <c r="AL479" s="48"/>
      <c r="AM479" s="48"/>
      <c r="AN479" s="48"/>
      <c r="AO479" s="48"/>
      <c r="AP479" s="48"/>
      <c r="AQ479" s="48"/>
      <c r="AR479" s="48"/>
      <c r="AS479" s="48"/>
      <c r="AT479" s="48"/>
      <c r="AU479" s="48"/>
      <c r="AV479" s="48"/>
      <c r="AW479" s="48"/>
      <c r="AX479" s="48"/>
      <c r="AY479" s="48"/>
      <c r="AZ479" s="48"/>
      <c r="BA479" s="48"/>
    </row>
    <row r="480" spans="1:53" hidden="1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  <c r="AB480" s="48"/>
      <c r="AC480" s="48"/>
      <c r="AD480" s="48"/>
      <c r="AE480" s="48"/>
      <c r="AF480" s="48"/>
      <c r="AG480" s="48"/>
      <c r="AH480" s="48"/>
      <c r="AI480" s="48"/>
      <c r="AJ480" s="48"/>
      <c r="AK480" s="48"/>
      <c r="AL480" s="48"/>
      <c r="AM480" s="48"/>
      <c r="AN480" s="48"/>
      <c r="AO480" s="48"/>
      <c r="AP480" s="48"/>
      <c r="AQ480" s="48"/>
      <c r="AR480" s="48"/>
      <c r="AS480" s="48"/>
      <c r="AT480" s="48"/>
      <c r="AU480" s="48"/>
      <c r="AV480" s="48"/>
      <c r="AW480" s="48"/>
      <c r="AX480" s="48"/>
      <c r="AY480" s="48"/>
      <c r="AZ480" s="48"/>
      <c r="BA480" s="48"/>
    </row>
    <row r="481" spans="1:53" hidden="1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  <c r="AC481" s="48"/>
      <c r="AD481" s="48"/>
      <c r="AE481" s="48"/>
      <c r="AF481" s="48"/>
      <c r="AG481" s="48"/>
      <c r="AH481" s="48"/>
      <c r="AI481" s="48"/>
      <c r="AJ481" s="48"/>
      <c r="AK481" s="48"/>
      <c r="AL481" s="48"/>
      <c r="AM481" s="48"/>
      <c r="AN481" s="48"/>
      <c r="AO481" s="48"/>
      <c r="AP481" s="48"/>
      <c r="AQ481" s="48"/>
      <c r="AR481" s="48"/>
      <c r="AS481" s="48"/>
      <c r="AT481" s="48"/>
      <c r="AU481" s="48"/>
      <c r="AV481" s="48"/>
      <c r="AW481" s="48"/>
      <c r="AX481" s="48"/>
      <c r="AY481" s="48"/>
      <c r="AZ481" s="48"/>
      <c r="BA481" s="48"/>
    </row>
    <row r="482" spans="1:53" hidden="1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  <c r="AB482" s="48"/>
      <c r="AC482" s="48"/>
      <c r="AD482" s="48"/>
      <c r="AE482" s="48"/>
      <c r="AF482" s="48"/>
      <c r="AG482" s="48"/>
      <c r="AH482" s="48"/>
      <c r="AI482" s="48"/>
      <c r="AJ482" s="48"/>
      <c r="AK482" s="48"/>
      <c r="AL482" s="48"/>
      <c r="AM482" s="48"/>
      <c r="AN482" s="48"/>
      <c r="AO482" s="48"/>
      <c r="AP482" s="48"/>
      <c r="AQ482" s="48"/>
      <c r="AR482" s="48"/>
      <c r="AS482" s="48"/>
      <c r="AT482" s="48"/>
      <c r="AU482" s="48"/>
      <c r="AV482" s="48"/>
      <c r="AW482" s="48"/>
      <c r="AX482" s="48"/>
      <c r="AY482" s="48"/>
      <c r="AZ482" s="48"/>
      <c r="BA482" s="48"/>
    </row>
    <row r="483" spans="1:53" hidden="1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  <c r="AC483" s="48"/>
      <c r="AD483" s="48"/>
      <c r="AE483" s="48"/>
      <c r="AF483" s="48"/>
      <c r="AG483" s="48"/>
      <c r="AH483" s="48"/>
      <c r="AI483" s="48"/>
      <c r="AJ483" s="48"/>
      <c r="AK483" s="48"/>
      <c r="AL483" s="48"/>
      <c r="AM483" s="48"/>
      <c r="AN483" s="48"/>
      <c r="AO483" s="48"/>
      <c r="AP483" s="48"/>
      <c r="AQ483" s="48"/>
      <c r="AR483" s="48"/>
      <c r="AS483" s="48"/>
      <c r="AT483" s="48"/>
      <c r="AU483" s="48"/>
      <c r="AV483" s="48"/>
      <c r="AW483" s="48"/>
      <c r="AX483" s="48"/>
      <c r="AY483" s="48"/>
      <c r="AZ483" s="48"/>
      <c r="BA483" s="48"/>
    </row>
    <row r="484" spans="1:53" hidden="1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  <c r="AB484" s="48"/>
      <c r="AC484" s="48"/>
      <c r="AD484" s="48"/>
      <c r="AE484" s="48"/>
      <c r="AF484" s="48"/>
      <c r="AG484" s="48"/>
      <c r="AH484" s="48"/>
      <c r="AI484" s="48"/>
      <c r="AJ484" s="48"/>
      <c r="AK484" s="48"/>
      <c r="AL484" s="48"/>
      <c r="AM484" s="48"/>
      <c r="AN484" s="48"/>
      <c r="AO484" s="48"/>
      <c r="AP484" s="48"/>
      <c r="AQ484" s="48"/>
      <c r="AR484" s="48"/>
      <c r="AS484" s="48"/>
      <c r="AT484" s="48"/>
      <c r="AU484" s="48"/>
      <c r="AV484" s="48"/>
      <c r="AW484" s="48"/>
      <c r="AX484" s="48"/>
      <c r="AY484" s="48"/>
      <c r="AZ484" s="48"/>
      <c r="BA484" s="48"/>
    </row>
    <row r="485" spans="1:53" hidden="1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  <c r="AC485" s="48"/>
      <c r="AD485" s="48"/>
      <c r="AE485" s="48"/>
      <c r="AF485" s="48"/>
      <c r="AG485" s="48"/>
      <c r="AH485" s="48"/>
      <c r="AI485" s="48"/>
      <c r="AJ485" s="48"/>
      <c r="AK485" s="48"/>
      <c r="AL485" s="48"/>
      <c r="AM485" s="48"/>
      <c r="AN485" s="48"/>
      <c r="AO485" s="48"/>
      <c r="AP485" s="48"/>
      <c r="AQ485" s="48"/>
      <c r="AR485" s="48"/>
      <c r="AS485" s="48"/>
      <c r="AT485" s="48"/>
      <c r="AU485" s="48"/>
      <c r="AV485" s="48"/>
      <c r="AW485" s="48"/>
      <c r="AX485" s="48"/>
      <c r="AY485" s="48"/>
      <c r="AZ485" s="48"/>
      <c r="BA485" s="48"/>
    </row>
    <row r="486" spans="1:53" hidden="1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48"/>
      <c r="AC486" s="48"/>
      <c r="AD486" s="48"/>
      <c r="AE486" s="48"/>
      <c r="AF486" s="48"/>
      <c r="AG486" s="48"/>
      <c r="AH486" s="48"/>
      <c r="AI486" s="48"/>
      <c r="AJ486" s="48"/>
      <c r="AK486" s="48"/>
      <c r="AL486" s="48"/>
      <c r="AM486" s="48"/>
      <c r="AN486" s="48"/>
      <c r="AO486" s="48"/>
      <c r="AP486" s="48"/>
      <c r="AQ486" s="48"/>
      <c r="AR486" s="48"/>
      <c r="AS486" s="48"/>
      <c r="AT486" s="48"/>
      <c r="AU486" s="48"/>
      <c r="AV486" s="48"/>
      <c r="AW486" s="48"/>
      <c r="AX486" s="48"/>
      <c r="AY486" s="48"/>
      <c r="AZ486" s="48"/>
      <c r="BA486" s="48"/>
    </row>
    <row r="487" spans="1:53" hidden="1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  <c r="AC487" s="48"/>
      <c r="AD487" s="48"/>
      <c r="AE487" s="48"/>
      <c r="AF487" s="48"/>
      <c r="AG487" s="48"/>
      <c r="AH487" s="48"/>
      <c r="AI487" s="48"/>
      <c r="AJ487" s="48"/>
      <c r="AK487" s="48"/>
      <c r="AL487" s="48"/>
      <c r="AM487" s="48"/>
      <c r="AN487" s="48"/>
      <c r="AO487" s="48"/>
      <c r="AP487" s="48"/>
      <c r="AQ487" s="48"/>
      <c r="AR487" s="48"/>
      <c r="AS487" s="48"/>
      <c r="AT487" s="48"/>
      <c r="AU487" s="48"/>
      <c r="AV487" s="48"/>
      <c r="AW487" s="48"/>
      <c r="AX487" s="48"/>
      <c r="AY487" s="48"/>
      <c r="AZ487" s="48"/>
      <c r="BA487" s="48"/>
    </row>
    <row r="488" spans="1:53" hidden="1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  <c r="AB488" s="48"/>
      <c r="AC488" s="48"/>
      <c r="AD488" s="48"/>
      <c r="AE488" s="48"/>
      <c r="AF488" s="48"/>
      <c r="AG488" s="48"/>
      <c r="AH488" s="48"/>
      <c r="AI488" s="48"/>
      <c r="AJ488" s="48"/>
      <c r="AK488" s="48"/>
      <c r="AL488" s="48"/>
      <c r="AM488" s="48"/>
      <c r="AN488" s="48"/>
      <c r="AO488" s="48"/>
      <c r="AP488" s="48"/>
      <c r="AQ488" s="48"/>
      <c r="AR488" s="48"/>
      <c r="AS488" s="48"/>
      <c r="AT488" s="48"/>
      <c r="AU488" s="48"/>
      <c r="AV488" s="48"/>
      <c r="AW488" s="48"/>
      <c r="AX488" s="48"/>
      <c r="AY488" s="48"/>
      <c r="AZ488" s="48"/>
      <c r="BA488" s="48"/>
    </row>
    <row r="489" spans="1:53" hidden="1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  <c r="AC489" s="48"/>
      <c r="AD489" s="48"/>
      <c r="AE489" s="48"/>
      <c r="AF489" s="48"/>
      <c r="AG489" s="48"/>
      <c r="AH489" s="48"/>
      <c r="AI489" s="48"/>
      <c r="AJ489" s="48"/>
      <c r="AK489" s="48"/>
      <c r="AL489" s="48"/>
      <c r="AM489" s="48"/>
      <c r="AN489" s="48"/>
      <c r="AO489" s="48"/>
      <c r="AP489" s="48"/>
      <c r="AQ489" s="48"/>
      <c r="AR489" s="48"/>
      <c r="AS489" s="48"/>
      <c r="AT489" s="48"/>
      <c r="AU489" s="48"/>
      <c r="AV489" s="48"/>
      <c r="AW489" s="48"/>
      <c r="AX489" s="48"/>
      <c r="AY489" s="48"/>
      <c r="AZ489" s="48"/>
      <c r="BA489" s="48"/>
    </row>
    <row r="490" spans="1:53" hidden="1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  <c r="AB490" s="48"/>
      <c r="AC490" s="48"/>
      <c r="AD490" s="48"/>
      <c r="AE490" s="48"/>
      <c r="AF490" s="48"/>
      <c r="AG490" s="48"/>
      <c r="AH490" s="48"/>
      <c r="AI490" s="48"/>
      <c r="AJ490" s="48"/>
      <c r="AK490" s="48"/>
      <c r="AL490" s="48"/>
      <c r="AM490" s="48"/>
      <c r="AN490" s="48"/>
      <c r="AO490" s="48"/>
      <c r="AP490" s="48"/>
      <c r="AQ490" s="48"/>
      <c r="AR490" s="48"/>
      <c r="AS490" s="48"/>
      <c r="AT490" s="48"/>
      <c r="AU490" s="48"/>
      <c r="AV490" s="48"/>
      <c r="AW490" s="48"/>
      <c r="AX490" s="48"/>
      <c r="AY490" s="48"/>
      <c r="AZ490" s="48"/>
      <c r="BA490" s="48"/>
    </row>
    <row r="491" spans="1:53" hidden="1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  <c r="AC491" s="48"/>
      <c r="AD491" s="48"/>
      <c r="AE491" s="48"/>
      <c r="AF491" s="48"/>
      <c r="AG491" s="48"/>
      <c r="AH491" s="48"/>
      <c r="AI491" s="48"/>
      <c r="AJ491" s="48"/>
      <c r="AK491" s="48"/>
      <c r="AL491" s="48"/>
      <c r="AM491" s="48"/>
      <c r="AN491" s="48"/>
      <c r="AO491" s="48"/>
      <c r="AP491" s="48"/>
      <c r="AQ491" s="48"/>
      <c r="AR491" s="48"/>
      <c r="AS491" s="48"/>
      <c r="AT491" s="48"/>
      <c r="AU491" s="48"/>
      <c r="AV491" s="48"/>
      <c r="AW491" s="48"/>
      <c r="AX491" s="48"/>
      <c r="AY491" s="48"/>
      <c r="AZ491" s="48"/>
      <c r="BA491" s="48"/>
    </row>
    <row r="492" spans="1:53" hidden="1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  <c r="AB492" s="48"/>
      <c r="AC492" s="48"/>
      <c r="AD492" s="48"/>
      <c r="AE492" s="48"/>
      <c r="AF492" s="48"/>
      <c r="AG492" s="48"/>
      <c r="AH492" s="48"/>
      <c r="AI492" s="48"/>
      <c r="AJ492" s="48"/>
      <c r="AK492" s="48"/>
      <c r="AL492" s="48"/>
      <c r="AM492" s="48"/>
      <c r="AN492" s="48"/>
      <c r="AO492" s="48"/>
      <c r="AP492" s="48"/>
      <c r="AQ492" s="48"/>
      <c r="AR492" s="48"/>
      <c r="AS492" s="48"/>
      <c r="AT492" s="48"/>
      <c r="AU492" s="48"/>
      <c r="AV492" s="48"/>
      <c r="AW492" s="48"/>
      <c r="AX492" s="48"/>
      <c r="AY492" s="48"/>
      <c r="AZ492" s="48"/>
      <c r="BA492" s="48"/>
    </row>
    <row r="493" spans="1:53" hidden="1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  <c r="AC493" s="48"/>
      <c r="AD493" s="48"/>
      <c r="AE493" s="48"/>
      <c r="AF493" s="48"/>
      <c r="AG493" s="48"/>
      <c r="AH493" s="48"/>
      <c r="AI493" s="48"/>
      <c r="AJ493" s="48"/>
      <c r="AK493" s="48"/>
      <c r="AL493" s="48"/>
      <c r="AM493" s="48"/>
      <c r="AN493" s="48"/>
      <c r="AO493" s="48"/>
      <c r="AP493" s="48"/>
      <c r="AQ493" s="48"/>
      <c r="AR493" s="48"/>
      <c r="AS493" s="48"/>
      <c r="AT493" s="48"/>
      <c r="AU493" s="48"/>
      <c r="AV493" s="48"/>
      <c r="AW493" s="48"/>
      <c r="AX493" s="48"/>
      <c r="AY493" s="48"/>
      <c r="AZ493" s="48"/>
      <c r="BA493" s="48"/>
    </row>
    <row r="494" spans="1:53" hidden="1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  <c r="AB494" s="48"/>
      <c r="AC494" s="48"/>
      <c r="AD494" s="48"/>
      <c r="AE494" s="48"/>
      <c r="AF494" s="48"/>
      <c r="AG494" s="48"/>
      <c r="AH494" s="48"/>
      <c r="AI494" s="48"/>
      <c r="AJ494" s="48"/>
      <c r="AK494" s="48"/>
      <c r="AL494" s="48"/>
      <c r="AM494" s="48"/>
      <c r="AN494" s="48"/>
      <c r="AO494" s="48"/>
      <c r="AP494" s="48"/>
      <c r="AQ494" s="48"/>
      <c r="AR494" s="48"/>
      <c r="AS494" s="48"/>
      <c r="AT494" s="48"/>
      <c r="AU494" s="48"/>
      <c r="AV494" s="48"/>
      <c r="AW494" s="48"/>
      <c r="AX494" s="48"/>
      <c r="AY494" s="48"/>
      <c r="AZ494" s="48"/>
      <c r="BA494" s="48"/>
    </row>
    <row r="495" spans="1:53" hidden="1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  <c r="AC495" s="48"/>
      <c r="AD495" s="48"/>
      <c r="AE495" s="48"/>
      <c r="AF495" s="48"/>
      <c r="AG495" s="48"/>
      <c r="AH495" s="48"/>
      <c r="AI495" s="48"/>
      <c r="AJ495" s="48"/>
      <c r="AK495" s="48"/>
      <c r="AL495" s="48"/>
      <c r="AM495" s="48"/>
      <c r="AN495" s="48"/>
      <c r="AO495" s="48"/>
      <c r="AP495" s="48"/>
      <c r="AQ495" s="48"/>
      <c r="AR495" s="48"/>
      <c r="AS495" s="48"/>
      <c r="AT495" s="48"/>
      <c r="AU495" s="48"/>
      <c r="AV495" s="48"/>
      <c r="AW495" s="48"/>
      <c r="AX495" s="48"/>
      <c r="AY495" s="48"/>
      <c r="AZ495" s="48"/>
      <c r="BA495" s="48"/>
    </row>
    <row r="496" spans="1:53" hidden="1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  <c r="AB496" s="48"/>
      <c r="AC496" s="48"/>
      <c r="AD496" s="48"/>
      <c r="AE496" s="48"/>
      <c r="AF496" s="48"/>
      <c r="AG496" s="48"/>
      <c r="AH496" s="48"/>
      <c r="AI496" s="48"/>
      <c r="AJ496" s="48"/>
      <c r="AK496" s="48"/>
      <c r="AL496" s="48"/>
      <c r="AM496" s="48"/>
      <c r="AN496" s="48"/>
      <c r="AO496" s="48"/>
      <c r="AP496" s="48"/>
      <c r="AQ496" s="48"/>
      <c r="AR496" s="48"/>
      <c r="AS496" s="48"/>
      <c r="AT496" s="48"/>
      <c r="AU496" s="48"/>
      <c r="AV496" s="48"/>
      <c r="AW496" s="48"/>
      <c r="AX496" s="48"/>
      <c r="AY496" s="48"/>
      <c r="AZ496" s="48"/>
      <c r="BA496" s="48"/>
    </row>
    <row r="497" spans="1:53" hidden="1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  <c r="AC497" s="48"/>
      <c r="AD497" s="48"/>
      <c r="AE497" s="48"/>
      <c r="AF497" s="48"/>
      <c r="AG497" s="48"/>
      <c r="AH497" s="48"/>
      <c r="AI497" s="48"/>
      <c r="AJ497" s="48"/>
      <c r="AK497" s="48"/>
      <c r="AL497" s="48"/>
      <c r="AM497" s="48"/>
      <c r="AN497" s="48"/>
      <c r="AO497" s="48"/>
      <c r="AP497" s="48"/>
      <c r="AQ497" s="48"/>
      <c r="AR497" s="48"/>
      <c r="AS497" s="48"/>
      <c r="AT497" s="48"/>
      <c r="AU497" s="48"/>
      <c r="AV497" s="48"/>
      <c r="AW497" s="48"/>
      <c r="AX497" s="48"/>
      <c r="AY497" s="48"/>
      <c r="AZ497" s="48"/>
      <c r="BA497" s="48"/>
    </row>
    <row r="498" spans="1:53" hidden="1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  <c r="AB498" s="48"/>
      <c r="AC498" s="48"/>
      <c r="AD498" s="48"/>
      <c r="AE498" s="48"/>
      <c r="AF498" s="48"/>
      <c r="AG498" s="48"/>
      <c r="AH498" s="48"/>
      <c r="AI498" s="48"/>
      <c r="AJ498" s="48"/>
      <c r="AK498" s="48"/>
      <c r="AL498" s="48"/>
      <c r="AM498" s="48"/>
      <c r="AN498" s="48"/>
      <c r="AO498" s="48"/>
      <c r="AP498" s="48"/>
      <c r="AQ498" s="48"/>
      <c r="AR498" s="48"/>
      <c r="AS498" s="48"/>
      <c r="AT498" s="48"/>
      <c r="AU498" s="48"/>
      <c r="AV498" s="48"/>
      <c r="AW498" s="48"/>
      <c r="AX498" s="48"/>
      <c r="AY498" s="48"/>
      <c r="AZ498" s="48"/>
      <c r="BA498" s="48"/>
    </row>
    <row r="499" spans="1:53" hidden="1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  <c r="AC499" s="48"/>
      <c r="AD499" s="48"/>
      <c r="AE499" s="48"/>
      <c r="AF499" s="48"/>
      <c r="AG499" s="48"/>
      <c r="AH499" s="48"/>
      <c r="AI499" s="48"/>
      <c r="AJ499" s="48"/>
      <c r="AK499" s="48"/>
      <c r="AL499" s="48"/>
      <c r="AM499" s="48"/>
      <c r="AN499" s="48"/>
      <c r="AO499" s="48"/>
      <c r="AP499" s="48"/>
      <c r="AQ499" s="48"/>
      <c r="AR499" s="48"/>
      <c r="AS499" s="48"/>
      <c r="AT499" s="48"/>
      <c r="AU499" s="48"/>
      <c r="AV499" s="48"/>
      <c r="AW499" s="48"/>
      <c r="AX499" s="48"/>
      <c r="AY499" s="48"/>
      <c r="AZ499" s="48"/>
      <c r="BA499" s="48"/>
    </row>
    <row r="500" spans="1:53" hidden="1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  <c r="AB500" s="48"/>
      <c r="AC500" s="48"/>
      <c r="AD500" s="48"/>
      <c r="AE500" s="48"/>
      <c r="AF500" s="48"/>
      <c r="AG500" s="48"/>
      <c r="AH500" s="48"/>
      <c r="AI500" s="48"/>
      <c r="AJ500" s="48"/>
      <c r="AK500" s="48"/>
      <c r="AL500" s="48"/>
      <c r="AM500" s="48"/>
      <c r="AN500" s="48"/>
      <c r="AO500" s="48"/>
      <c r="AP500" s="48"/>
      <c r="AQ500" s="48"/>
      <c r="AR500" s="48"/>
      <c r="AS500" s="48"/>
      <c r="AT500" s="48"/>
      <c r="AU500" s="48"/>
      <c r="AV500" s="48"/>
      <c r="AW500" s="48"/>
      <c r="AX500" s="48"/>
      <c r="AY500" s="48"/>
      <c r="AZ500" s="48"/>
      <c r="BA500" s="48"/>
    </row>
    <row r="501" spans="1:53" hidden="1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  <c r="AC501" s="48"/>
      <c r="AD501" s="48"/>
      <c r="AE501" s="48"/>
      <c r="AF501" s="48"/>
      <c r="AG501" s="48"/>
      <c r="AH501" s="48"/>
      <c r="AI501" s="48"/>
      <c r="AJ501" s="48"/>
      <c r="AK501" s="48"/>
      <c r="AL501" s="48"/>
      <c r="AM501" s="48"/>
      <c r="AN501" s="48"/>
      <c r="AO501" s="48"/>
      <c r="AP501" s="48"/>
      <c r="AQ501" s="48"/>
      <c r="AR501" s="48"/>
      <c r="AS501" s="48"/>
      <c r="AT501" s="48"/>
      <c r="AU501" s="48"/>
      <c r="AV501" s="48"/>
      <c r="AW501" s="48"/>
      <c r="AX501" s="48"/>
      <c r="AY501" s="48"/>
      <c r="AZ501" s="48"/>
      <c r="BA501" s="48"/>
    </row>
    <row r="502" spans="1:53" hidden="1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  <c r="AB502" s="48"/>
      <c r="AC502" s="48"/>
      <c r="AD502" s="48"/>
      <c r="AE502" s="48"/>
      <c r="AF502" s="48"/>
      <c r="AG502" s="48"/>
      <c r="AH502" s="48"/>
      <c r="AI502" s="48"/>
      <c r="AJ502" s="48"/>
      <c r="AK502" s="48"/>
      <c r="AL502" s="48"/>
      <c r="AM502" s="48"/>
      <c r="AN502" s="48"/>
      <c r="AO502" s="48"/>
      <c r="AP502" s="48"/>
      <c r="AQ502" s="48"/>
      <c r="AR502" s="48"/>
      <c r="AS502" s="48"/>
      <c r="AT502" s="48"/>
      <c r="AU502" s="48"/>
      <c r="AV502" s="48"/>
      <c r="AW502" s="48"/>
      <c r="AX502" s="48"/>
      <c r="AY502" s="48"/>
      <c r="AZ502" s="48"/>
      <c r="BA502" s="48"/>
    </row>
    <row r="503" spans="1:53" hidden="1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  <c r="AC503" s="48"/>
      <c r="AD503" s="48"/>
      <c r="AE503" s="48"/>
      <c r="AF503" s="48"/>
      <c r="AG503" s="48"/>
      <c r="AH503" s="48"/>
      <c r="AI503" s="48"/>
      <c r="AJ503" s="48"/>
      <c r="AK503" s="48"/>
      <c r="AL503" s="48"/>
      <c r="AM503" s="48"/>
      <c r="AN503" s="48"/>
      <c r="AO503" s="48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  <c r="AZ503" s="48"/>
      <c r="BA503" s="48"/>
    </row>
    <row r="504" spans="1:53" hidden="1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  <c r="AB504" s="48"/>
      <c r="AC504" s="48"/>
      <c r="AD504" s="48"/>
      <c r="AE504" s="48"/>
      <c r="AF504" s="48"/>
      <c r="AG504" s="48"/>
      <c r="AH504" s="48"/>
      <c r="AI504" s="48"/>
      <c r="AJ504" s="48"/>
      <c r="AK504" s="48"/>
      <c r="AL504" s="48"/>
      <c r="AM504" s="48"/>
      <c r="AN504" s="48"/>
      <c r="AO504" s="48"/>
      <c r="AP504" s="48"/>
      <c r="AQ504" s="48"/>
      <c r="AR504" s="48"/>
      <c r="AS504" s="48"/>
      <c r="AT504" s="48"/>
      <c r="AU504" s="48"/>
      <c r="AV504" s="48"/>
      <c r="AW504" s="48"/>
      <c r="AX504" s="48"/>
      <c r="AY504" s="48"/>
      <c r="AZ504" s="48"/>
      <c r="BA504" s="48"/>
    </row>
    <row r="505" spans="1:53" hidden="1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  <c r="AC505" s="48"/>
      <c r="AD505" s="48"/>
      <c r="AE505" s="48"/>
      <c r="AF505" s="48"/>
      <c r="AG505" s="48"/>
      <c r="AH505" s="48"/>
      <c r="AI505" s="48"/>
      <c r="AJ505" s="48"/>
      <c r="AK505" s="48"/>
      <c r="AL505" s="48"/>
      <c r="AM505" s="48"/>
      <c r="AN505" s="48"/>
      <c r="AO505" s="48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  <c r="AZ505" s="48"/>
      <c r="BA505" s="48"/>
    </row>
    <row r="506" spans="1:53" hidden="1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  <c r="AB506" s="48"/>
      <c r="AC506" s="48"/>
      <c r="AD506" s="48"/>
      <c r="AE506" s="48"/>
      <c r="AF506" s="48"/>
      <c r="AG506" s="48"/>
      <c r="AH506" s="48"/>
      <c r="AI506" s="48"/>
      <c r="AJ506" s="48"/>
      <c r="AK506" s="48"/>
      <c r="AL506" s="48"/>
      <c r="AM506" s="48"/>
      <c r="AN506" s="48"/>
      <c r="AO506" s="48"/>
      <c r="AP506" s="48"/>
      <c r="AQ506" s="48"/>
      <c r="AR506" s="48"/>
      <c r="AS506" s="48"/>
      <c r="AT506" s="48"/>
      <c r="AU506" s="48"/>
      <c r="AV506" s="48"/>
      <c r="AW506" s="48"/>
      <c r="AX506" s="48"/>
      <c r="AY506" s="48"/>
      <c r="AZ506" s="48"/>
      <c r="BA506" s="48"/>
    </row>
    <row r="507" spans="1:53" hidden="1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  <c r="AC507" s="48"/>
      <c r="AD507" s="48"/>
      <c r="AE507" s="48"/>
      <c r="AF507" s="48"/>
      <c r="AG507" s="48"/>
      <c r="AH507" s="48"/>
      <c r="AI507" s="48"/>
      <c r="AJ507" s="48"/>
      <c r="AK507" s="48"/>
      <c r="AL507" s="48"/>
      <c r="AM507" s="48"/>
      <c r="AN507" s="48"/>
      <c r="AO507" s="48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  <c r="AZ507" s="48"/>
      <c r="BA507" s="48"/>
    </row>
    <row r="508" spans="1:53" hidden="1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  <c r="AB508" s="48"/>
      <c r="AC508" s="48"/>
      <c r="AD508" s="48"/>
      <c r="AE508" s="48"/>
      <c r="AF508" s="48"/>
      <c r="AG508" s="48"/>
      <c r="AH508" s="48"/>
      <c r="AI508" s="48"/>
      <c r="AJ508" s="48"/>
      <c r="AK508" s="48"/>
      <c r="AL508" s="48"/>
      <c r="AM508" s="48"/>
      <c r="AN508" s="48"/>
      <c r="AO508" s="48"/>
      <c r="AP508" s="48"/>
      <c r="AQ508" s="48"/>
      <c r="AR508" s="48"/>
      <c r="AS508" s="48"/>
      <c r="AT508" s="48"/>
      <c r="AU508" s="48"/>
      <c r="AV508" s="48"/>
      <c r="AW508" s="48"/>
      <c r="AX508" s="48"/>
      <c r="AY508" s="48"/>
      <c r="AZ508" s="48"/>
      <c r="BA508" s="48"/>
    </row>
    <row r="509" spans="1:53" hidden="1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  <c r="AC509" s="48"/>
      <c r="AD509" s="48"/>
      <c r="AE509" s="48"/>
      <c r="AF509" s="48"/>
      <c r="AG509" s="48"/>
      <c r="AH509" s="48"/>
      <c r="AI509" s="48"/>
      <c r="AJ509" s="48"/>
      <c r="AK509" s="48"/>
      <c r="AL509" s="48"/>
      <c r="AM509" s="48"/>
      <c r="AN509" s="48"/>
      <c r="AO509" s="48"/>
      <c r="AP509" s="48"/>
      <c r="AQ509" s="48"/>
      <c r="AR509" s="48"/>
      <c r="AS509" s="48"/>
      <c r="AT509" s="48"/>
      <c r="AU509" s="48"/>
      <c r="AV509" s="48"/>
      <c r="AW509" s="48"/>
      <c r="AX509" s="48"/>
      <c r="AY509" s="48"/>
      <c r="AZ509" s="48"/>
      <c r="BA509" s="48"/>
    </row>
    <row r="510" spans="1:53" hidden="1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  <c r="AB510" s="48"/>
      <c r="AC510" s="48"/>
      <c r="AD510" s="48"/>
      <c r="AE510" s="48"/>
      <c r="AF510" s="48"/>
      <c r="AG510" s="48"/>
      <c r="AH510" s="48"/>
      <c r="AI510" s="48"/>
      <c r="AJ510" s="48"/>
      <c r="AK510" s="48"/>
      <c r="AL510" s="48"/>
      <c r="AM510" s="48"/>
      <c r="AN510" s="48"/>
      <c r="AO510" s="48"/>
      <c r="AP510" s="48"/>
      <c r="AQ510" s="48"/>
      <c r="AR510" s="48"/>
      <c r="AS510" s="48"/>
      <c r="AT510" s="48"/>
      <c r="AU510" s="48"/>
      <c r="AV510" s="48"/>
      <c r="AW510" s="48"/>
      <c r="AX510" s="48"/>
      <c r="AY510" s="48"/>
      <c r="AZ510" s="48"/>
      <c r="BA510" s="48"/>
    </row>
    <row r="511" spans="1:53" hidden="1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  <c r="AC511" s="48"/>
      <c r="AD511" s="48"/>
      <c r="AE511" s="48"/>
      <c r="AF511" s="48"/>
      <c r="AG511" s="48"/>
      <c r="AH511" s="48"/>
      <c r="AI511" s="48"/>
      <c r="AJ511" s="48"/>
      <c r="AK511" s="48"/>
      <c r="AL511" s="48"/>
      <c r="AM511" s="48"/>
      <c r="AN511" s="48"/>
      <c r="AO511" s="48"/>
      <c r="AP511" s="48"/>
      <c r="AQ511" s="48"/>
      <c r="AR511" s="48"/>
      <c r="AS511" s="48"/>
      <c r="AT511" s="48"/>
      <c r="AU511" s="48"/>
      <c r="AV511" s="48"/>
      <c r="AW511" s="48"/>
      <c r="AX511" s="48"/>
      <c r="AY511" s="48"/>
      <c r="AZ511" s="48"/>
      <c r="BA511" s="48"/>
    </row>
    <row r="512" spans="1:53" hidden="1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  <c r="AB512" s="48"/>
      <c r="AC512" s="48"/>
      <c r="AD512" s="48"/>
      <c r="AE512" s="48"/>
      <c r="AF512" s="48"/>
      <c r="AG512" s="48"/>
      <c r="AH512" s="48"/>
      <c r="AI512" s="48"/>
      <c r="AJ512" s="48"/>
      <c r="AK512" s="48"/>
      <c r="AL512" s="48"/>
      <c r="AM512" s="48"/>
      <c r="AN512" s="48"/>
      <c r="AO512" s="48"/>
      <c r="AP512" s="48"/>
      <c r="AQ512" s="48"/>
      <c r="AR512" s="48"/>
      <c r="AS512" s="48"/>
      <c r="AT512" s="48"/>
      <c r="AU512" s="48"/>
      <c r="AV512" s="48"/>
      <c r="AW512" s="48"/>
      <c r="AX512" s="48"/>
      <c r="AY512" s="48"/>
      <c r="AZ512" s="48"/>
      <c r="BA512" s="48"/>
    </row>
    <row r="513" spans="1:53" hidden="1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  <c r="AC513" s="48"/>
      <c r="AD513" s="48"/>
      <c r="AE513" s="48"/>
      <c r="AF513" s="48"/>
      <c r="AG513" s="48"/>
      <c r="AH513" s="48"/>
      <c r="AI513" s="48"/>
      <c r="AJ513" s="48"/>
      <c r="AK513" s="48"/>
      <c r="AL513" s="48"/>
      <c r="AM513" s="48"/>
      <c r="AN513" s="48"/>
      <c r="AO513" s="48"/>
      <c r="AP513" s="48"/>
      <c r="AQ513" s="48"/>
      <c r="AR513" s="48"/>
      <c r="AS513" s="48"/>
      <c r="AT513" s="48"/>
      <c r="AU513" s="48"/>
      <c r="AV513" s="48"/>
      <c r="AW513" s="48"/>
      <c r="AX513" s="48"/>
      <c r="AY513" s="48"/>
      <c r="AZ513" s="48"/>
      <c r="BA513" s="48"/>
    </row>
    <row r="514" spans="1:53" hidden="1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  <c r="AB514" s="48"/>
      <c r="AC514" s="48"/>
      <c r="AD514" s="48"/>
      <c r="AE514" s="48"/>
      <c r="AF514" s="48"/>
      <c r="AG514" s="48"/>
      <c r="AH514" s="48"/>
      <c r="AI514" s="48"/>
      <c r="AJ514" s="48"/>
      <c r="AK514" s="48"/>
      <c r="AL514" s="48"/>
      <c r="AM514" s="48"/>
      <c r="AN514" s="48"/>
      <c r="AO514" s="48"/>
      <c r="AP514" s="48"/>
      <c r="AQ514" s="48"/>
      <c r="AR514" s="48"/>
      <c r="AS514" s="48"/>
      <c r="AT514" s="48"/>
      <c r="AU514" s="48"/>
      <c r="AV514" s="48"/>
      <c r="AW514" s="48"/>
      <c r="AX514" s="48"/>
      <c r="AY514" s="48"/>
      <c r="AZ514" s="48"/>
      <c r="BA514" s="48"/>
    </row>
    <row r="515" spans="1:53" hidden="1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48"/>
      <c r="AC515" s="48"/>
      <c r="AD515" s="48"/>
      <c r="AE515" s="48"/>
      <c r="AF515" s="48"/>
      <c r="AG515" s="48"/>
      <c r="AH515" s="48"/>
      <c r="AI515" s="48"/>
      <c r="AJ515" s="48"/>
      <c r="AK515" s="48"/>
      <c r="AL515" s="48"/>
      <c r="AM515" s="48"/>
      <c r="AN515" s="48"/>
      <c r="AO515" s="48"/>
      <c r="AP515" s="48"/>
      <c r="AQ515" s="48"/>
      <c r="AR515" s="48"/>
      <c r="AS515" s="48"/>
      <c r="AT515" s="48"/>
      <c r="AU515" s="48"/>
      <c r="AV515" s="48"/>
      <c r="AW515" s="48"/>
      <c r="AX515" s="48"/>
      <c r="AY515" s="48"/>
      <c r="AZ515" s="48"/>
      <c r="BA515" s="48"/>
    </row>
    <row r="516" spans="1:53" hidden="1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  <c r="AB516" s="48"/>
      <c r="AC516" s="48"/>
      <c r="AD516" s="48"/>
      <c r="AE516" s="48"/>
      <c r="AF516" s="48"/>
      <c r="AG516" s="48"/>
      <c r="AH516" s="48"/>
      <c r="AI516" s="48"/>
      <c r="AJ516" s="48"/>
      <c r="AK516" s="48"/>
      <c r="AL516" s="48"/>
      <c r="AM516" s="48"/>
      <c r="AN516" s="48"/>
      <c r="AO516" s="48"/>
      <c r="AP516" s="48"/>
      <c r="AQ516" s="48"/>
      <c r="AR516" s="48"/>
      <c r="AS516" s="48"/>
      <c r="AT516" s="48"/>
      <c r="AU516" s="48"/>
      <c r="AV516" s="48"/>
      <c r="AW516" s="48"/>
      <c r="AX516" s="48"/>
      <c r="AY516" s="48"/>
      <c r="AZ516" s="48"/>
      <c r="BA516" s="48"/>
    </row>
    <row r="517" spans="1:53" hidden="1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  <c r="AB517" s="48"/>
      <c r="AC517" s="48"/>
      <c r="AD517" s="48"/>
      <c r="AE517" s="48"/>
      <c r="AF517" s="48"/>
      <c r="AG517" s="48"/>
      <c r="AH517" s="48"/>
      <c r="AI517" s="48"/>
      <c r="AJ517" s="48"/>
      <c r="AK517" s="48"/>
      <c r="AL517" s="48"/>
      <c r="AM517" s="48"/>
      <c r="AN517" s="48"/>
      <c r="AO517" s="48"/>
      <c r="AP517" s="48"/>
      <c r="AQ517" s="48"/>
      <c r="AR517" s="48"/>
      <c r="AS517" s="48"/>
      <c r="AT517" s="48"/>
      <c r="AU517" s="48"/>
      <c r="AV517" s="48"/>
      <c r="AW517" s="48"/>
      <c r="AX517" s="48"/>
      <c r="AY517" s="48"/>
      <c r="AZ517" s="48"/>
      <c r="BA517" s="48"/>
    </row>
    <row r="518" spans="1:53" hidden="1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  <c r="AB518" s="48"/>
      <c r="AC518" s="48"/>
      <c r="AD518" s="48"/>
      <c r="AE518" s="48"/>
      <c r="AF518" s="48"/>
      <c r="AG518" s="48"/>
      <c r="AH518" s="48"/>
      <c r="AI518" s="48"/>
      <c r="AJ518" s="48"/>
      <c r="AK518" s="48"/>
      <c r="AL518" s="48"/>
      <c r="AM518" s="48"/>
      <c r="AN518" s="48"/>
      <c r="AO518" s="48"/>
      <c r="AP518" s="48"/>
      <c r="AQ518" s="48"/>
      <c r="AR518" s="48"/>
      <c r="AS518" s="48"/>
      <c r="AT518" s="48"/>
      <c r="AU518" s="48"/>
      <c r="AV518" s="48"/>
      <c r="AW518" s="48"/>
      <c r="AX518" s="48"/>
      <c r="AY518" s="48"/>
      <c r="AZ518" s="48"/>
      <c r="BA518" s="48"/>
    </row>
    <row r="519" spans="1:53" hidden="1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  <c r="AB519" s="48"/>
      <c r="AC519" s="48"/>
      <c r="AD519" s="48"/>
      <c r="AE519" s="48"/>
      <c r="AF519" s="48"/>
      <c r="AG519" s="48"/>
      <c r="AH519" s="48"/>
      <c r="AI519" s="48"/>
      <c r="AJ519" s="48"/>
      <c r="AK519" s="48"/>
      <c r="AL519" s="48"/>
      <c r="AM519" s="48"/>
      <c r="AN519" s="48"/>
      <c r="AO519" s="48"/>
      <c r="AP519" s="48"/>
      <c r="AQ519" s="48"/>
      <c r="AR519" s="48"/>
      <c r="AS519" s="48"/>
      <c r="AT519" s="48"/>
      <c r="AU519" s="48"/>
      <c r="AV519" s="48"/>
      <c r="AW519" s="48"/>
      <c r="AX519" s="48"/>
      <c r="AY519" s="48"/>
      <c r="AZ519" s="48"/>
      <c r="BA519" s="48"/>
    </row>
    <row r="520" spans="1:53" hidden="1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  <c r="AB520" s="48"/>
      <c r="AC520" s="48"/>
      <c r="AD520" s="48"/>
      <c r="AE520" s="48"/>
      <c r="AF520" s="48"/>
      <c r="AG520" s="48"/>
      <c r="AH520" s="48"/>
      <c r="AI520" s="48"/>
      <c r="AJ520" s="48"/>
      <c r="AK520" s="48"/>
      <c r="AL520" s="48"/>
      <c r="AM520" s="48"/>
      <c r="AN520" s="48"/>
      <c r="AO520" s="48"/>
      <c r="AP520" s="48"/>
      <c r="AQ520" s="48"/>
      <c r="AR520" s="48"/>
      <c r="AS520" s="48"/>
      <c r="AT520" s="48"/>
      <c r="AU520" s="48"/>
      <c r="AV520" s="48"/>
      <c r="AW520" s="48"/>
      <c r="AX520" s="48"/>
      <c r="AY520" s="48"/>
      <c r="AZ520" s="48"/>
      <c r="BA520" s="48"/>
    </row>
    <row r="521" spans="1:53" hidden="1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48"/>
    </row>
    <row r="522" spans="1:53" hidden="1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48"/>
    </row>
    <row r="523" spans="1:53" hidden="1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48"/>
    </row>
    <row r="524" spans="1:53" hidden="1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48"/>
    </row>
    <row r="525" spans="1:53" hidden="1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48"/>
    </row>
    <row r="526" spans="1:53" hidden="1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48"/>
    </row>
    <row r="527" spans="1:53" hidden="1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48"/>
    </row>
    <row r="528" spans="1:53" hidden="1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48"/>
    </row>
    <row r="529" spans="1:53" hidden="1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48"/>
    </row>
    <row r="530" spans="1:53" hidden="1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48"/>
    </row>
    <row r="531" spans="1:53" hidden="1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48"/>
    </row>
    <row r="532" spans="1:53" hidden="1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48"/>
    </row>
    <row r="533" spans="1:53" hidden="1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48"/>
    </row>
    <row r="534" spans="1:53" hidden="1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48"/>
    </row>
    <row r="535" spans="1:53" hidden="1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48"/>
    </row>
    <row r="536" spans="1:53" hidden="1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48"/>
    </row>
    <row r="537" spans="1:53" hidden="1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48"/>
    </row>
    <row r="538" spans="1:53" hidden="1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  <c r="AB538" s="48"/>
      <c r="AC538" s="48"/>
      <c r="AD538" s="48"/>
      <c r="AE538" s="48"/>
      <c r="AF538" s="48"/>
      <c r="AG538" s="48"/>
      <c r="AH538" s="48"/>
      <c r="AI538" s="48"/>
      <c r="AJ538" s="48"/>
      <c r="AK538" s="48"/>
      <c r="AL538" s="48"/>
      <c r="AM538" s="48"/>
      <c r="AN538" s="48"/>
      <c r="AO538" s="48"/>
      <c r="AP538" s="48"/>
      <c r="AQ538" s="48"/>
      <c r="AR538" s="48"/>
      <c r="AS538" s="48"/>
      <c r="AT538" s="48"/>
      <c r="AU538" s="48"/>
      <c r="AV538" s="48"/>
      <c r="AW538" s="48"/>
      <c r="AX538" s="48"/>
      <c r="AY538" s="48"/>
      <c r="AZ538" s="48"/>
      <c r="BA538" s="48"/>
    </row>
    <row r="539" spans="1:53" hidden="1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  <c r="AB539" s="48"/>
      <c r="AC539" s="48"/>
      <c r="AD539" s="48"/>
      <c r="AE539" s="48"/>
      <c r="AF539" s="48"/>
      <c r="AG539" s="48"/>
      <c r="AH539" s="48"/>
      <c r="AI539" s="48"/>
      <c r="AJ539" s="48"/>
      <c r="AK539" s="48"/>
      <c r="AL539" s="48"/>
      <c r="AM539" s="48"/>
      <c r="AN539" s="48"/>
      <c r="AO539" s="48"/>
      <c r="AP539" s="48"/>
      <c r="AQ539" s="48"/>
      <c r="AR539" s="48"/>
      <c r="AS539" s="48"/>
      <c r="AT539" s="48"/>
      <c r="AU539" s="48"/>
      <c r="AV539" s="48"/>
      <c r="AW539" s="48"/>
      <c r="AX539" s="48"/>
      <c r="AY539" s="48"/>
      <c r="AZ539" s="48"/>
      <c r="BA539" s="48"/>
    </row>
    <row r="540" spans="1:53" hidden="1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  <c r="AB540" s="48"/>
      <c r="AC540" s="48"/>
      <c r="AD540" s="48"/>
      <c r="AE540" s="48"/>
      <c r="AF540" s="48"/>
      <c r="AG540" s="48"/>
      <c r="AH540" s="48"/>
      <c r="AI540" s="48"/>
      <c r="AJ540" s="48"/>
      <c r="AK540" s="48"/>
      <c r="AL540" s="48"/>
      <c r="AM540" s="48"/>
      <c r="AN540" s="48"/>
      <c r="AO540" s="48"/>
      <c r="AP540" s="48"/>
      <c r="AQ540" s="48"/>
      <c r="AR540" s="48"/>
      <c r="AS540" s="48"/>
      <c r="AT540" s="48"/>
      <c r="AU540" s="48"/>
      <c r="AV540" s="48"/>
      <c r="AW540" s="48"/>
      <c r="AX540" s="48"/>
      <c r="AY540" s="48"/>
      <c r="AZ540" s="48"/>
      <c r="BA540" s="48"/>
    </row>
    <row r="541" spans="1:53" hidden="1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  <c r="AB541" s="48"/>
      <c r="AC541" s="48"/>
      <c r="AD541" s="48"/>
      <c r="AE541" s="48"/>
      <c r="AF541" s="48"/>
      <c r="AG541" s="48"/>
      <c r="AH541" s="48"/>
      <c r="AI541" s="48"/>
      <c r="AJ541" s="48"/>
      <c r="AK541" s="48"/>
      <c r="AL541" s="48"/>
      <c r="AM541" s="48"/>
      <c r="AN541" s="48"/>
      <c r="AO541" s="48"/>
      <c r="AP541" s="48"/>
      <c r="AQ541" s="48"/>
      <c r="AR541" s="48"/>
      <c r="AS541" s="48"/>
      <c r="AT541" s="48"/>
      <c r="AU541" s="48"/>
      <c r="AV541" s="48"/>
      <c r="AW541" s="48"/>
      <c r="AX541" s="48"/>
      <c r="AY541" s="48"/>
      <c r="AZ541" s="48"/>
      <c r="BA541" s="48"/>
    </row>
    <row r="542" spans="1:53" hidden="1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  <c r="AB542" s="48"/>
      <c r="AC542" s="48"/>
      <c r="AD542" s="48"/>
      <c r="AE542" s="48"/>
      <c r="AF542" s="48"/>
      <c r="AG542" s="48"/>
      <c r="AH542" s="48"/>
      <c r="AI542" s="48"/>
      <c r="AJ542" s="48"/>
      <c r="AK542" s="48"/>
      <c r="AL542" s="48"/>
      <c r="AM542" s="48"/>
      <c r="AN542" s="48"/>
      <c r="AO542" s="48"/>
      <c r="AP542" s="48"/>
      <c r="AQ542" s="48"/>
      <c r="AR542" s="48"/>
      <c r="AS542" s="48"/>
      <c r="AT542" s="48"/>
      <c r="AU542" s="48"/>
      <c r="AV542" s="48"/>
      <c r="AW542" s="48"/>
      <c r="AX542" s="48"/>
      <c r="AY542" s="48"/>
      <c r="AZ542" s="48"/>
      <c r="BA542" s="48"/>
    </row>
    <row r="543" spans="1:53" hidden="1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  <c r="AB543" s="48"/>
      <c r="AC543" s="48"/>
      <c r="AD543" s="48"/>
      <c r="AE543" s="48"/>
      <c r="AF543" s="48"/>
      <c r="AG543" s="48"/>
      <c r="AH543" s="48"/>
      <c r="AI543" s="48"/>
      <c r="AJ543" s="48"/>
      <c r="AK543" s="48"/>
      <c r="AL543" s="48"/>
      <c r="AM543" s="48"/>
      <c r="AN543" s="48"/>
      <c r="AO543" s="48"/>
      <c r="AP543" s="48"/>
      <c r="AQ543" s="48"/>
      <c r="AR543" s="48"/>
      <c r="AS543" s="48"/>
      <c r="AT543" s="48"/>
      <c r="AU543" s="48"/>
      <c r="AV543" s="48"/>
      <c r="AW543" s="48"/>
      <c r="AX543" s="48"/>
      <c r="AY543" s="48"/>
      <c r="AZ543" s="48"/>
      <c r="BA543" s="48"/>
    </row>
    <row r="544" spans="1:53" hidden="1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  <c r="AB544" s="48"/>
      <c r="AC544" s="48"/>
      <c r="AD544" s="48"/>
      <c r="AE544" s="48"/>
      <c r="AF544" s="48"/>
      <c r="AG544" s="48"/>
      <c r="AH544" s="48"/>
      <c r="AI544" s="48"/>
      <c r="AJ544" s="48"/>
      <c r="AK544" s="48"/>
      <c r="AL544" s="48"/>
      <c r="AM544" s="48"/>
      <c r="AN544" s="48"/>
      <c r="AO544" s="48"/>
      <c r="AP544" s="48"/>
      <c r="AQ544" s="48"/>
      <c r="AR544" s="48"/>
      <c r="AS544" s="48"/>
      <c r="AT544" s="48"/>
      <c r="AU544" s="48"/>
      <c r="AV544" s="48"/>
      <c r="AW544" s="48"/>
      <c r="AX544" s="48"/>
      <c r="AY544" s="48"/>
      <c r="AZ544" s="48"/>
      <c r="BA544" s="48"/>
    </row>
    <row r="545" spans="1:53" hidden="1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  <c r="AB545" s="48"/>
      <c r="AC545" s="48"/>
      <c r="AD545" s="48"/>
      <c r="AE545" s="48"/>
      <c r="AF545" s="48"/>
      <c r="AG545" s="48"/>
      <c r="AH545" s="48"/>
      <c r="AI545" s="48"/>
      <c r="AJ545" s="48"/>
      <c r="AK545" s="48"/>
      <c r="AL545" s="48"/>
      <c r="AM545" s="48"/>
      <c r="AN545" s="48"/>
      <c r="AO545" s="48"/>
      <c r="AP545" s="48"/>
      <c r="AQ545" s="48"/>
      <c r="AR545" s="48"/>
      <c r="AS545" s="48"/>
      <c r="AT545" s="48"/>
      <c r="AU545" s="48"/>
      <c r="AV545" s="48"/>
      <c r="AW545" s="48"/>
      <c r="AX545" s="48"/>
      <c r="AY545" s="48"/>
      <c r="AZ545" s="48"/>
      <c r="BA545" s="48"/>
    </row>
    <row r="546" spans="1:53" hidden="1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  <c r="AB546" s="48"/>
      <c r="AC546" s="48"/>
      <c r="AD546" s="48"/>
      <c r="AE546" s="48"/>
      <c r="AF546" s="48"/>
      <c r="AG546" s="48"/>
      <c r="AH546" s="48"/>
      <c r="AI546" s="48"/>
      <c r="AJ546" s="48"/>
      <c r="AK546" s="48"/>
      <c r="AL546" s="48"/>
      <c r="AM546" s="48"/>
      <c r="AN546" s="48"/>
      <c r="AO546" s="48"/>
      <c r="AP546" s="48"/>
      <c r="AQ546" s="48"/>
      <c r="AR546" s="48"/>
      <c r="AS546" s="48"/>
      <c r="AT546" s="48"/>
      <c r="AU546" s="48"/>
      <c r="AV546" s="48"/>
      <c r="AW546" s="48"/>
      <c r="AX546" s="48"/>
      <c r="AY546" s="48"/>
      <c r="AZ546" s="48"/>
      <c r="BA546" s="48"/>
    </row>
    <row r="547" spans="1:53" hidden="1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  <c r="AB547" s="48"/>
      <c r="AC547" s="48"/>
      <c r="AD547" s="48"/>
      <c r="AE547" s="48"/>
      <c r="AF547" s="48"/>
      <c r="AG547" s="48"/>
      <c r="AH547" s="48"/>
      <c r="AI547" s="48"/>
      <c r="AJ547" s="48"/>
      <c r="AK547" s="48"/>
      <c r="AL547" s="48"/>
      <c r="AM547" s="48"/>
      <c r="AN547" s="48"/>
      <c r="AO547" s="48"/>
      <c r="AP547" s="48"/>
      <c r="AQ547" s="48"/>
      <c r="AR547" s="48"/>
      <c r="AS547" s="48"/>
      <c r="AT547" s="48"/>
      <c r="AU547" s="48"/>
      <c r="AV547" s="48"/>
      <c r="AW547" s="48"/>
      <c r="AX547" s="48"/>
      <c r="AY547" s="48"/>
      <c r="AZ547" s="48"/>
      <c r="BA547" s="48"/>
    </row>
    <row r="548" spans="1:53" hidden="1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  <c r="AB548" s="48"/>
      <c r="AC548" s="48"/>
      <c r="AD548" s="48"/>
      <c r="AE548" s="48"/>
      <c r="AF548" s="48"/>
      <c r="AG548" s="48"/>
      <c r="AH548" s="48"/>
      <c r="AI548" s="48"/>
      <c r="AJ548" s="48"/>
      <c r="AK548" s="48"/>
      <c r="AL548" s="48"/>
      <c r="AM548" s="48"/>
      <c r="AN548" s="48"/>
      <c r="AO548" s="48"/>
      <c r="AP548" s="48"/>
      <c r="AQ548" s="48"/>
      <c r="AR548" s="48"/>
      <c r="AS548" s="48"/>
      <c r="AT548" s="48"/>
      <c r="AU548" s="48"/>
      <c r="AV548" s="48"/>
      <c r="AW548" s="48"/>
      <c r="AX548" s="48"/>
      <c r="AY548" s="48"/>
      <c r="AZ548" s="48"/>
      <c r="BA548" s="48"/>
    </row>
    <row r="549" spans="1:53" hidden="1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  <c r="AB549" s="48"/>
      <c r="AC549" s="48"/>
      <c r="AD549" s="48"/>
      <c r="AE549" s="48"/>
      <c r="AF549" s="48"/>
      <c r="AG549" s="48"/>
      <c r="AH549" s="48"/>
      <c r="AI549" s="48"/>
      <c r="AJ549" s="48"/>
      <c r="AK549" s="48"/>
      <c r="AL549" s="48"/>
      <c r="AM549" s="48"/>
      <c r="AN549" s="48"/>
      <c r="AO549" s="48"/>
      <c r="AP549" s="48"/>
      <c r="AQ549" s="48"/>
      <c r="AR549" s="48"/>
      <c r="AS549" s="48"/>
      <c r="AT549" s="48"/>
      <c r="AU549" s="48"/>
      <c r="AV549" s="48"/>
      <c r="AW549" s="48"/>
      <c r="AX549" s="48"/>
      <c r="AY549" s="48"/>
      <c r="AZ549" s="48"/>
      <c r="BA549" s="48"/>
    </row>
    <row r="550" spans="1:53" hidden="1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  <c r="AB550" s="48"/>
      <c r="AC550" s="48"/>
      <c r="AD550" s="48"/>
      <c r="AE550" s="48"/>
      <c r="AF550" s="48"/>
      <c r="AG550" s="48"/>
      <c r="AH550" s="48"/>
      <c r="AI550" s="48"/>
      <c r="AJ550" s="48"/>
      <c r="AK550" s="48"/>
      <c r="AL550" s="48"/>
      <c r="AM550" s="48"/>
      <c r="AN550" s="48"/>
      <c r="AO550" s="48"/>
      <c r="AP550" s="48"/>
      <c r="AQ550" s="48"/>
      <c r="AR550" s="48"/>
      <c r="AS550" s="48"/>
      <c r="AT550" s="48"/>
      <c r="AU550" s="48"/>
      <c r="AV550" s="48"/>
      <c r="AW550" s="48"/>
      <c r="AX550" s="48"/>
      <c r="AY550" s="48"/>
      <c r="AZ550" s="48"/>
      <c r="BA550" s="48"/>
    </row>
    <row r="551" spans="1:53" hidden="1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  <c r="AB551" s="48"/>
      <c r="AC551" s="48"/>
      <c r="AD551" s="48"/>
      <c r="AE551" s="48"/>
      <c r="AF551" s="48"/>
      <c r="AG551" s="48"/>
      <c r="AH551" s="48"/>
      <c r="AI551" s="48"/>
      <c r="AJ551" s="48"/>
      <c r="AK551" s="48"/>
      <c r="AL551" s="48"/>
      <c r="AM551" s="48"/>
      <c r="AN551" s="48"/>
      <c r="AO551" s="48"/>
      <c r="AP551" s="48"/>
      <c r="AQ551" s="48"/>
      <c r="AR551" s="48"/>
      <c r="AS551" s="48"/>
      <c r="AT551" s="48"/>
      <c r="AU551" s="48"/>
      <c r="AV551" s="48"/>
      <c r="AW551" s="48"/>
      <c r="AX551" s="48"/>
      <c r="AY551" s="48"/>
      <c r="AZ551" s="48"/>
      <c r="BA551" s="48"/>
    </row>
    <row r="552" spans="1:53" hidden="1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  <c r="AB552" s="48"/>
      <c r="AC552" s="48"/>
      <c r="AD552" s="48"/>
      <c r="AE552" s="48"/>
      <c r="AF552" s="48"/>
      <c r="AG552" s="48"/>
      <c r="AH552" s="48"/>
      <c r="AI552" s="48"/>
      <c r="AJ552" s="48"/>
      <c r="AK552" s="48"/>
      <c r="AL552" s="48"/>
      <c r="AM552" s="48"/>
      <c r="AN552" s="48"/>
      <c r="AO552" s="48"/>
      <c r="AP552" s="48"/>
      <c r="AQ552" s="48"/>
      <c r="AR552" s="48"/>
      <c r="AS552" s="48"/>
      <c r="AT552" s="48"/>
      <c r="AU552" s="48"/>
      <c r="AV552" s="48"/>
      <c r="AW552" s="48"/>
      <c r="AX552" s="48"/>
      <c r="AY552" s="48"/>
      <c r="AZ552" s="48"/>
      <c r="BA552" s="48"/>
    </row>
    <row r="553" spans="1:53" hidden="1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  <c r="AB553" s="48"/>
      <c r="AC553" s="48"/>
      <c r="AD553" s="48"/>
      <c r="AE553" s="48"/>
      <c r="AF553" s="48"/>
      <c r="AG553" s="48"/>
      <c r="AH553" s="48"/>
      <c r="AI553" s="48"/>
      <c r="AJ553" s="48"/>
      <c r="AK553" s="48"/>
      <c r="AL553" s="48"/>
      <c r="AM553" s="48"/>
      <c r="AN553" s="48"/>
      <c r="AO553" s="48"/>
      <c r="AP553" s="48"/>
      <c r="AQ553" s="48"/>
      <c r="AR553" s="48"/>
      <c r="AS553" s="48"/>
      <c r="AT553" s="48"/>
      <c r="AU553" s="48"/>
      <c r="AV553" s="48"/>
      <c r="AW553" s="48"/>
      <c r="AX553" s="48"/>
      <c r="AY553" s="48"/>
      <c r="AZ553" s="48"/>
      <c r="BA553" s="48"/>
    </row>
    <row r="554" spans="1:53" hidden="1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  <c r="AB554" s="48"/>
      <c r="AC554" s="48"/>
      <c r="AD554" s="48"/>
      <c r="AE554" s="48"/>
      <c r="AF554" s="48"/>
      <c r="AG554" s="48"/>
      <c r="AH554" s="48"/>
      <c r="AI554" s="48"/>
      <c r="AJ554" s="48"/>
      <c r="AK554" s="48"/>
      <c r="AL554" s="48"/>
      <c r="AM554" s="48"/>
      <c r="AN554" s="48"/>
      <c r="AO554" s="48"/>
      <c r="AP554" s="48"/>
      <c r="AQ554" s="48"/>
      <c r="AR554" s="48"/>
      <c r="AS554" s="48"/>
      <c r="AT554" s="48"/>
      <c r="AU554" s="48"/>
      <c r="AV554" s="48"/>
      <c r="AW554" s="48"/>
      <c r="AX554" s="48"/>
      <c r="AY554" s="48"/>
      <c r="AZ554" s="48"/>
      <c r="BA554" s="48"/>
    </row>
    <row r="555" spans="1:53" hidden="1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  <c r="AB555" s="48"/>
      <c r="AC555" s="48"/>
      <c r="AD555" s="48"/>
      <c r="AE555" s="48"/>
      <c r="AF555" s="48"/>
      <c r="AG555" s="48"/>
      <c r="AH555" s="48"/>
      <c r="AI555" s="48"/>
      <c r="AJ555" s="48"/>
      <c r="AK555" s="48"/>
      <c r="AL555" s="48"/>
      <c r="AM555" s="48"/>
      <c r="AN555" s="48"/>
      <c r="AO555" s="48"/>
      <c r="AP555" s="48"/>
      <c r="AQ555" s="48"/>
      <c r="AR555" s="48"/>
      <c r="AS555" s="48"/>
      <c r="AT555" s="48"/>
      <c r="AU555" s="48"/>
      <c r="AV555" s="48"/>
      <c r="AW555" s="48"/>
      <c r="AX555" s="48"/>
      <c r="AY555" s="48"/>
      <c r="AZ555" s="48"/>
      <c r="BA555" s="48"/>
    </row>
    <row r="556" spans="1:53" hidden="1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  <c r="AB556" s="48"/>
      <c r="AC556" s="48"/>
      <c r="AD556" s="48"/>
      <c r="AE556" s="48"/>
      <c r="AF556" s="48"/>
      <c r="AG556" s="48"/>
      <c r="AH556" s="48"/>
      <c r="AI556" s="48"/>
      <c r="AJ556" s="48"/>
      <c r="AK556" s="48"/>
      <c r="AL556" s="48"/>
      <c r="AM556" s="48"/>
      <c r="AN556" s="48"/>
      <c r="AO556" s="48"/>
      <c r="AP556" s="48"/>
      <c r="AQ556" s="48"/>
      <c r="AR556" s="48"/>
      <c r="AS556" s="48"/>
      <c r="AT556" s="48"/>
      <c r="AU556" s="48"/>
      <c r="AV556" s="48"/>
      <c r="AW556" s="48"/>
      <c r="AX556" s="48"/>
      <c r="AY556" s="48"/>
      <c r="AZ556" s="48"/>
      <c r="BA556" s="48"/>
    </row>
    <row r="557" spans="1:53" hidden="1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  <c r="AB557" s="48"/>
      <c r="AC557" s="48"/>
      <c r="AD557" s="48"/>
      <c r="AE557" s="48"/>
      <c r="AF557" s="48"/>
      <c r="AG557" s="48"/>
      <c r="AH557" s="48"/>
      <c r="AI557" s="48"/>
      <c r="AJ557" s="48"/>
      <c r="AK557" s="48"/>
      <c r="AL557" s="48"/>
      <c r="AM557" s="48"/>
      <c r="AN557" s="48"/>
      <c r="AO557" s="48"/>
      <c r="AP557" s="48"/>
      <c r="AQ557" s="48"/>
      <c r="AR557" s="48"/>
      <c r="AS557" s="48"/>
      <c r="AT557" s="48"/>
      <c r="AU557" s="48"/>
      <c r="AV557" s="48"/>
      <c r="AW557" s="48"/>
      <c r="AX557" s="48"/>
      <c r="AY557" s="48"/>
      <c r="AZ557" s="48"/>
      <c r="BA557" s="48"/>
    </row>
    <row r="558" spans="1:53" hidden="1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  <c r="AB558" s="48"/>
      <c r="AC558" s="48"/>
      <c r="AD558" s="48"/>
      <c r="AE558" s="48"/>
      <c r="AF558" s="48"/>
      <c r="AG558" s="48"/>
      <c r="AH558" s="48"/>
      <c r="AI558" s="48"/>
      <c r="AJ558" s="48"/>
      <c r="AK558" s="48"/>
      <c r="AL558" s="48"/>
      <c r="AM558" s="48"/>
      <c r="AN558" s="48"/>
      <c r="AO558" s="48"/>
      <c r="AP558" s="48"/>
      <c r="AQ558" s="48"/>
      <c r="AR558" s="48"/>
      <c r="AS558" s="48"/>
      <c r="AT558" s="48"/>
      <c r="AU558" s="48"/>
      <c r="AV558" s="48"/>
      <c r="AW558" s="48"/>
      <c r="AX558" s="48"/>
      <c r="AY558" s="48"/>
      <c r="AZ558" s="48"/>
      <c r="BA558" s="48"/>
    </row>
    <row r="559" spans="1:53" hidden="1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  <c r="AB559" s="48"/>
      <c r="AC559" s="48"/>
      <c r="AD559" s="48"/>
      <c r="AE559" s="48"/>
      <c r="AF559" s="48"/>
      <c r="AG559" s="48"/>
      <c r="AH559" s="48"/>
      <c r="AI559" s="48"/>
      <c r="AJ559" s="48"/>
      <c r="AK559" s="48"/>
      <c r="AL559" s="48"/>
      <c r="AM559" s="48"/>
      <c r="AN559" s="48"/>
      <c r="AO559" s="48"/>
      <c r="AP559" s="48"/>
      <c r="AQ559" s="48"/>
      <c r="AR559" s="48"/>
      <c r="AS559" s="48"/>
      <c r="AT559" s="48"/>
      <c r="AU559" s="48"/>
      <c r="AV559" s="48"/>
      <c r="AW559" s="48"/>
      <c r="AX559" s="48"/>
      <c r="AY559" s="48"/>
      <c r="AZ559" s="48"/>
      <c r="BA559" s="48"/>
    </row>
    <row r="560" spans="1:53" hidden="1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  <c r="AB560" s="48"/>
      <c r="AC560" s="48"/>
      <c r="AD560" s="48"/>
      <c r="AE560" s="48"/>
      <c r="AF560" s="48"/>
      <c r="AG560" s="48"/>
      <c r="AH560" s="48"/>
      <c r="AI560" s="48"/>
      <c r="AJ560" s="48"/>
      <c r="AK560" s="48"/>
      <c r="AL560" s="48"/>
      <c r="AM560" s="48"/>
      <c r="AN560" s="48"/>
      <c r="AO560" s="48"/>
      <c r="AP560" s="48"/>
      <c r="AQ560" s="48"/>
      <c r="AR560" s="48"/>
      <c r="AS560" s="48"/>
      <c r="AT560" s="48"/>
      <c r="AU560" s="48"/>
      <c r="AV560" s="48"/>
      <c r="AW560" s="48"/>
      <c r="AX560" s="48"/>
      <c r="AY560" s="48"/>
      <c r="AZ560" s="48"/>
      <c r="BA560" s="48"/>
    </row>
    <row r="561" spans="1:53" hidden="1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  <c r="AB561" s="48"/>
      <c r="AC561" s="48"/>
      <c r="AD561" s="48"/>
      <c r="AE561" s="48"/>
      <c r="AF561" s="48"/>
      <c r="AG561" s="48"/>
      <c r="AH561" s="48"/>
      <c r="AI561" s="48"/>
      <c r="AJ561" s="48"/>
      <c r="AK561" s="48"/>
      <c r="AL561" s="48"/>
      <c r="AM561" s="48"/>
      <c r="AN561" s="48"/>
      <c r="AO561" s="48"/>
      <c r="AP561" s="48"/>
      <c r="AQ561" s="48"/>
      <c r="AR561" s="48"/>
      <c r="AS561" s="48"/>
      <c r="AT561" s="48"/>
      <c r="AU561" s="48"/>
      <c r="AV561" s="48"/>
      <c r="AW561" s="48"/>
      <c r="AX561" s="48"/>
      <c r="AY561" s="48"/>
      <c r="AZ561" s="48"/>
      <c r="BA561" s="48"/>
    </row>
    <row r="562" spans="1:53" hidden="1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  <c r="AB562" s="48"/>
      <c r="AC562" s="48"/>
      <c r="AD562" s="48"/>
      <c r="AE562" s="48"/>
      <c r="AF562" s="48"/>
      <c r="AG562" s="48"/>
      <c r="AH562" s="48"/>
      <c r="AI562" s="48"/>
      <c r="AJ562" s="48"/>
      <c r="AK562" s="48"/>
      <c r="AL562" s="48"/>
      <c r="AM562" s="48"/>
      <c r="AN562" s="48"/>
      <c r="AO562" s="48"/>
      <c r="AP562" s="48"/>
      <c r="AQ562" s="48"/>
      <c r="AR562" s="48"/>
      <c r="AS562" s="48"/>
      <c r="AT562" s="48"/>
      <c r="AU562" s="48"/>
      <c r="AV562" s="48"/>
      <c r="AW562" s="48"/>
      <c r="AX562" s="48"/>
      <c r="AY562" s="48"/>
      <c r="AZ562" s="48"/>
      <c r="BA562" s="48"/>
    </row>
    <row r="563" spans="1:53" hidden="1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  <c r="AB563" s="48"/>
      <c r="AC563" s="48"/>
      <c r="AD563" s="48"/>
      <c r="AE563" s="48"/>
      <c r="AF563" s="48"/>
      <c r="AG563" s="48"/>
      <c r="AH563" s="48"/>
      <c r="AI563" s="48"/>
      <c r="AJ563" s="48"/>
      <c r="AK563" s="48"/>
      <c r="AL563" s="48"/>
      <c r="AM563" s="48"/>
      <c r="AN563" s="48"/>
      <c r="AO563" s="48"/>
      <c r="AP563" s="48"/>
      <c r="AQ563" s="48"/>
      <c r="AR563" s="48"/>
      <c r="AS563" s="48"/>
      <c r="AT563" s="48"/>
      <c r="AU563" s="48"/>
      <c r="AV563" s="48"/>
      <c r="AW563" s="48"/>
      <c r="AX563" s="48"/>
      <c r="AY563" s="48"/>
      <c r="AZ563" s="48"/>
      <c r="BA563" s="48"/>
    </row>
    <row r="564" spans="1:53" hidden="1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  <c r="AB564" s="48"/>
      <c r="AC564" s="48"/>
      <c r="AD564" s="48"/>
      <c r="AE564" s="48"/>
      <c r="AF564" s="48"/>
      <c r="AG564" s="48"/>
      <c r="AH564" s="48"/>
      <c r="AI564" s="48"/>
      <c r="AJ564" s="48"/>
      <c r="AK564" s="48"/>
      <c r="AL564" s="48"/>
      <c r="AM564" s="48"/>
      <c r="AN564" s="48"/>
      <c r="AO564" s="48"/>
      <c r="AP564" s="48"/>
      <c r="AQ564" s="48"/>
      <c r="AR564" s="48"/>
      <c r="AS564" s="48"/>
      <c r="AT564" s="48"/>
      <c r="AU564" s="48"/>
      <c r="AV564" s="48"/>
      <c r="AW564" s="48"/>
      <c r="AX564" s="48"/>
      <c r="AY564" s="48"/>
      <c r="AZ564" s="48"/>
      <c r="BA564" s="48"/>
    </row>
    <row r="565" spans="1:53" hidden="1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  <c r="AB565" s="48"/>
      <c r="AC565" s="48"/>
      <c r="AD565" s="48"/>
      <c r="AE565" s="48"/>
      <c r="AF565" s="48"/>
      <c r="AG565" s="48"/>
      <c r="AH565" s="48"/>
      <c r="AI565" s="48"/>
      <c r="AJ565" s="48"/>
      <c r="AK565" s="48"/>
      <c r="AL565" s="48"/>
      <c r="AM565" s="48"/>
      <c r="AN565" s="48"/>
      <c r="AO565" s="48"/>
      <c r="AP565" s="48"/>
      <c r="AQ565" s="48"/>
      <c r="AR565" s="48"/>
      <c r="AS565" s="48"/>
      <c r="AT565" s="48"/>
      <c r="AU565" s="48"/>
      <c r="AV565" s="48"/>
      <c r="AW565" s="48"/>
      <c r="AX565" s="48"/>
      <c r="AY565" s="48"/>
      <c r="AZ565" s="48"/>
      <c r="BA565" s="48"/>
    </row>
    <row r="566" spans="1:53" hidden="1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  <c r="AB566" s="48"/>
      <c r="AC566" s="48"/>
      <c r="AD566" s="48"/>
      <c r="AE566" s="48"/>
      <c r="AF566" s="48"/>
      <c r="AG566" s="48"/>
      <c r="AH566" s="48"/>
      <c r="AI566" s="48"/>
      <c r="AJ566" s="48"/>
      <c r="AK566" s="48"/>
      <c r="AL566" s="48"/>
      <c r="AM566" s="48"/>
      <c r="AN566" s="48"/>
      <c r="AO566" s="48"/>
      <c r="AP566" s="48"/>
      <c r="AQ566" s="48"/>
      <c r="AR566" s="48"/>
      <c r="AS566" s="48"/>
      <c r="AT566" s="48"/>
      <c r="AU566" s="48"/>
      <c r="AV566" s="48"/>
      <c r="AW566" s="48"/>
      <c r="AX566" s="48"/>
      <c r="AY566" s="48"/>
      <c r="AZ566" s="48"/>
      <c r="BA566" s="48"/>
    </row>
    <row r="567" spans="1:53" hidden="1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  <c r="AB567" s="48"/>
      <c r="AC567" s="48"/>
      <c r="AD567" s="48"/>
      <c r="AE567" s="48"/>
      <c r="AF567" s="48"/>
      <c r="AG567" s="48"/>
      <c r="AH567" s="48"/>
      <c r="AI567" s="48"/>
      <c r="AJ567" s="48"/>
      <c r="AK567" s="48"/>
      <c r="AL567" s="48"/>
      <c r="AM567" s="48"/>
      <c r="AN567" s="48"/>
      <c r="AO567" s="48"/>
      <c r="AP567" s="48"/>
      <c r="AQ567" s="48"/>
      <c r="AR567" s="48"/>
      <c r="AS567" s="48"/>
      <c r="AT567" s="48"/>
      <c r="AU567" s="48"/>
      <c r="AV567" s="48"/>
      <c r="AW567" s="48"/>
      <c r="AX567" s="48"/>
      <c r="AY567" s="48"/>
      <c r="AZ567" s="48"/>
      <c r="BA567" s="48"/>
    </row>
    <row r="568" spans="1:53" hidden="1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  <c r="AB568" s="48"/>
      <c r="AC568" s="48"/>
      <c r="AD568" s="48"/>
      <c r="AE568" s="48"/>
      <c r="AF568" s="48"/>
      <c r="AG568" s="48"/>
      <c r="AH568" s="48"/>
      <c r="AI568" s="48"/>
      <c r="AJ568" s="48"/>
      <c r="AK568" s="48"/>
      <c r="AL568" s="48"/>
      <c r="AM568" s="48"/>
      <c r="AN568" s="48"/>
      <c r="AO568" s="48"/>
      <c r="AP568" s="48"/>
      <c r="AQ568" s="48"/>
      <c r="AR568" s="48"/>
      <c r="AS568" s="48"/>
      <c r="AT568" s="48"/>
      <c r="AU568" s="48"/>
      <c r="AV568" s="48"/>
      <c r="AW568" s="48"/>
      <c r="AX568" s="48"/>
      <c r="AY568" s="48"/>
      <c r="AZ568" s="48"/>
      <c r="BA568" s="48"/>
    </row>
    <row r="569" spans="1:53" hidden="1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  <c r="AB569" s="48"/>
      <c r="AC569" s="48"/>
      <c r="AD569" s="48"/>
      <c r="AE569" s="48"/>
      <c r="AF569" s="48"/>
      <c r="AG569" s="48"/>
      <c r="AH569" s="48"/>
      <c r="AI569" s="48"/>
      <c r="AJ569" s="48"/>
      <c r="AK569" s="48"/>
      <c r="AL569" s="48"/>
      <c r="AM569" s="48"/>
      <c r="AN569" s="48"/>
      <c r="AO569" s="48"/>
      <c r="AP569" s="48"/>
      <c r="AQ569" s="48"/>
      <c r="AR569" s="48"/>
      <c r="AS569" s="48"/>
      <c r="AT569" s="48"/>
      <c r="AU569" s="48"/>
      <c r="AV569" s="48"/>
      <c r="AW569" s="48"/>
      <c r="AX569" s="48"/>
      <c r="AY569" s="48"/>
      <c r="AZ569" s="48"/>
      <c r="BA569" s="48"/>
    </row>
    <row r="570" spans="1:53" hidden="1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  <c r="AB570" s="48"/>
      <c r="AC570" s="48"/>
      <c r="AD570" s="48"/>
      <c r="AE570" s="48"/>
      <c r="AF570" s="48"/>
      <c r="AG570" s="48"/>
      <c r="AH570" s="48"/>
      <c r="AI570" s="48"/>
      <c r="AJ570" s="48"/>
      <c r="AK570" s="48"/>
      <c r="AL570" s="48"/>
      <c r="AM570" s="48"/>
      <c r="AN570" s="48"/>
      <c r="AO570" s="48"/>
      <c r="AP570" s="48"/>
      <c r="AQ570" s="48"/>
      <c r="AR570" s="48"/>
      <c r="AS570" s="48"/>
      <c r="AT570" s="48"/>
      <c r="AU570" s="48"/>
      <c r="AV570" s="48"/>
      <c r="AW570" s="48"/>
      <c r="AX570" s="48"/>
      <c r="AY570" s="48"/>
      <c r="AZ570" s="48"/>
      <c r="BA570" s="48"/>
    </row>
    <row r="571" spans="1:53" hidden="1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  <c r="AB571" s="48"/>
      <c r="AC571" s="48"/>
      <c r="AD571" s="48"/>
      <c r="AE571" s="48"/>
      <c r="AF571" s="48"/>
      <c r="AG571" s="48"/>
      <c r="AH571" s="48"/>
      <c r="AI571" s="48"/>
      <c r="AJ571" s="48"/>
      <c r="AK571" s="48"/>
      <c r="AL571" s="48"/>
      <c r="AM571" s="48"/>
      <c r="AN571" s="48"/>
      <c r="AO571" s="48"/>
      <c r="AP571" s="48"/>
      <c r="AQ571" s="48"/>
      <c r="AR571" s="48"/>
      <c r="AS571" s="48"/>
      <c r="AT571" s="48"/>
      <c r="AU571" s="48"/>
      <c r="AV571" s="48"/>
      <c r="AW571" s="48"/>
      <c r="AX571" s="48"/>
      <c r="AY571" s="48"/>
      <c r="AZ571" s="48"/>
      <c r="BA571" s="48"/>
    </row>
    <row r="572" spans="1:53" hidden="1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  <c r="AB572" s="48"/>
      <c r="AC572" s="48"/>
      <c r="AD572" s="48"/>
      <c r="AE572" s="48"/>
      <c r="AF572" s="48"/>
      <c r="AG572" s="48"/>
      <c r="AH572" s="48"/>
      <c r="AI572" s="48"/>
      <c r="AJ572" s="48"/>
      <c r="AK572" s="48"/>
      <c r="AL572" s="48"/>
      <c r="AM572" s="48"/>
      <c r="AN572" s="48"/>
      <c r="AO572" s="48"/>
      <c r="AP572" s="48"/>
      <c r="AQ572" s="48"/>
      <c r="AR572" s="48"/>
      <c r="AS572" s="48"/>
      <c r="AT572" s="48"/>
      <c r="AU572" s="48"/>
      <c r="AV572" s="48"/>
      <c r="AW572" s="48"/>
      <c r="AX572" s="48"/>
      <c r="AY572" s="48"/>
      <c r="AZ572" s="48"/>
      <c r="BA572" s="48"/>
    </row>
    <row r="573" spans="1:53" hidden="1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  <c r="AB573" s="48"/>
      <c r="AC573" s="48"/>
      <c r="AD573" s="48"/>
      <c r="AE573" s="48"/>
      <c r="AF573" s="48"/>
      <c r="AG573" s="48"/>
      <c r="AH573" s="48"/>
      <c r="AI573" s="48"/>
      <c r="AJ573" s="48"/>
      <c r="AK573" s="48"/>
      <c r="AL573" s="48"/>
      <c r="AM573" s="48"/>
      <c r="AN573" s="48"/>
      <c r="AO573" s="48"/>
      <c r="AP573" s="48"/>
      <c r="AQ573" s="48"/>
      <c r="AR573" s="48"/>
      <c r="AS573" s="48"/>
      <c r="AT573" s="48"/>
      <c r="AU573" s="48"/>
      <c r="AV573" s="48"/>
      <c r="AW573" s="48"/>
      <c r="AX573" s="48"/>
      <c r="AY573" s="48"/>
      <c r="AZ573" s="48"/>
      <c r="BA573" s="48"/>
    </row>
    <row r="574" spans="1:53" hidden="1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  <c r="AB574" s="48"/>
      <c r="AC574" s="48"/>
      <c r="AD574" s="48"/>
      <c r="AE574" s="48"/>
      <c r="AF574" s="48"/>
      <c r="AG574" s="48"/>
      <c r="AH574" s="48"/>
      <c r="AI574" s="48"/>
      <c r="AJ574" s="48"/>
      <c r="AK574" s="48"/>
      <c r="AL574" s="48"/>
      <c r="AM574" s="48"/>
      <c r="AN574" s="48"/>
      <c r="AO574" s="48"/>
      <c r="AP574" s="48"/>
      <c r="AQ574" s="48"/>
      <c r="AR574" s="48"/>
      <c r="AS574" s="48"/>
      <c r="AT574" s="48"/>
      <c r="AU574" s="48"/>
      <c r="AV574" s="48"/>
      <c r="AW574" s="48"/>
      <c r="AX574" s="48"/>
      <c r="AY574" s="48"/>
      <c r="AZ574" s="48"/>
      <c r="BA574" s="48"/>
    </row>
    <row r="575" spans="1:53" hidden="1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  <c r="AB575" s="48"/>
      <c r="AC575" s="48"/>
      <c r="AD575" s="48"/>
      <c r="AE575" s="48"/>
      <c r="AF575" s="48"/>
      <c r="AG575" s="48"/>
      <c r="AH575" s="48"/>
      <c r="AI575" s="48"/>
      <c r="AJ575" s="48"/>
      <c r="AK575" s="48"/>
      <c r="AL575" s="48"/>
      <c r="AM575" s="48"/>
      <c r="AN575" s="48"/>
      <c r="AO575" s="48"/>
      <c r="AP575" s="48"/>
      <c r="AQ575" s="48"/>
      <c r="AR575" s="48"/>
      <c r="AS575" s="48"/>
      <c r="AT575" s="48"/>
      <c r="AU575" s="48"/>
      <c r="AV575" s="48"/>
      <c r="AW575" s="48"/>
      <c r="AX575" s="48"/>
      <c r="AY575" s="48"/>
      <c r="AZ575" s="48"/>
      <c r="BA575" s="48"/>
    </row>
    <row r="576" spans="1:53" hidden="1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  <c r="AB576" s="48"/>
      <c r="AC576" s="48"/>
      <c r="AD576" s="48"/>
      <c r="AE576" s="48"/>
      <c r="AF576" s="48"/>
      <c r="AG576" s="48"/>
      <c r="AH576" s="48"/>
      <c r="AI576" s="48"/>
      <c r="AJ576" s="48"/>
      <c r="AK576" s="48"/>
      <c r="AL576" s="48"/>
      <c r="AM576" s="48"/>
      <c r="AN576" s="48"/>
      <c r="AO576" s="48"/>
      <c r="AP576" s="48"/>
      <c r="AQ576" s="48"/>
      <c r="AR576" s="48"/>
      <c r="AS576" s="48"/>
      <c r="AT576" s="48"/>
      <c r="AU576" s="48"/>
      <c r="AV576" s="48"/>
      <c r="AW576" s="48"/>
      <c r="AX576" s="48"/>
      <c r="AY576" s="48"/>
      <c r="AZ576" s="48"/>
      <c r="BA576" s="48"/>
    </row>
    <row r="577" spans="1:53" hidden="1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  <c r="AB577" s="48"/>
      <c r="AC577" s="48"/>
      <c r="AD577" s="48"/>
      <c r="AE577" s="48"/>
      <c r="AF577" s="48"/>
      <c r="AG577" s="48"/>
      <c r="AH577" s="48"/>
      <c r="AI577" s="48"/>
      <c r="AJ577" s="48"/>
      <c r="AK577" s="48"/>
      <c r="AL577" s="48"/>
      <c r="AM577" s="48"/>
      <c r="AN577" s="48"/>
      <c r="AO577" s="48"/>
      <c r="AP577" s="48"/>
      <c r="AQ577" s="48"/>
      <c r="AR577" s="48"/>
      <c r="AS577" s="48"/>
      <c r="AT577" s="48"/>
      <c r="AU577" s="48"/>
      <c r="AV577" s="48"/>
      <c r="AW577" s="48"/>
      <c r="AX577" s="48"/>
      <c r="AY577" s="48"/>
      <c r="AZ577" s="48"/>
      <c r="BA577" s="48"/>
    </row>
    <row r="578" spans="1:53" hidden="1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  <c r="AB578" s="48"/>
      <c r="AC578" s="48"/>
      <c r="AD578" s="48"/>
      <c r="AE578" s="48"/>
      <c r="AF578" s="48"/>
      <c r="AG578" s="48"/>
      <c r="AH578" s="48"/>
      <c r="AI578" s="48"/>
      <c r="AJ578" s="48"/>
      <c r="AK578" s="48"/>
      <c r="AL578" s="48"/>
      <c r="AM578" s="48"/>
      <c r="AN578" s="48"/>
      <c r="AO578" s="48"/>
      <c r="AP578" s="48"/>
      <c r="AQ578" s="48"/>
      <c r="AR578" s="48"/>
      <c r="AS578" s="48"/>
      <c r="AT578" s="48"/>
      <c r="AU578" s="48"/>
      <c r="AV578" s="48"/>
      <c r="AW578" s="48"/>
      <c r="AX578" s="48"/>
      <c r="AY578" s="48"/>
      <c r="AZ578" s="48"/>
      <c r="BA578" s="48"/>
    </row>
    <row r="579" spans="1:53" hidden="1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  <c r="AB579" s="48"/>
      <c r="AC579" s="48"/>
      <c r="AD579" s="48"/>
      <c r="AE579" s="48"/>
      <c r="AF579" s="48"/>
      <c r="AG579" s="48"/>
      <c r="AH579" s="48"/>
      <c r="AI579" s="48"/>
      <c r="AJ579" s="48"/>
      <c r="AK579" s="48"/>
      <c r="AL579" s="48"/>
      <c r="AM579" s="48"/>
      <c r="AN579" s="48"/>
      <c r="AO579" s="48"/>
      <c r="AP579" s="48"/>
      <c r="AQ579" s="48"/>
      <c r="AR579" s="48"/>
      <c r="AS579" s="48"/>
      <c r="AT579" s="48"/>
      <c r="AU579" s="48"/>
      <c r="AV579" s="48"/>
      <c r="AW579" s="48"/>
      <c r="AX579" s="48"/>
      <c r="AY579" s="48"/>
      <c r="AZ579" s="48"/>
      <c r="BA579" s="48"/>
    </row>
    <row r="580" spans="1:53" hidden="1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  <c r="AB580" s="48"/>
      <c r="AC580" s="48"/>
      <c r="AD580" s="48"/>
      <c r="AE580" s="48"/>
      <c r="AF580" s="48"/>
      <c r="AG580" s="48"/>
      <c r="AH580" s="48"/>
      <c r="AI580" s="48"/>
      <c r="AJ580" s="48"/>
      <c r="AK580" s="48"/>
      <c r="AL580" s="48"/>
      <c r="AM580" s="48"/>
      <c r="AN580" s="48"/>
      <c r="AO580" s="48"/>
      <c r="AP580" s="48"/>
      <c r="AQ580" s="48"/>
      <c r="AR580" s="48"/>
      <c r="AS580" s="48"/>
      <c r="AT580" s="48"/>
      <c r="AU580" s="48"/>
      <c r="AV580" s="48"/>
      <c r="AW580" s="48"/>
      <c r="AX580" s="48"/>
      <c r="AY580" s="48"/>
      <c r="AZ580" s="48"/>
      <c r="BA580" s="48"/>
    </row>
    <row r="581" spans="1:53" hidden="1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  <c r="AB581" s="48"/>
      <c r="AC581" s="48"/>
      <c r="AD581" s="48"/>
      <c r="AE581" s="48"/>
      <c r="AF581" s="48"/>
      <c r="AG581" s="48"/>
      <c r="AH581" s="48"/>
      <c r="AI581" s="48"/>
      <c r="AJ581" s="48"/>
      <c r="AK581" s="48"/>
      <c r="AL581" s="48"/>
      <c r="AM581" s="48"/>
      <c r="AN581" s="48"/>
      <c r="AO581" s="48"/>
      <c r="AP581" s="48"/>
      <c r="AQ581" s="48"/>
      <c r="AR581" s="48"/>
      <c r="AS581" s="48"/>
      <c r="AT581" s="48"/>
      <c r="AU581" s="48"/>
      <c r="AV581" s="48"/>
      <c r="AW581" s="48"/>
      <c r="AX581" s="48"/>
      <c r="AY581" s="48"/>
      <c r="AZ581" s="48"/>
      <c r="BA581" s="48"/>
    </row>
    <row r="582" spans="1:53" hidden="1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  <c r="AB582" s="48"/>
      <c r="AC582" s="48"/>
      <c r="AD582" s="48"/>
      <c r="AE582" s="48"/>
      <c r="AF582" s="48"/>
      <c r="AG582" s="48"/>
      <c r="AH582" s="48"/>
      <c r="AI582" s="48"/>
      <c r="AJ582" s="48"/>
      <c r="AK582" s="48"/>
      <c r="AL582" s="48"/>
      <c r="AM582" s="48"/>
      <c r="AN582" s="48"/>
      <c r="AO582" s="48"/>
      <c r="AP582" s="48"/>
      <c r="AQ582" s="48"/>
      <c r="AR582" s="48"/>
      <c r="AS582" s="48"/>
      <c r="AT582" s="48"/>
      <c r="AU582" s="48"/>
      <c r="AV582" s="48"/>
      <c r="AW582" s="48"/>
      <c r="AX582" s="48"/>
      <c r="AY582" s="48"/>
      <c r="AZ582" s="48"/>
      <c r="BA582" s="48"/>
    </row>
    <row r="583" spans="1:53" hidden="1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  <c r="AB583" s="48"/>
      <c r="AC583" s="48"/>
      <c r="AD583" s="48"/>
      <c r="AE583" s="48"/>
      <c r="AF583" s="48"/>
      <c r="AG583" s="48"/>
      <c r="AH583" s="48"/>
      <c r="AI583" s="48"/>
      <c r="AJ583" s="48"/>
      <c r="AK583" s="48"/>
      <c r="AL583" s="48"/>
      <c r="AM583" s="48"/>
      <c r="AN583" s="48"/>
      <c r="AO583" s="48"/>
      <c r="AP583" s="48"/>
      <c r="AQ583" s="48"/>
      <c r="AR583" s="48"/>
      <c r="AS583" s="48"/>
      <c r="AT583" s="48"/>
      <c r="AU583" s="48"/>
      <c r="AV583" s="48"/>
      <c r="AW583" s="48"/>
      <c r="AX583" s="48"/>
      <c r="AY583" s="48"/>
      <c r="AZ583" s="48"/>
      <c r="BA583" s="48"/>
    </row>
    <row r="584" spans="1:53" hidden="1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  <c r="AB584" s="48"/>
      <c r="AC584" s="48"/>
      <c r="AD584" s="48"/>
      <c r="AE584" s="48"/>
      <c r="AF584" s="48"/>
      <c r="AG584" s="48"/>
      <c r="AH584" s="48"/>
      <c r="AI584" s="48"/>
      <c r="AJ584" s="48"/>
      <c r="AK584" s="48"/>
      <c r="AL584" s="48"/>
      <c r="AM584" s="48"/>
      <c r="AN584" s="48"/>
      <c r="AO584" s="48"/>
      <c r="AP584" s="48"/>
      <c r="AQ584" s="48"/>
      <c r="AR584" s="48"/>
      <c r="AS584" s="48"/>
      <c r="AT584" s="48"/>
      <c r="AU584" s="48"/>
      <c r="AV584" s="48"/>
      <c r="AW584" s="48"/>
      <c r="AX584" s="48"/>
      <c r="AY584" s="48"/>
      <c r="AZ584" s="48"/>
      <c r="BA584" s="48"/>
    </row>
    <row r="585" spans="1:53" hidden="1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  <c r="AB585" s="48"/>
      <c r="AC585" s="48"/>
      <c r="AD585" s="48"/>
      <c r="AE585" s="48"/>
      <c r="AF585" s="48"/>
      <c r="AG585" s="48"/>
      <c r="AH585" s="48"/>
      <c r="AI585" s="48"/>
      <c r="AJ585" s="48"/>
      <c r="AK585" s="48"/>
      <c r="AL585" s="48"/>
      <c r="AM585" s="48"/>
      <c r="AN585" s="48"/>
      <c r="AO585" s="48"/>
      <c r="AP585" s="48"/>
      <c r="AQ585" s="48"/>
      <c r="AR585" s="48"/>
      <c r="AS585" s="48"/>
      <c r="AT585" s="48"/>
      <c r="AU585" s="48"/>
      <c r="AV585" s="48"/>
      <c r="AW585" s="48"/>
      <c r="AX585" s="48"/>
      <c r="AY585" s="48"/>
      <c r="AZ585" s="48"/>
      <c r="BA585" s="48"/>
    </row>
    <row r="586" spans="1:53" hidden="1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  <c r="AB586" s="48"/>
      <c r="AC586" s="48"/>
      <c r="AD586" s="48"/>
      <c r="AE586" s="48"/>
      <c r="AF586" s="48"/>
      <c r="AG586" s="48"/>
      <c r="AH586" s="48"/>
      <c r="AI586" s="48"/>
      <c r="AJ586" s="48"/>
      <c r="AK586" s="48"/>
      <c r="AL586" s="48"/>
      <c r="AM586" s="48"/>
      <c r="AN586" s="48"/>
      <c r="AO586" s="48"/>
      <c r="AP586" s="48"/>
      <c r="AQ586" s="48"/>
      <c r="AR586" s="48"/>
      <c r="AS586" s="48"/>
      <c r="AT586" s="48"/>
      <c r="AU586" s="48"/>
      <c r="AV586" s="48"/>
      <c r="AW586" s="48"/>
      <c r="AX586" s="48"/>
      <c r="AY586" s="48"/>
      <c r="AZ586" s="48"/>
      <c r="BA586" s="48"/>
    </row>
    <row r="587" spans="1:53" hidden="1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  <c r="AB587" s="48"/>
      <c r="AC587" s="48"/>
      <c r="AD587" s="48"/>
      <c r="AE587" s="48"/>
      <c r="AF587" s="48"/>
      <c r="AG587" s="48"/>
      <c r="AH587" s="48"/>
      <c r="AI587" s="48"/>
      <c r="AJ587" s="48"/>
      <c r="AK587" s="48"/>
      <c r="AL587" s="48"/>
      <c r="AM587" s="48"/>
      <c r="AN587" s="48"/>
      <c r="AO587" s="48"/>
      <c r="AP587" s="48"/>
      <c r="AQ587" s="48"/>
      <c r="AR587" s="48"/>
      <c r="AS587" s="48"/>
      <c r="AT587" s="48"/>
      <c r="AU587" s="48"/>
      <c r="AV587" s="48"/>
      <c r="AW587" s="48"/>
      <c r="AX587" s="48"/>
      <c r="AY587" s="48"/>
      <c r="AZ587" s="48"/>
      <c r="BA587" s="48"/>
    </row>
    <row r="588" spans="1:53" hidden="1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  <c r="AB588" s="48"/>
      <c r="AC588" s="48"/>
      <c r="AD588" s="48"/>
      <c r="AE588" s="48"/>
      <c r="AF588" s="48"/>
      <c r="AG588" s="48"/>
      <c r="AH588" s="48"/>
      <c r="AI588" s="48"/>
      <c r="AJ588" s="48"/>
      <c r="AK588" s="48"/>
      <c r="AL588" s="48"/>
      <c r="AM588" s="48"/>
      <c r="AN588" s="48"/>
      <c r="AO588" s="48"/>
      <c r="AP588" s="48"/>
      <c r="AQ588" s="48"/>
      <c r="AR588" s="48"/>
      <c r="AS588" s="48"/>
      <c r="AT588" s="48"/>
      <c r="AU588" s="48"/>
      <c r="AV588" s="48"/>
      <c r="AW588" s="48"/>
      <c r="AX588" s="48"/>
      <c r="AY588" s="48"/>
      <c r="AZ588" s="48"/>
      <c r="BA588" s="48"/>
    </row>
    <row r="589" spans="1:53" hidden="1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  <c r="AB589" s="48"/>
      <c r="AC589" s="48"/>
      <c r="AD589" s="48"/>
      <c r="AE589" s="48"/>
      <c r="AF589" s="48"/>
      <c r="AG589" s="48"/>
      <c r="AH589" s="48"/>
      <c r="AI589" s="48"/>
      <c r="AJ589" s="48"/>
      <c r="AK589" s="48"/>
      <c r="AL589" s="48"/>
      <c r="AM589" s="48"/>
      <c r="AN589" s="48"/>
      <c r="AO589" s="48"/>
      <c r="AP589" s="48"/>
      <c r="AQ589" s="48"/>
      <c r="AR589" s="48"/>
      <c r="AS589" s="48"/>
      <c r="AT589" s="48"/>
      <c r="AU589" s="48"/>
      <c r="AV589" s="48"/>
      <c r="AW589" s="48"/>
      <c r="AX589" s="48"/>
      <c r="AY589" s="48"/>
      <c r="AZ589" s="48"/>
      <c r="BA589" s="48"/>
    </row>
    <row r="590" spans="1:53" hidden="1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  <c r="AB590" s="48"/>
      <c r="AC590" s="48"/>
      <c r="AD590" s="48"/>
      <c r="AE590" s="48"/>
      <c r="AF590" s="48"/>
      <c r="AG590" s="48"/>
      <c r="AH590" s="48"/>
      <c r="AI590" s="48"/>
      <c r="AJ590" s="48"/>
      <c r="AK590" s="48"/>
      <c r="AL590" s="48"/>
      <c r="AM590" s="48"/>
      <c r="AN590" s="48"/>
      <c r="AO590" s="48"/>
      <c r="AP590" s="48"/>
      <c r="AQ590" s="48"/>
      <c r="AR590" s="48"/>
      <c r="AS590" s="48"/>
      <c r="AT590" s="48"/>
      <c r="AU590" s="48"/>
      <c r="AV590" s="48"/>
      <c r="AW590" s="48"/>
      <c r="AX590" s="48"/>
      <c r="AY590" s="48"/>
      <c r="AZ590" s="48"/>
      <c r="BA590" s="48"/>
    </row>
    <row r="591" spans="1:53" hidden="1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  <c r="AB591" s="48"/>
      <c r="AC591" s="48"/>
      <c r="AD591" s="48"/>
      <c r="AE591" s="48"/>
      <c r="AF591" s="48"/>
      <c r="AG591" s="48"/>
      <c r="AH591" s="48"/>
      <c r="AI591" s="48"/>
      <c r="AJ591" s="48"/>
      <c r="AK591" s="48"/>
      <c r="AL591" s="48"/>
      <c r="AM591" s="48"/>
      <c r="AN591" s="48"/>
      <c r="AO591" s="48"/>
      <c r="AP591" s="48"/>
      <c r="AQ591" s="48"/>
      <c r="AR591" s="48"/>
      <c r="AS591" s="48"/>
      <c r="AT591" s="48"/>
      <c r="AU591" s="48"/>
      <c r="AV591" s="48"/>
      <c r="AW591" s="48"/>
      <c r="AX591" s="48"/>
      <c r="AY591" s="48"/>
      <c r="AZ591" s="48"/>
      <c r="BA591" s="48"/>
    </row>
    <row r="592" spans="1:53" hidden="1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  <c r="AB592" s="48"/>
      <c r="AC592" s="48"/>
      <c r="AD592" s="48"/>
      <c r="AE592" s="48"/>
      <c r="AF592" s="48"/>
      <c r="AG592" s="48"/>
      <c r="AH592" s="48"/>
      <c r="AI592" s="48"/>
      <c r="AJ592" s="48"/>
      <c r="AK592" s="48"/>
      <c r="AL592" s="48"/>
      <c r="AM592" s="48"/>
      <c r="AN592" s="48"/>
      <c r="AO592" s="48"/>
      <c r="AP592" s="48"/>
      <c r="AQ592" s="48"/>
      <c r="AR592" s="48"/>
      <c r="AS592" s="48"/>
      <c r="AT592" s="48"/>
      <c r="AU592" s="48"/>
      <c r="AV592" s="48"/>
      <c r="AW592" s="48"/>
      <c r="AX592" s="48"/>
      <c r="AY592" s="48"/>
      <c r="AZ592" s="48"/>
      <c r="BA592" s="48"/>
    </row>
    <row r="593" spans="1:53" hidden="1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  <c r="AB593" s="48"/>
      <c r="AC593" s="48"/>
      <c r="AD593" s="48"/>
      <c r="AE593" s="48"/>
      <c r="AF593" s="48"/>
      <c r="AG593" s="48"/>
      <c r="AH593" s="48"/>
      <c r="AI593" s="48"/>
      <c r="AJ593" s="48"/>
      <c r="AK593" s="48"/>
      <c r="AL593" s="48"/>
      <c r="AM593" s="48"/>
      <c r="AN593" s="48"/>
      <c r="AO593" s="48"/>
      <c r="AP593" s="48"/>
      <c r="AQ593" s="48"/>
      <c r="AR593" s="48"/>
      <c r="AS593" s="48"/>
      <c r="AT593" s="48"/>
      <c r="AU593" s="48"/>
      <c r="AV593" s="48"/>
      <c r="AW593" s="48"/>
      <c r="AX593" s="48"/>
      <c r="AY593" s="48"/>
      <c r="AZ593" s="48"/>
      <c r="BA593" s="48"/>
    </row>
    <row r="594" spans="1:53" hidden="1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  <c r="AB594" s="48"/>
      <c r="AC594" s="48"/>
      <c r="AD594" s="48"/>
      <c r="AE594" s="48"/>
      <c r="AF594" s="48"/>
      <c r="AG594" s="48"/>
      <c r="AH594" s="48"/>
      <c r="AI594" s="48"/>
      <c r="AJ594" s="48"/>
      <c r="AK594" s="48"/>
      <c r="AL594" s="48"/>
      <c r="AM594" s="48"/>
      <c r="AN594" s="48"/>
      <c r="AO594" s="48"/>
      <c r="AP594" s="48"/>
      <c r="AQ594" s="48"/>
      <c r="AR594" s="48"/>
      <c r="AS594" s="48"/>
      <c r="AT594" s="48"/>
      <c r="AU594" s="48"/>
      <c r="AV594" s="48"/>
      <c r="AW594" s="48"/>
      <c r="AX594" s="48"/>
      <c r="AY594" s="48"/>
      <c r="AZ594" s="48"/>
      <c r="BA594" s="48"/>
    </row>
    <row r="595" spans="1:53" hidden="1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  <c r="AB595" s="48"/>
      <c r="AC595" s="48"/>
      <c r="AD595" s="48"/>
      <c r="AE595" s="48"/>
      <c r="AF595" s="48"/>
      <c r="AG595" s="48"/>
      <c r="AH595" s="48"/>
      <c r="AI595" s="48"/>
      <c r="AJ595" s="48"/>
      <c r="AK595" s="48"/>
      <c r="AL595" s="48"/>
      <c r="AM595" s="48"/>
      <c r="AN595" s="48"/>
      <c r="AO595" s="48"/>
      <c r="AP595" s="48"/>
      <c r="AQ595" s="48"/>
      <c r="AR595" s="48"/>
      <c r="AS595" s="48"/>
      <c r="AT595" s="48"/>
      <c r="AU595" s="48"/>
      <c r="AV595" s="48"/>
      <c r="AW595" s="48"/>
      <c r="AX595" s="48"/>
      <c r="AY595" s="48"/>
      <c r="AZ595" s="48"/>
      <c r="BA595" s="48"/>
    </row>
    <row r="596" spans="1:53" hidden="1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  <c r="AB596" s="48"/>
      <c r="AC596" s="48"/>
      <c r="AD596" s="48"/>
      <c r="AE596" s="48"/>
      <c r="AF596" s="48"/>
      <c r="AG596" s="48"/>
      <c r="AH596" s="48"/>
      <c r="AI596" s="48"/>
      <c r="AJ596" s="48"/>
      <c r="AK596" s="48"/>
      <c r="AL596" s="48"/>
      <c r="AM596" s="48"/>
      <c r="AN596" s="48"/>
      <c r="AO596" s="48"/>
      <c r="AP596" s="48"/>
      <c r="AQ596" s="48"/>
      <c r="AR596" s="48"/>
      <c r="AS596" s="48"/>
      <c r="AT596" s="48"/>
      <c r="AU596" s="48"/>
      <c r="AV596" s="48"/>
      <c r="AW596" s="48"/>
      <c r="AX596" s="48"/>
      <c r="AY596" s="48"/>
      <c r="AZ596" s="48"/>
      <c r="BA596" s="48"/>
    </row>
    <row r="597" spans="1:53" hidden="1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  <c r="AB597" s="48"/>
      <c r="AC597" s="48"/>
      <c r="AD597" s="48"/>
      <c r="AE597" s="48"/>
      <c r="AF597" s="48"/>
      <c r="AG597" s="48"/>
      <c r="AH597" s="48"/>
      <c r="AI597" s="48"/>
      <c r="AJ597" s="48"/>
      <c r="AK597" s="48"/>
      <c r="AL597" s="48"/>
      <c r="AM597" s="48"/>
      <c r="AN597" s="48"/>
      <c r="AO597" s="48"/>
      <c r="AP597" s="48"/>
      <c r="AQ597" s="48"/>
      <c r="AR597" s="48"/>
      <c r="AS597" s="48"/>
      <c r="AT597" s="48"/>
      <c r="AU597" s="48"/>
      <c r="AV597" s="48"/>
      <c r="AW597" s="48"/>
      <c r="AX597" s="48"/>
      <c r="AY597" s="48"/>
      <c r="AZ597" s="48"/>
      <c r="BA597" s="48"/>
    </row>
    <row r="598" spans="1:53" hidden="1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  <c r="AB598" s="48"/>
      <c r="AC598" s="48"/>
      <c r="AD598" s="48"/>
      <c r="AE598" s="48"/>
      <c r="AF598" s="48"/>
      <c r="AG598" s="48"/>
      <c r="AH598" s="48"/>
      <c r="AI598" s="48"/>
      <c r="AJ598" s="48"/>
      <c r="AK598" s="48"/>
      <c r="AL598" s="48"/>
      <c r="AM598" s="48"/>
      <c r="AN598" s="48"/>
      <c r="AO598" s="48"/>
      <c r="AP598" s="48"/>
      <c r="AQ598" s="48"/>
      <c r="AR598" s="48"/>
      <c r="AS598" s="48"/>
      <c r="AT598" s="48"/>
      <c r="AU598" s="48"/>
      <c r="AV598" s="48"/>
      <c r="AW598" s="48"/>
      <c r="AX598" s="48"/>
      <c r="AY598" s="48"/>
      <c r="AZ598" s="48"/>
      <c r="BA598" s="48"/>
    </row>
    <row r="599" spans="1:53" hidden="1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  <c r="AB599" s="48"/>
      <c r="AC599" s="48"/>
      <c r="AD599" s="48"/>
      <c r="AE599" s="48"/>
      <c r="AF599" s="48"/>
      <c r="AG599" s="48"/>
      <c r="AH599" s="48"/>
      <c r="AI599" s="48"/>
      <c r="AJ599" s="48"/>
      <c r="AK599" s="48"/>
      <c r="AL599" s="48"/>
      <c r="AM599" s="48"/>
      <c r="AN599" s="48"/>
      <c r="AO599" s="48"/>
      <c r="AP599" s="48"/>
      <c r="AQ599" s="48"/>
      <c r="AR599" s="48"/>
      <c r="AS599" s="48"/>
      <c r="AT599" s="48"/>
      <c r="AU599" s="48"/>
      <c r="AV599" s="48"/>
      <c r="AW599" s="48"/>
      <c r="AX599" s="48"/>
      <c r="AY599" s="48"/>
      <c r="AZ599" s="48"/>
      <c r="BA599" s="48"/>
    </row>
    <row r="600" spans="1:53" hidden="1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  <c r="AB600" s="48"/>
      <c r="AC600" s="48"/>
      <c r="AD600" s="48"/>
      <c r="AE600" s="48"/>
      <c r="AF600" s="48"/>
      <c r="AG600" s="48"/>
      <c r="AH600" s="48"/>
      <c r="AI600" s="48"/>
      <c r="AJ600" s="48"/>
      <c r="AK600" s="48"/>
      <c r="AL600" s="48"/>
      <c r="AM600" s="48"/>
      <c r="AN600" s="48"/>
      <c r="AO600" s="48"/>
      <c r="AP600" s="48"/>
      <c r="AQ600" s="48"/>
      <c r="AR600" s="48"/>
      <c r="AS600" s="48"/>
      <c r="AT600" s="48"/>
      <c r="AU600" s="48"/>
      <c r="AV600" s="48"/>
      <c r="AW600" s="48"/>
      <c r="AX600" s="48"/>
      <c r="AY600" s="48"/>
      <c r="AZ600" s="48"/>
      <c r="BA600" s="48"/>
    </row>
    <row r="601" spans="1:53" hidden="1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  <c r="AB601" s="48"/>
      <c r="AC601" s="48"/>
      <c r="AD601" s="48"/>
      <c r="AE601" s="48"/>
      <c r="AF601" s="48"/>
      <c r="AG601" s="48"/>
      <c r="AH601" s="48"/>
      <c r="AI601" s="48"/>
      <c r="AJ601" s="48"/>
      <c r="AK601" s="48"/>
      <c r="AL601" s="48"/>
      <c r="AM601" s="48"/>
      <c r="AN601" s="48"/>
      <c r="AO601" s="48"/>
      <c r="AP601" s="48"/>
      <c r="AQ601" s="48"/>
      <c r="AR601" s="48"/>
      <c r="AS601" s="48"/>
      <c r="AT601" s="48"/>
      <c r="AU601" s="48"/>
      <c r="AV601" s="48"/>
      <c r="AW601" s="48"/>
      <c r="AX601" s="48"/>
      <c r="AY601" s="48"/>
      <c r="AZ601" s="48"/>
      <c r="BA601" s="48"/>
    </row>
    <row r="602" spans="1:53" hidden="1" x14ac:dyDescent="0.3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  <c r="AB602" s="48"/>
      <c r="AC602" s="48"/>
      <c r="AD602" s="48"/>
      <c r="AE602" s="48"/>
      <c r="AF602" s="48"/>
      <c r="AG602" s="48"/>
      <c r="AH602" s="48"/>
      <c r="AI602" s="48"/>
      <c r="AJ602" s="48"/>
      <c r="AK602" s="48"/>
      <c r="AL602" s="48"/>
      <c r="AM602" s="48"/>
      <c r="AN602" s="48"/>
      <c r="AO602" s="48"/>
      <c r="AP602" s="48"/>
      <c r="AQ602" s="48"/>
      <c r="AR602" s="48"/>
      <c r="AS602" s="48"/>
      <c r="AT602" s="48"/>
      <c r="AU602" s="48"/>
      <c r="AV602" s="48"/>
      <c r="AW602" s="48"/>
      <c r="AX602" s="48"/>
      <c r="AY602" s="48"/>
      <c r="AZ602" s="48"/>
      <c r="BA602" s="48"/>
    </row>
    <row r="603" spans="1:53" hidden="1" x14ac:dyDescent="0.3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  <c r="AB603" s="48"/>
      <c r="AC603" s="48"/>
      <c r="AD603" s="48"/>
      <c r="AE603" s="48"/>
      <c r="AF603" s="48"/>
      <c r="AG603" s="48"/>
      <c r="AH603" s="48"/>
      <c r="AI603" s="48"/>
      <c r="AJ603" s="48"/>
      <c r="AK603" s="48"/>
      <c r="AL603" s="48"/>
      <c r="AM603" s="48"/>
      <c r="AN603" s="48"/>
      <c r="AO603" s="48"/>
      <c r="AP603" s="48"/>
      <c r="AQ603" s="48"/>
      <c r="AR603" s="48"/>
      <c r="AS603" s="48"/>
      <c r="AT603" s="48"/>
      <c r="AU603" s="48"/>
      <c r="AV603" s="48"/>
      <c r="AW603" s="48"/>
      <c r="AX603" s="48"/>
      <c r="AY603" s="48"/>
      <c r="AZ603" s="48"/>
      <c r="BA603" s="48"/>
    </row>
    <row r="604" spans="1:53" hidden="1" x14ac:dyDescent="0.3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  <c r="AB604" s="48"/>
      <c r="AC604" s="48"/>
      <c r="AD604" s="48"/>
      <c r="AE604" s="48"/>
      <c r="AF604" s="48"/>
      <c r="AG604" s="48"/>
      <c r="AH604" s="48"/>
      <c r="AI604" s="48"/>
      <c r="AJ604" s="48"/>
      <c r="AK604" s="48"/>
      <c r="AL604" s="48"/>
      <c r="AM604" s="48"/>
      <c r="AN604" s="48"/>
      <c r="AO604" s="48"/>
      <c r="AP604" s="48"/>
      <c r="AQ604" s="48"/>
      <c r="AR604" s="48"/>
      <c r="AS604" s="48"/>
      <c r="AT604" s="48"/>
      <c r="AU604" s="48"/>
      <c r="AV604" s="48"/>
      <c r="AW604" s="48"/>
      <c r="AX604" s="48"/>
      <c r="AY604" s="48"/>
      <c r="AZ604" s="48"/>
      <c r="BA604" s="48"/>
    </row>
    <row r="605" spans="1:53" hidden="1" x14ac:dyDescent="0.3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  <c r="AB605" s="48"/>
      <c r="AC605" s="48"/>
      <c r="AD605" s="48"/>
      <c r="AE605" s="48"/>
      <c r="AF605" s="48"/>
      <c r="AG605" s="48"/>
      <c r="AH605" s="48"/>
      <c r="AI605" s="48"/>
      <c r="AJ605" s="48"/>
      <c r="AK605" s="48"/>
      <c r="AL605" s="48"/>
      <c r="AM605" s="48"/>
      <c r="AN605" s="48"/>
      <c r="AO605" s="48"/>
      <c r="AP605" s="48"/>
      <c r="AQ605" s="48"/>
      <c r="AR605" s="48"/>
      <c r="AS605" s="48"/>
      <c r="AT605" s="48"/>
      <c r="AU605" s="48"/>
      <c r="AV605" s="48"/>
      <c r="AW605" s="48"/>
      <c r="AX605" s="48"/>
      <c r="AY605" s="48"/>
      <c r="AZ605" s="48"/>
      <c r="BA605" s="48"/>
    </row>
    <row r="606" spans="1:53" hidden="1" x14ac:dyDescent="0.3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  <c r="AB606" s="48"/>
      <c r="AC606" s="48"/>
      <c r="AD606" s="48"/>
      <c r="AE606" s="48"/>
      <c r="AF606" s="48"/>
      <c r="AG606" s="48"/>
      <c r="AH606" s="48"/>
      <c r="AI606" s="48"/>
      <c r="AJ606" s="48"/>
      <c r="AK606" s="48"/>
      <c r="AL606" s="48"/>
      <c r="AM606" s="48"/>
      <c r="AN606" s="48"/>
      <c r="AO606" s="48"/>
      <c r="AP606" s="48"/>
      <c r="AQ606" s="48"/>
      <c r="AR606" s="48"/>
      <c r="AS606" s="48"/>
      <c r="AT606" s="48"/>
      <c r="AU606" s="48"/>
      <c r="AV606" s="48"/>
      <c r="AW606" s="48"/>
      <c r="AX606" s="48"/>
      <c r="AY606" s="48"/>
      <c r="AZ606" s="48"/>
      <c r="BA606" s="48"/>
    </row>
    <row r="607" spans="1:53" hidden="1" x14ac:dyDescent="0.3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  <c r="AB607" s="48"/>
      <c r="AC607" s="48"/>
      <c r="AD607" s="48"/>
      <c r="AE607" s="48"/>
      <c r="AF607" s="48"/>
      <c r="AG607" s="48"/>
      <c r="AH607" s="48"/>
      <c r="AI607" s="48"/>
      <c r="AJ607" s="48"/>
      <c r="AK607" s="48"/>
      <c r="AL607" s="48"/>
      <c r="AM607" s="48"/>
      <c r="AN607" s="48"/>
      <c r="AO607" s="48"/>
      <c r="AP607" s="48"/>
      <c r="AQ607" s="48"/>
      <c r="AR607" s="48"/>
      <c r="AS607" s="48"/>
      <c r="AT607" s="48"/>
      <c r="AU607" s="48"/>
      <c r="AV607" s="48"/>
      <c r="AW607" s="48"/>
      <c r="AX607" s="48"/>
      <c r="AY607" s="48"/>
      <c r="AZ607" s="48"/>
      <c r="BA607" s="48"/>
    </row>
    <row r="608" spans="1:53" hidden="1" x14ac:dyDescent="0.3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  <c r="AB608" s="48"/>
      <c r="AC608" s="48"/>
      <c r="AD608" s="48"/>
      <c r="AE608" s="48"/>
      <c r="AF608" s="48"/>
      <c r="AG608" s="48"/>
      <c r="AH608" s="48"/>
      <c r="AI608" s="48"/>
      <c r="AJ608" s="48"/>
      <c r="AK608" s="48"/>
      <c r="AL608" s="48"/>
      <c r="AM608" s="48"/>
      <c r="AN608" s="48"/>
      <c r="AO608" s="48"/>
      <c r="AP608" s="48"/>
      <c r="AQ608" s="48"/>
      <c r="AR608" s="48"/>
      <c r="AS608" s="48"/>
      <c r="AT608" s="48"/>
      <c r="AU608" s="48"/>
      <c r="AV608" s="48"/>
      <c r="AW608" s="48"/>
      <c r="AX608" s="48"/>
      <c r="AY608" s="48"/>
      <c r="AZ608" s="48"/>
      <c r="BA608" s="48"/>
    </row>
    <row r="609" spans="1:53" hidden="1" x14ac:dyDescent="0.3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  <c r="AB609" s="48"/>
      <c r="AC609" s="48"/>
      <c r="AD609" s="48"/>
      <c r="AE609" s="48"/>
      <c r="AF609" s="48"/>
      <c r="AG609" s="48"/>
      <c r="AH609" s="48"/>
      <c r="AI609" s="48"/>
      <c r="AJ609" s="48"/>
      <c r="AK609" s="48"/>
      <c r="AL609" s="48"/>
      <c r="AM609" s="48"/>
      <c r="AN609" s="48"/>
      <c r="AO609" s="48"/>
      <c r="AP609" s="48"/>
      <c r="AQ609" s="48"/>
      <c r="AR609" s="48"/>
      <c r="AS609" s="48"/>
      <c r="AT609" s="48"/>
      <c r="AU609" s="48"/>
      <c r="AV609" s="48"/>
      <c r="AW609" s="48"/>
      <c r="AX609" s="48"/>
      <c r="AY609" s="48"/>
      <c r="AZ609" s="48"/>
      <c r="BA609" s="48"/>
    </row>
    <row r="610" spans="1:53" hidden="1" x14ac:dyDescent="0.3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  <c r="AB610" s="48"/>
      <c r="AC610" s="48"/>
      <c r="AD610" s="48"/>
      <c r="AE610" s="48"/>
      <c r="AF610" s="48"/>
      <c r="AG610" s="48"/>
      <c r="AH610" s="48"/>
      <c r="AI610" s="48"/>
      <c r="AJ610" s="48"/>
      <c r="AK610" s="48"/>
      <c r="AL610" s="48"/>
      <c r="AM610" s="48"/>
      <c r="AN610" s="48"/>
      <c r="AO610" s="48"/>
      <c r="AP610" s="48"/>
      <c r="AQ610" s="48"/>
      <c r="AR610" s="48"/>
      <c r="AS610" s="48"/>
      <c r="AT610" s="48"/>
      <c r="AU610" s="48"/>
      <c r="AV610" s="48"/>
      <c r="AW610" s="48"/>
      <c r="AX610" s="48"/>
      <c r="AY610" s="48"/>
      <c r="AZ610" s="48"/>
      <c r="BA610" s="48"/>
    </row>
    <row r="611" spans="1:53" hidden="1" x14ac:dyDescent="0.3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  <c r="AB611" s="48"/>
      <c r="AC611" s="48"/>
      <c r="AD611" s="48"/>
      <c r="AE611" s="48"/>
      <c r="AF611" s="48"/>
      <c r="AG611" s="48"/>
      <c r="AH611" s="48"/>
      <c r="AI611" s="48"/>
      <c r="AJ611" s="48"/>
      <c r="AK611" s="48"/>
      <c r="AL611" s="48"/>
      <c r="AM611" s="48"/>
      <c r="AN611" s="48"/>
      <c r="AO611" s="48"/>
      <c r="AP611" s="48"/>
      <c r="AQ611" s="48"/>
      <c r="AR611" s="48"/>
      <c r="AS611" s="48"/>
      <c r="AT611" s="48"/>
      <c r="AU611" s="48"/>
      <c r="AV611" s="48"/>
      <c r="AW611" s="48"/>
      <c r="AX611" s="48"/>
      <c r="AY611" s="48"/>
      <c r="AZ611" s="48"/>
      <c r="BA611" s="48"/>
    </row>
    <row r="612" spans="1:53" hidden="1" x14ac:dyDescent="0.3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  <c r="AB612" s="48"/>
      <c r="AC612" s="48"/>
      <c r="AD612" s="48"/>
      <c r="AE612" s="48"/>
      <c r="AF612" s="48"/>
      <c r="AG612" s="48"/>
      <c r="AH612" s="48"/>
      <c r="AI612" s="48"/>
      <c r="AJ612" s="48"/>
      <c r="AK612" s="48"/>
      <c r="AL612" s="48"/>
      <c r="AM612" s="48"/>
      <c r="AN612" s="48"/>
      <c r="AO612" s="48"/>
      <c r="AP612" s="48"/>
      <c r="AQ612" s="48"/>
      <c r="AR612" s="48"/>
      <c r="AS612" s="48"/>
      <c r="AT612" s="48"/>
      <c r="AU612" s="48"/>
      <c r="AV612" s="48"/>
      <c r="AW612" s="48"/>
      <c r="AX612" s="48"/>
      <c r="AY612" s="48"/>
      <c r="AZ612" s="48"/>
      <c r="BA612" s="48"/>
    </row>
    <row r="613" spans="1:53" hidden="1" x14ac:dyDescent="0.3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  <c r="AB613" s="48"/>
      <c r="AC613" s="48"/>
      <c r="AD613" s="48"/>
      <c r="AE613" s="48"/>
      <c r="AF613" s="48"/>
      <c r="AG613" s="48"/>
      <c r="AH613" s="48"/>
      <c r="AI613" s="48"/>
      <c r="AJ613" s="48"/>
      <c r="AK613" s="48"/>
      <c r="AL613" s="48"/>
      <c r="AM613" s="48"/>
      <c r="AN613" s="48"/>
      <c r="AO613" s="48"/>
      <c r="AP613" s="48"/>
      <c r="AQ613" s="48"/>
      <c r="AR613" s="48"/>
      <c r="AS613" s="48"/>
      <c r="AT613" s="48"/>
      <c r="AU613" s="48"/>
      <c r="AV613" s="48"/>
      <c r="AW613" s="48"/>
      <c r="AX613" s="48"/>
      <c r="AY613" s="48"/>
      <c r="AZ613" s="48"/>
      <c r="BA613" s="48"/>
    </row>
    <row r="614" spans="1:53" hidden="1" x14ac:dyDescent="0.3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  <c r="AB614" s="48"/>
      <c r="AC614" s="48"/>
      <c r="AD614" s="48"/>
      <c r="AE614" s="48"/>
      <c r="AF614" s="48"/>
      <c r="AG614" s="48"/>
      <c r="AH614" s="48"/>
      <c r="AI614" s="48"/>
      <c r="AJ614" s="48"/>
      <c r="AK614" s="48"/>
      <c r="AL614" s="48"/>
      <c r="AM614" s="48"/>
      <c r="AN614" s="48"/>
      <c r="AO614" s="48"/>
      <c r="AP614" s="48"/>
      <c r="AQ614" s="48"/>
      <c r="AR614" s="48"/>
      <c r="AS614" s="48"/>
      <c r="AT614" s="48"/>
      <c r="AU614" s="48"/>
      <c r="AV614" s="48"/>
      <c r="AW614" s="48"/>
      <c r="AX614" s="48"/>
      <c r="AY614" s="48"/>
      <c r="AZ614" s="48"/>
      <c r="BA614" s="48"/>
    </row>
    <row r="615" spans="1:53" hidden="1" x14ac:dyDescent="0.3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  <c r="AB615" s="48"/>
      <c r="AC615" s="48"/>
      <c r="AD615" s="48"/>
      <c r="AE615" s="48"/>
      <c r="AF615" s="48"/>
      <c r="AG615" s="48"/>
      <c r="AH615" s="48"/>
      <c r="AI615" s="48"/>
      <c r="AJ615" s="48"/>
      <c r="AK615" s="48"/>
      <c r="AL615" s="48"/>
      <c r="AM615" s="48"/>
      <c r="AN615" s="48"/>
      <c r="AO615" s="48"/>
      <c r="AP615" s="48"/>
      <c r="AQ615" s="48"/>
      <c r="AR615" s="48"/>
      <c r="AS615" s="48"/>
      <c r="AT615" s="48"/>
      <c r="AU615" s="48"/>
      <c r="AV615" s="48"/>
      <c r="AW615" s="48"/>
      <c r="AX615" s="48"/>
      <c r="AY615" s="48"/>
      <c r="AZ615" s="48"/>
      <c r="BA615" s="48"/>
    </row>
    <row r="616" spans="1:53" hidden="1" x14ac:dyDescent="0.3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  <c r="AB616" s="48"/>
      <c r="AC616" s="48"/>
      <c r="AD616" s="48"/>
      <c r="AE616" s="48"/>
      <c r="AF616" s="48"/>
      <c r="AG616" s="48"/>
      <c r="AH616" s="48"/>
      <c r="AI616" s="48"/>
      <c r="AJ616" s="48"/>
      <c r="AK616" s="48"/>
      <c r="AL616" s="48"/>
      <c r="AM616" s="48"/>
      <c r="AN616" s="48"/>
      <c r="AO616" s="48"/>
      <c r="AP616" s="48"/>
      <c r="AQ616" s="48"/>
      <c r="AR616" s="48"/>
      <c r="AS616" s="48"/>
      <c r="AT616" s="48"/>
      <c r="AU616" s="48"/>
      <c r="AV616" s="48"/>
      <c r="AW616" s="48"/>
      <c r="AX616" s="48"/>
      <c r="AY616" s="48"/>
      <c r="AZ616" s="48"/>
      <c r="BA616" s="48"/>
    </row>
    <row r="617" spans="1:53" hidden="1" x14ac:dyDescent="0.3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  <c r="AB617" s="48"/>
      <c r="AC617" s="48"/>
      <c r="AD617" s="48"/>
      <c r="AE617" s="48"/>
      <c r="AF617" s="48"/>
      <c r="AG617" s="48"/>
      <c r="AH617" s="48"/>
      <c r="AI617" s="48"/>
      <c r="AJ617" s="48"/>
      <c r="AK617" s="48"/>
      <c r="AL617" s="48"/>
      <c r="AM617" s="48"/>
      <c r="AN617" s="48"/>
      <c r="AO617" s="48"/>
      <c r="AP617" s="48"/>
      <c r="AQ617" s="48"/>
      <c r="AR617" s="48"/>
      <c r="AS617" s="48"/>
      <c r="AT617" s="48"/>
      <c r="AU617" s="48"/>
      <c r="AV617" s="48"/>
      <c r="AW617" s="48"/>
      <c r="AX617" s="48"/>
      <c r="AY617" s="48"/>
      <c r="AZ617" s="48"/>
      <c r="BA617" s="48"/>
    </row>
    <row r="618" spans="1:53" hidden="1" x14ac:dyDescent="0.3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  <c r="AB618" s="48"/>
      <c r="AC618" s="48"/>
      <c r="AD618" s="48"/>
      <c r="AE618" s="48"/>
      <c r="AF618" s="48"/>
      <c r="AG618" s="48"/>
      <c r="AH618" s="48"/>
      <c r="AI618" s="48"/>
      <c r="AJ618" s="48"/>
      <c r="AK618" s="48"/>
      <c r="AL618" s="48"/>
      <c r="AM618" s="48"/>
      <c r="AN618" s="48"/>
      <c r="AO618" s="48"/>
      <c r="AP618" s="48"/>
      <c r="AQ618" s="48"/>
      <c r="AR618" s="48"/>
      <c r="AS618" s="48"/>
      <c r="AT618" s="48"/>
      <c r="AU618" s="48"/>
      <c r="AV618" s="48"/>
      <c r="AW618" s="48"/>
      <c r="AX618" s="48"/>
      <c r="AY618" s="48"/>
      <c r="AZ618" s="48"/>
      <c r="BA618" s="48"/>
    </row>
    <row r="619" spans="1:53" hidden="1" x14ac:dyDescent="0.3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  <c r="AB619" s="48"/>
      <c r="AC619" s="48"/>
      <c r="AD619" s="48"/>
      <c r="AE619" s="48"/>
      <c r="AF619" s="48"/>
      <c r="AG619" s="48"/>
      <c r="AH619" s="48"/>
      <c r="AI619" s="48"/>
      <c r="AJ619" s="48"/>
      <c r="AK619" s="48"/>
      <c r="AL619" s="48"/>
      <c r="AM619" s="48"/>
      <c r="AN619" s="48"/>
      <c r="AO619" s="48"/>
      <c r="AP619" s="48"/>
      <c r="AQ619" s="48"/>
      <c r="AR619" s="48"/>
      <c r="AS619" s="48"/>
      <c r="AT619" s="48"/>
      <c r="AU619" s="48"/>
      <c r="AV619" s="48"/>
      <c r="AW619" s="48"/>
      <c r="AX619" s="48"/>
      <c r="AY619" s="48"/>
      <c r="AZ619" s="48"/>
      <c r="BA619" s="48"/>
    </row>
    <row r="620" spans="1:53" hidden="1" x14ac:dyDescent="0.3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  <c r="AB620" s="48"/>
      <c r="AC620" s="48"/>
      <c r="AD620" s="48"/>
      <c r="AE620" s="48"/>
      <c r="AF620" s="48"/>
      <c r="AG620" s="48"/>
      <c r="AH620" s="48"/>
      <c r="AI620" s="48"/>
      <c r="AJ620" s="48"/>
      <c r="AK620" s="48"/>
      <c r="AL620" s="48"/>
      <c r="AM620" s="48"/>
      <c r="AN620" s="48"/>
      <c r="AO620" s="48"/>
      <c r="AP620" s="48"/>
      <c r="AQ620" s="48"/>
      <c r="AR620" s="48"/>
      <c r="AS620" s="48"/>
      <c r="AT620" s="48"/>
      <c r="AU620" s="48"/>
      <c r="AV620" s="48"/>
      <c r="AW620" s="48"/>
      <c r="AX620" s="48"/>
      <c r="AY620" s="48"/>
      <c r="AZ620" s="48"/>
      <c r="BA620" s="48"/>
    </row>
    <row r="621" spans="1:53" hidden="1" x14ac:dyDescent="0.3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  <c r="AB621" s="48"/>
      <c r="AC621" s="48"/>
      <c r="AD621" s="48"/>
      <c r="AE621" s="48"/>
      <c r="AF621" s="48"/>
      <c r="AG621" s="48"/>
      <c r="AH621" s="48"/>
      <c r="AI621" s="48"/>
      <c r="AJ621" s="48"/>
      <c r="AK621" s="48"/>
      <c r="AL621" s="48"/>
      <c r="AM621" s="48"/>
      <c r="AN621" s="48"/>
      <c r="AO621" s="48"/>
      <c r="AP621" s="48"/>
      <c r="AQ621" s="48"/>
      <c r="AR621" s="48"/>
      <c r="AS621" s="48"/>
      <c r="AT621" s="48"/>
      <c r="AU621" s="48"/>
      <c r="AV621" s="48"/>
      <c r="AW621" s="48"/>
      <c r="AX621" s="48"/>
      <c r="AY621" s="48"/>
      <c r="AZ621" s="48"/>
      <c r="BA621" s="48"/>
    </row>
    <row r="622" spans="1:53" hidden="1" x14ac:dyDescent="0.3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  <c r="AB622" s="48"/>
      <c r="AC622" s="48"/>
      <c r="AD622" s="48"/>
      <c r="AE622" s="48"/>
      <c r="AF622" s="48"/>
      <c r="AG622" s="48"/>
      <c r="AH622" s="48"/>
      <c r="AI622" s="48"/>
      <c r="AJ622" s="48"/>
      <c r="AK622" s="48"/>
      <c r="AL622" s="48"/>
      <c r="AM622" s="48"/>
      <c r="AN622" s="48"/>
      <c r="AO622" s="48"/>
      <c r="AP622" s="48"/>
      <c r="AQ622" s="48"/>
      <c r="AR622" s="48"/>
      <c r="AS622" s="48"/>
      <c r="AT622" s="48"/>
      <c r="AU622" s="48"/>
      <c r="AV622" s="48"/>
      <c r="AW622" s="48"/>
      <c r="AX622" s="48"/>
      <c r="AY622" s="48"/>
      <c r="AZ622" s="48"/>
      <c r="BA622" s="48"/>
    </row>
    <row r="623" spans="1:53" hidden="1" x14ac:dyDescent="0.3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  <c r="AB623" s="48"/>
      <c r="AC623" s="48"/>
      <c r="AD623" s="48"/>
      <c r="AE623" s="48"/>
      <c r="AF623" s="48"/>
      <c r="AG623" s="48"/>
      <c r="AH623" s="48"/>
      <c r="AI623" s="48"/>
      <c r="AJ623" s="48"/>
      <c r="AK623" s="48"/>
      <c r="AL623" s="48"/>
      <c r="AM623" s="48"/>
      <c r="AN623" s="48"/>
      <c r="AO623" s="48"/>
      <c r="AP623" s="48"/>
      <c r="AQ623" s="48"/>
      <c r="AR623" s="48"/>
      <c r="AS623" s="48"/>
      <c r="AT623" s="48"/>
      <c r="AU623" s="48"/>
      <c r="AV623" s="48"/>
      <c r="AW623" s="48"/>
      <c r="AX623" s="48"/>
      <c r="AY623" s="48"/>
      <c r="AZ623" s="48"/>
      <c r="BA623" s="48"/>
    </row>
    <row r="624" spans="1:53" hidden="1" x14ac:dyDescent="0.3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  <c r="AB624" s="48"/>
      <c r="AC624" s="48"/>
      <c r="AD624" s="48"/>
      <c r="AE624" s="48"/>
      <c r="AF624" s="48"/>
      <c r="AG624" s="48"/>
      <c r="AH624" s="48"/>
      <c r="AI624" s="48"/>
      <c r="AJ624" s="48"/>
      <c r="AK624" s="48"/>
      <c r="AL624" s="48"/>
      <c r="AM624" s="48"/>
      <c r="AN624" s="48"/>
      <c r="AO624" s="48"/>
      <c r="AP624" s="48"/>
      <c r="AQ624" s="48"/>
      <c r="AR624" s="48"/>
      <c r="AS624" s="48"/>
      <c r="AT624" s="48"/>
      <c r="AU624" s="48"/>
      <c r="AV624" s="48"/>
      <c r="AW624" s="48"/>
      <c r="AX624" s="48"/>
      <c r="AY624" s="48"/>
      <c r="AZ624" s="48"/>
      <c r="BA624" s="48"/>
    </row>
    <row r="625" spans="1:53" hidden="1" x14ac:dyDescent="0.3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  <c r="AB625" s="48"/>
      <c r="AC625" s="48"/>
      <c r="AD625" s="48"/>
      <c r="AE625" s="48"/>
      <c r="AF625" s="48"/>
      <c r="AG625" s="48"/>
      <c r="AH625" s="48"/>
      <c r="AI625" s="48"/>
      <c r="AJ625" s="48"/>
      <c r="AK625" s="48"/>
      <c r="AL625" s="48"/>
      <c r="AM625" s="48"/>
      <c r="AN625" s="48"/>
      <c r="AO625" s="48"/>
      <c r="AP625" s="48"/>
      <c r="AQ625" s="48"/>
      <c r="AR625" s="48"/>
      <c r="AS625" s="48"/>
      <c r="AT625" s="48"/>
      <c r="AU625" s="48"/>
      <c r="AV625" s="48"/>
      <c r="AW625" s="48"/>
      <c r="AX625" s="48"/>
      <c r="AY625" s="48"/>
      <c r="AZ625" s="48"/>
      <c r="BA625" s="48"/>
    </row>
    <row r="626" spans="1:53" hidden="1" x14ac:dyDescent="0.3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  <c r="AB626" s="48"/>
      <c r="AC626" s="48"/>
      <c r="AD626" s="48"/>
      <c r="AE626" s="48"/>
      <c r="AF626" s="48"/>
      <c r="AG626" s="48"/>
      <c r="AH626" s="48"/>
      <c r="AI626" s="48"/>
      <c r="AJ626" s="48"/>
      <c r="AK626" s="48"/>
      <c r="AL626" s="48"/>
      <c r="AM626" s="48"/>
      <c r="AN626" s="48"/>
      <c r="AO626" s="48"/>
      <c r="AP626" s="48"/>
      <c r="AQ626" s="48"/>
      <c r="AR626" s="48"/>
      <c r="AS626" s="48"/>
      <c r="AT626" s="48"/>
      <c r="AU626" s="48"/>
      <c r="AV626" s="48"/>
      <c r="AW626" s="48"/>
      <c r="AX626" s="48"/>
      <c r="AY626" s="48"/>
      <c r="AZ626" s="48"/>
      <c r="BA626" s="48"/>
    </row>
    <row r="627" spans="1:53" hidden="1" x14ac:dyDescent="0.3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  <c r="AB627" s="48"/>
      <c r="AC627" s="48"/>
      <c r="AD627" s="48"/>
      <c r="AE627" s="48"/>
      <c r="AF627" s="48"/>
      <c r="AG627" s="48"/>
      <c r="AH627" s="48"/>
      <c r="AI627" s="48"/>
      <c r="AJ627" s="48"/>
      <c r="AK627" s="48"/>
      <c r="AL627" s="48"/>
      <c r="AM627" s="48"/>
      <c r="AN627" s="48"/>
      <c r="AO627" s="48"/>
      <c r="AP627" s="48"/>
      <c r="AQ627" s="48"/>
      <c r="AR627" s="48"/>
      <c r="AS627" s="48"/>
      <c r="AT627" s="48"/>
      <c r="AU627" s="48"/>
      <c r="AV627" s="48"/>
      <c r="AW627" s="48"/>
      <c r="AX627" s="48"/>
      <c r="AY627" s="48"/>
      <c r="AZ627" s="48"/>
      <c r="BA627" s="48"/>
    </row>
    <row r="628" spans="1:53" hidden="1" x14ac:dyDescent="0.3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  <c r="AB628" s="48"/>
      <c r="AC628" s="48"/>
      <c r="AD628" s="48"/>
      <c r="AE628" s="48"/>
      <c r="AF628" s="48"/>
      <c r="AG628" s="48"/>
      <c r="AH628" s="48"/>
      <c r="AI628" s="48"/>
      <c r="AJ628" s="48"/>
      <c r="AK628" s="48"/>
      <c r="AL628" s="48"/>
      <c r="AM628" s="48"/>
      <c r="AN628" s="48"/>
      <c r="AO628" s="48"/>
      <c r="AP628" s="48"/>
      <c r="AQ628" s="48"/>
      <c r="AR628" s="48"/>
      <c r="AS628" s="48"/>
      <c r="AT628" s="48"/>
      <c r="AU628" s="48"/>
      <c r="AV628" s="48"/>
      <c r="AW628" s="48"/>
      <c r="AX628" s="48"/>
      <c r="AY628" s="48"/>
      <c r="AZ628" s="48"/>
      <c r="BA628" s="48"/>
    </row>
    <row r="629" spans="1:53" hidden="1" x14ac:dyDescent="0.3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  <c r="AB629" s="48"/>
      <c r="AC629" s="48"/>
      <c r="AD629" s="48"/>
      <c r="AE629" s="48"/>
      <c r="AF629" s="48"/>
      <c r="AG629" s="48"/>
      <c r="AH629" s="48"/>
      <c r="AI629" s="48"/>
      <c r="AJ629" s="48"/>
      <c r="AK629" s="48"/>
      <c r="AL629" s="48"/>
      <c r="AM629" s="48"/>
      <c r="AN629" s="48"/>
      <c r="AO629" s="48"/>
      <c r="AP629" s="48"/>
      <c r="AQ629" s="48"/>
      <c r="AR629" s="48"/>
      <c r="AS629" s="48"/>
      <c r="AT629" s="48"/>
      <c r="AU629" s="48"/>
      <c r="AV629" s="48"/>
      <c r="AW629" s="48"/>
      <c r="AX629" s="48"/>
      <c r="AY629" s="48"/>
      <c r="AZ629" s="48"/>
      <c r="BA629" s="48"/>
    </row>
    <row r="630" spans="1:53" hidden="1" x14ac:dyDescent="0.3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  <c r="AB630" s="48"/>
      <c r="AC630" s="48"/>
      <c r="AD630" s="48"/>
      <c r="AE630" s="48"/>
      <c r="AF630" s="48"/>
      <c r="AG630" s="48"/>
      <c r="AH630" s="48"/>
      <c r="AI630" s="48"/>
      <c r="AJ630" s="48"/>
      <c r="AK630" s="48"/>
      <c r="AL630" s="48"/>
      <c r="AM630" s="48"/>
      <c r="AN630" s="48"/>
      <c r="AO630" s="48"/>
      <c r="AP630" s="48"/>
      <c r="AQ630" s="48"/>
      <c r="AR630" s="48"/>
      <c r="AS630" s="48"/>
      <c r="AT630" s="48"/>
      <c r="AU630" s="48"/>
      <c r="AV630" s="48"/>
      <c r="AW630" s="48"/>
      <c r="AX630" s="48"/>
      <c r="AY630" s="48"/>
      <c r="AZ630" s="48"/>
      <c r="BA630" s="48"/>
    </row>
    <row r="631" spans="1:53" hidden="1" x14ac:dyDescent="0.3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  <c r="AB631" s="48"/>
      <c r="AC631" s="48"/>
      <c r="AD631" s="48"/>
      <c r="AE631" s="48"/>
      <c r="AF631" s="48"/>
      <c r="AG631" s="48"/>
      <c r="AH631" s="48"/>
      <c r="AI631" s="48"/>
      <c r="AJ631" s="48"/>
      <c r="AK631" s="48"/>
      <c r="AL631" s="48"/>
      <c r="AM631" s="48"/>
      <c r="AN631" s="48"/>
      <c r="AO631" s="48"/>
      <c r="AP631" s="48"/>
      <c r="AQ631" s="48"/>
      <c r="AR631" s="48"/>
      <c r="AS631" s="48"/>
      <c r="AT631" s="48"/>
      <c r="AU631" s="48"/>
      <c r="AV631" s="48"/>
      <c r="AW631" s="48"/>
      <c r="AX631" s="48"/>
      <c r="AY631" s="48"/>
      <c r="AZ631" s="48"/>
      <c r="BA631" s="48"/>
    </row>
    <row r="632" spans="1:53" hidden="1" x14ac:dyDescent="0.3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  <c r="AB632" s="48"/>
      <c r="AC632" s="48"/>
      <c r="AD632" s="48"/>
      <c r="AE632" s="48"/>
      <c r="AF632" s="48"/>
      <c r="AG632" s="48"/>
      <c r="AH632" s="48"/>
      <c r="AI632" s="48"/>
      <c r="AJ632" s="48"/>
      <c r="AK632" s="48"/>
      <c r="AL632" s="48"/>
      <c r="AM632" s="48"/>
      <c r="AN632" s="48"/>
      <c r="AO632" s="48"/>
      <c r="AP632" s="48"/>
      <c r="AQ632" s="48"/>
      <c r="AR632" s="48"/>
      <c r="AS632" s="48"/>
      <c r="AT632" s="48"/>
      <c r="AU632" s="48"/>
      <c r="AV632" s="48"/>
      <c r="AW632" s="48"/>
      <c r="AX632" s="48"/>
      <c r="AY632" s="48"/>
      <c r="AZ632" s="48"/>
      <c r="BA632" s="48"/>
    </row>
    <row r="633" spans="1:53" hidden="1" x14ac:dyDescent="0.3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  <c r="AB633" s="48"/>
      <c r="AC633" s="48"/>
      <c r="AD633" s="48"/>
      <c r="AE633" s="48"/>
      <c r="AF633" s="48"/>
      <c r="AG633" s="48"/>
      <c r="AH633" s="48"/>
      <c r="AI633" s="48"/>
      <c r="AJ633" s="48"/>
      <c r="AK633" s="48"/>
      <c r="AL633" s="48"/>
      <c r="AM633" s="48"/>
      <c r="AN633" s="48"/>
      <c r="AO633" s="48"/>
      <c r="AP633" s="48"/>
      <c r="AQ633" s="48"/>
      <c r="AR633" s="48"/>
      <c r="AS633" s="48"/>
      <c r="AT633" s="48"/>
      <c r="AU633" s="48"/>
      <c r="AV633" s="48"/>
      <c r="AW633" s="48"/>
      <c r="AX633" s="48"/>
      <c r="AY633" s="48"/>
      <c r="AZ633" s="48"/>
      <c r="BA633" s="48"/>
    </row>
    <row r="634" spans="1:53" hidden="1" x14ac:dyDescent="0.3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  <c r="AB634" s="48"/>
      <c r="AC634" s="48"/>
      <c r="AD634" s="48"/>
      <c r="AE634" s="48"/>
      <c r="AF634" s="48"/>
      <c r="AG634" s="48"/>
      <c r="AH634" s="48"/>
      <c r="AI634" s="48"/>
      <c r="AJ634" s="48"/>
      <c r="AK634" s="48"/>
      <c r="AL634" s="48"/>
      <c r="AM634" s="48"/>
      <c r="AN634" s="48"/>
      <c r="AO634" s="48"/>
      <c r="AP634" s="48"/>
      <c r="AQ634" s="48"/>
      <c r="AR634" s="48"/>
      <c r="AS634" s="48"/>
      <c r="AT634" s="48"/>
      <c r="AU634" s="48"/>
      <c r="AV634" s="48"/>
      <c r="AW634" s="48"/>
      <c r="AX634" s="48"/>
      <c r="AY634" s="48"/>
      <c r="AZ634" s="48"/>
      <c r="BA634" s="48"/>
    </row>
    <row r="635" spans="1:53" hidden="1" x14ac:dyDescent="0.3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  <c r="AB635" s="48"/>
      <c r="AC635" s="48"/>
      <c r="AD635" s="48"/>
      <c r="AE635" s="48"/>
      <c r="AF635" s="48"/>
      <c r="AG635" s="48"/>
      <c r="AH635" s="48"/>
      <c r="AI635" s="48"/>
      <c r="AJ635" s="48"/>
      <c r="AK635" s="48"/>
      <c r="AL635" s="48"/>
      <c r="AM635" s="48"/>
      <c r="AN635" s="48"/>
      <c r="AO635" s="48"/>
      <c r="AP635" s="48"/>
      <c r="AQ635" s="48"/>
      <c r="AR635" s="48"/>
      <c r="AS635" s="48"/>
      <c r="AT635" s="48"/>
      <c r="AU635" s="48"/>
      <c r="AV635" s="48"/>
      <c r="AW635" s="48"/>
      <c r="AX635" s="48"/>
      <c r="AY635" s="48"/>
      <c r="AZ635" s="48"/>
      <c r="BA635" s="48"/>
    </row>
    <row r="636" spans="1:53" hidden="1" x14ac:dyDescent="0.3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  <c r="AB636" s="48"/>
      <c r="AC636" s="48"/>
      <c r="AD636" s="48"/>
      <c r="AE636" s="48"/>
      <c r="AF636" s="48"/>
      <c r="AG636" s="48"/>
      <c r="AH636" s="48"/>
      <c r="AI636" s="48"/>
      <c r="AJ636" s="48"/>
      <c r="AK636" s="48"/>
      <c r="AL636" s="48"/>
      <c r="AM636" s="48"/>
      <c r="AN636" s="48"/>
      <c r="AO636" s="48"/>
      <c r="AP636" s="48"/>
      <c r="AQ636" s="48"/>
      <c r="AR636" s="48"/>
      <c r="AS636" s="48"/>
      <c r="AT636" s="48"/>
      <c r="AU636" s="48"/>
      <c r="AV636" s="48"/>
      <c r="AW636" s="48"/>
      <c r="AX636" s="48"/>
      <c r="AY636" s="48"/>
      <c r="AZ636" s="48"/>
      <c r="BA636" s="48"/>
    </row>
    <row r="637" spans="1:53" hidden="1" x14ac:dyDescent="0.3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  <c r="AB637" s="48"/>
      <c r="AC637" s="48"/>
      <c r="AD637" s="48"/>
      <c r="AE637" s="48"/>
      <c r="AF637" s="48"/>
      <c r="AG637" s="48"/>
      <c r="AH637" s="48"/>
      <c r="AI637" s="48"/>
      <c r="AJ637" s="48"/>
      <c r="AK637" s="48"/>
      <c r="AL637" s="48"/>
      <c r="AM637" s="48"/>
      <c r="AN637" s="48"/>
      <c r="AO637" s="48"/>
      <c r="AP637" s="48"/>
      <c r="AQ637" s="48"/>
      <c r="AR637" s="48"/>
      <c r="AS637" s="48"/>
      <c r="AT637" s="48"/>
      <c r="AU637" s="48"/>
      <c r="AV637" s="48"/>
      <c r="AW637" s="48"/>
      <c r="AX637" s="48"/>
      <c r="AY637" s="48"/>
      <c r="AZ637" s="48"/>
      <c r="BA637" s="48"/>
    </row>
    <row r="638" spans="1:53" hidden="1" x14ac:dyDescent="0.3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  <c r="AB638" s="48"/>
      <c r="AC638" s="48"/>
      <c r="AD638" s="48"/>
      <c r="AE638" s="48"/>
      <c r="AF638" s="48"/>
      <c r="AG638" s="48"/>
      <c r="AH638" s="48"/>
      <c r="AI638" s="48"/>
      <c r="AJ638" s="48"/>
      <c r="AK638" s="48"/>
      <c r="AL638" s="48"/>
      <c r="AM638" s="48"/>
      <c r="AN638" s="48"/>
      <c r="AO638" s="48"/>
      <c r="AP638" s="48"/>
      <c r="AQ638" s="48"/>
      <c r="AR638" s="48"/>
      <c r="AS638" s="48"/>
      <c r="AT638" s="48"/>
      <c r="AU638" s="48"/>
      <c r="AV638" s="48"/>
      <c r="AW638" s="48"/>
      <c r="AX638" s="48"/>
      <c r="AY638" s="48"/>
      <c r="AZ638" s="48"/>
      <c r="BA638" s="48"/>
    </row>
    <row r="639" spans="1:53" hidden="1" x14ac:dyDescent="0.3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  <c r="AB639" s="48"/>
      <c r="AC639" s="48"/>
      <c r="AD639" s="48"/>
      <c r="AE639" s="48"/>
      <c r="AF639" s="48"/>
      <c r="AG639" s="48"/>
      <c r="AH639" s="48"/>
      <c r="AI639" s="48"/>
      <c r="AJ639" s="48"/>
      <c r="AK639" s="48"/>
      <c r="AL639" s="48"/>
      <c r="AM639" s="48"/>
      <c r="AN639" s="48"/>
      <c r="AO639" s="48"/>
      <c r="AP639" s="48"/>
      <c r="AQ639" s="48"/>
      <c r="AR639" s="48"/>
      <c r="AS639" s="48"/>
      <c r="AT639" s="48"/>
      <c r="AU639" s="48"/>
      <c r="AV639" s="48"/>
      <c r="AW639" s="48"/>
      <c r="AX639" s="48"/>
      <c r="AY639" s="48"/>
      <c r="AZ639" s="48"/>
      <c r="BA639" s="48"/>
    </row>
    <row r="640" spans="1:53" hidden="1" x14ac:dyDescent="0.3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  <c r="AB640" s="48"/>
      <c r="AC640" s="48"/>
      <c r="AD640" s="48"/>
      <c r="AE640" s="48"/>
      <c r="AF640" s="48"/>
      <c r="AG640" s="48"/>
      <c r="AH640" s="48"/>
      <c r="AI640" s="48"/>
      <c r="AJ640" s="48"/>
      <c r="AK640" s="48"/>
      <c r="AL640" s="48"/>
      <c r="AM640" s="48"/>
      <c r="AN640" s="48"/>
      <c r="AO640" s="48"/>
      <c r="AP640" s="48"/>
      <c r="AQ640" s="48"/>
      <c r="AR640" s="48"/>
      <c r="AS640" s="48"/>
      <c r="AT640" s="48"/>
      <c r="AU640" s="48"/>
      <c r="AV640" s="48"/>
      <c r="AW640" s="48"/>
      <c r="AX640" s="48"/>
      <c r="AY640" s="48"/>
      <c r="AZ640" s="48"/>
      <c r="BA640" s="48"/>
    </row>
    <row r="641" spans="1:53" hidden="1" x14ac:dyDescent="0.3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  <c r="AB641" s="48"/>
      <c r="AC641" s="48"/>
      <c r="AD641" s="48"/>
      <c r="AE641" s="48"/>
      <c r="AF641" s="48"/>
      <c r="AG641" s="48"/>
      <c r="AH641" s="48"/>
      <c r="AI641" s="48"/>
      <c r="AJ641" s="48"/>
      <c r="AK641" s="48"/>
      <c r="AL641" s="48"/>
      <c r="AM641" s="48"/>
      <c r="AN641" s="48"/>
      <c r="AO641" s="48"/>
      <c r="AP641" s="48"/>
      <c r="AQ641" s="48"/>
      <c r="AR641" s="48"/>
      <c r="AS641" s="48"/>
      <c r="AT641" s="48"/>
      <c r="AU641" s="48"/>
      <c r="AV641" s="48"/>
      <c r="AW641" s="48"/>
      <c r="AX641" s="48"/>
      <c r="AY641" s="48"/>
      <c r="AZ641" s="48"/>
      <c r="BA641" s="48"/>
    </row>
    <row r="642" spans="1:53" hidden="1" x14ac:dyDescent="0.3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  <c r="AB642" s="48"/>
      <c r="AC642" s="48"/>
      <c r="AD642" s="48"/>
      <c r="AE642" s="48"/>
      <c r="AF642" s="48"/>
      <c r="AG642" s="48"/>
      <c r="AH642" s="48"/>
      <c r="AI642" s="48"/>
      <c r="AJ642" s="48"/>
      <c r="AK642" s="48"/>
      <c r="AL642" s="48"/>
      <c r="AM642" s="48"/>
      <c r="AN642" s="48"/>
      <c r="AO642" s="48"/>
      <c r="AP642" s="48"/>
      <c r="AQ642" s="48"/>
      <c r="AR642" s="48"/>
      <c r="AS642" s="48"/>
      <c r="AT642" s="48"/>
      <c r="AU642" s="48"/>
      <c r="AV642" s="48"/>
      <c r="AW642" s="48"/>
      <c r="AX642" s="48"/>
      <c r="AY642" s="48"/>
      <c r="AZ642" s="48"/>
      <c r="BA642" s="48"/>
    </row>
    <row r="643" spans="1:53" hidden="1" x14ac:dyDescent="0.3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  <c r="AB643" s="48"/>
      <c r="AC643" s="48"/>
      <c r="AD643" s="48"/>
      <c r="AE643" s="48"/>
      <c r="AF643" s="48"/>
      <c r="AG643" s="48"/>
      <c r="AH643" s="48"/>
      <c r="AI643" s="48"/>
      <c r="AJ643" s="48"/>
      <c r="AK643" s="48"/>
      <c r="AL643" s="48"/>
      <c r="AM643" s="48"/>
      <c r="AN643" s="48"/>
      <c r="AO643" s="48"/>
      <c r="AP643" s="48"/>
      <c r="AQ643" s="48"/>
      <c r="AR643" s="48"/>
      <c r="AS643" s="48"/>
      <c r="AT643" s="48"/>
      <c r="AU643" s="48"/>
      <c r="AV643" s="48"/>
      <c r="AW643" s="48"/>
      <c r="AX643" s="48"/>
      <c r="AY643" s="48"/>
      <c r="AZ643" s="48"/>
      <c r="BA643" s="48"/>
    </row>
    <row r="644" spans="1:53" hidden="1" x14ac:dyDescent="0.3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  <c r="AB644" s="48"/>
      <c r="AC644" s="48"/>
      <c r="AD644" s="48"/>
      <c r="AE644" s="48"/>
      <c r="AF644" s="48"/>
      <c r="AG644" s="48"/>
      <c r="AH644" s="48"/>
      <c r="AI644" s="48"/>
      <c r="AJ644" s="48"/>
      <c r="AK644" s="48"/>
      <c r="AL644" s="48"/>
      <c r="AM644" s="48"/>
      <c r="AN644" s="48"/>
      <c r="AO644" s="48"/>
      <c r="AP644" s="48"/>
      <c r="AQ644" s="48"/>
      <c r="AR644" s="48"/>
      <c r="AS644" s="48"/>
      <c r="AT644" s="48"/>
      <c r="AU644" s="48"/>
      <c r="AV644" s="48"/>
      <c r="AW644" s="48"/>
      <c r="AX644" s="48"/>
      <c r="AY644" s="48"/>
      <c r="AZ644" s="48"/>
      <c r="BA644" s="48"/>
    </row>
    <row r="645" spans="1:53" hidden="1" x14ac:dyDescent="0.3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  <c r="AB645" s="48"/>
      <c r="AC645" s="48"/>
      <c r="AD645" s="48"/>
      <c r="AE645" s="48"/>
      <c r="AF645" s="48"/>
      <c r="AG645" s="48"/>
      <c r="AH645" s="48"/>
      <c r="AI645" s="48"/>
      <c r="AJ645" s="48"/>
      <c r="AK645" s="48"/>
      <c r="AL645" s="48"/>
      <c r="AM645" s="48"/>
      <c r="AN645" s="48"/>
      <c r="AO645" s="48"/>
      <c r="AP645" s="48"/>
      <c r="AQ645" s="48"/>
      <c r="AR645" s="48"/>
      <c r="AS645" s="48"/>
      <c r="AT645" s="48"/>
      <c r="AU645" s="48"/>
      <c r="AV645" s="48"/>
      <c r="AW645" s="48"/>
      <c r="AX645" s="48"/>
      <c r="AY645" s="48"/>
      <c r="AZ645" s="48"/>
      <c r="BA645" s="48"/>
    </row>
    <row r="646" spans="1:53" hidden="1" x14ac:dyDescent="0.3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  <c r="AB646" s="48"/>
      <c r="AC646" s="48"/>
      <c r="AD646" s="48"/>
      <c r="AE646" s="48"/>
      <c r="AF646" s="48"/>
      <c r="AG646" s="48"/>
      <c r="AH646" s="48"/>
      <c r="AI646" s="48"/>
      <c r="AJ646" s="48"/>
      <c r="AK646" s="48"/>
      <c r="AL646" s="48"/>
      <c r="AM646" s="48"/>
      <c r="AN646" s="48"/>
      <c r="AO646" s="48"/>
      <c r="AP646" s="48"/>
      <c r="AQ646" s="48"/>
      <c r="AR646" s="48"/>
      <c r="AS646" s="48"/>
      <c r="AT646" s="48"/>
      <c r="AU646" s="48"/>
      <c r="AV646" s="48"/>
      <c r="AW646" s="48"/>
      <c r="AX646" s="48"/>
      <c r="AY646" s="48"/>
      <c r="AZ646" s="48"/>
      <c r="BA646" s="48"/>
    </row>
    <row r="647" spans="1:53" hidden="1" x14ac:dyDescent="0.3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  <c r="AB647" s="48"/>
      <c r="AC647" s="48"/>
      <c r="AD647" s="48"/>
      <c r="AE647" s="48"/>
      <c r="AF647" s="48"/>
      <c r="AG647" s="48"/>
      <c r="AH647" s="48"/>
      <c r="AI647" s="48"/>
      <c r="AJ647" s="48"/>
      <c r="AK647" s="48"/>
      <c r="AL647" s="48"/>
      <c r="AM647" s="48"/>
      <c r="AN647" s="48"/>
      <c r="AO647" s="48"/>
      <c r="AP647" s="48"/>
      <c r="AQ647" s="48"/>
      <c r="AR647" s="48"/>
      <c r="AS647" s="48"/>
      <c r="AT647" s="48"/>
      <c r="AU647" s="48"/>
      <c r="AV647" s="48"/>
      <c r="AW647" s="48"/>
      <c r="AX647" s="48"/>
      <c r="AY647" s="48"/>
      <c r="AZ647" s="48"/>
      <c r="BA647" s="48"/>
    </row>
    <row r="648" spans="1:53" hidden="1" x14ac:dyDescent="0.3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  <c r="AB648" s="48"/>
      <c r="AC648" s="48"/>
      <c r="AD648" s="48"/>
      <c r="AE648" s="48"/>
      <c r="AF648" s="48"/>
      <c r="AG648" s="48"/>
      <c r="AH648" s="48"/>
      <c r="AI648" s="48"/>
      <c r="AJ648" s="48"/>
      <c r="AK648" s="48"/>
      <c r="AL648" s="48"/>
      <c r="AM648" s="48"/>
      <c r="AN648" s="48"/>
      <c r="AO648" s="48"/>
      <c r="AP648" s="48"/>
      <c r="AQ648" s="48"/>
      <c r="AR648" s="48"/>
      <c r="AS648" s="48"/>
      <c r="AT648" s="48"/>
      <c r="AU648" s="48"/>
      <c r="AV648" s="48"/>
      <c r="AW648" s="48"/>
      <c r="AX648" s="48"/>
      <c r="AY648" s="48"/>
      <c r="AZ648" s="48"/>
      <c r="BA648" s="48"/>
    </row>
    <row r="649" spans="1:53" hidden="1" x14ac:dyDescent="0.3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  <c r="AB649" s="48"/>
      <c r="AC649" s="48"/>
      <c r="AD649" s="48"/>
      <c r="AE649" s="48"/>
      <c r="AF649" s="48"/>
      <c r="AG649" s="48"/>
      <c r="AH649" s="48"/>
      <c r="AI649" s="48"/>
      <c r="AJ649" s="48"/>
      <c r="AK649" s="48"/>
      <c r="AL649" s="48"/>
      <c r="AM649" s="48"/>
      <c r="AN649" s="48"/>
      <c r="AO649" s="48"/>
      <c r="AP649" s="48"/>
      <c r="AQ649" s="48"/>
      <c r="AR649" s="48"/>
      <c r="AS649" s="48"/>
      <c r="AT649" s="48"/>
      <c r="AU649" s="48"/>
      <c r="AV649" s="48"/>
      <c r="AW649" s="48"/>
      <c r="AX649" s="48"/>
      <c r="AY649" s="48"/>
      <c r="AZ649" s="48"/>
      <c r="BA649" s="48"/>
    </row>
    <row r="650" spans="1:53" hidden="1" x14ac:dyDescent="0.3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  <c r="AB650" s="48"/>
      <c r="AC650" s="48"/>
      <c r="AD650" s="48"/>
      <c r="AE650" s="48"/>
      <c r="AF650" s="48"/>
      <c r="AG650" s="48"/>
      <c r="AH650" s="48"/>
      <c r="AI650" s="48"/>
      <c r="AJ650" s="48"/>
      <c r="AK650" s="48"/>
      <c r="AL650" s="48"/>
      <c r="AM650" s="48"/>
      <c r="AN650" s="48"/>
      <c r="AO650" s="48"/>
      <c r="AP650" s="48"/>
      <c r="AQ650" s="48"/>
      <c r="AR650" s="48"/>
      <c r="AS650" s="48"/>
      <c r="AT650" s="48"/>
      <c r="AU650" s="48"/>
      <c r="AV650" s="48"/>
      <c r="AW650" s="48"/>
      <c r="AX650" s="48"/>
      <c r="AY650" s="48"/>
      <c r="AZ650" s="48"/>
      <c r="BA650" s="48"/>
    </row>
    <row r="651" spans="1:53" hidden="1" x14ac:dyDescent="0.3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  <c r="AB651" s="48"/>
      <c r="AC651" s="48"/>
      <c r="AD651" s="48"/>
      <c r="AE651" s="48"/>
      <c r="AF651" s="48"/>
      <c r="AG651" s="48"/>
      <c r="AH651" s="48"/>
      <c r="AI651" s="48"/>
      <c r="AJ651" s="48"/>
      <c r="AK651" s="48"/>
      <c r="AL651" s="48"/>
      <c r="AM651" s="48"/>
      <c r="AN651" s="48"/>
      <c r="AO651" s="48"/>
      <c r="AP651" s="48"/>
      <c r="AQ651" s="48"/>
      <c r="AR651" s="48"/>
      <c r="AS651" s="48"/>
      <c r="AT651" s="48"/>
      <c r="AU651" s="48"/>
      <c r="AV651" s="48"/>
      <c r="AW651" s="48"/>
      <c r="AX651" s="48"/>
      <c r="AY651" s="48"/>
      <c r="AZ651" s="48"/>
      <c r="BA651" s="48"/>
    </row>
    <row r="652" spans="1:53" hidden="1" x14ac:dyDescent="0.3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  <c r="AB652" s="48"/>
      <c r="AC652" s="48"/>
      <c r="AD652" s="48"/>
      <c r="AE652" s="48"/>
      <c r="AF652" s="48"/>
      <c r="AG652" s="48"/>
      <c r="AH652" s="48"/>
      <c r="AI652" s="48"/>
      <c r="AJ652" s="48"/>
      <c r="AK652" s="48"/>
      <c r="AL652" s="48"/>
      <c r="AM652" s="48"/>
      <c r="AN652" s="48"/>
      <c r="AO652" s="48"/>
      <c r="AP652" s="48"/>
      <c r="AQ652" s="48"/>
      <c r="AR652" s="48"/>
      <c r="AS652" s="48"/>
      <c r="AT652" s="48"/>
      <c r="AU652" s="48"/>
      <c r="AV652" s="48"/>
      <c r="AW652" s="48"/>
      <c r="AX652" s="48"/>
      <c r="AY652" s="48"/>
      <c r="AZ652" s="48"/>
      <c r="BA652" s="48"/>
    </row>
    <row r="653" spans="1:53" hidden="1" x14ac:dyDescent="0.3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  <c r="AB653" s="48"/>
      <c r="AC653" s="48"/>
      <c r="AD653" s="48"/>
      <c r="AE653" s="48"/>
      <c r="AF653" s="48"/>
      <c r="AG653" s="48"/>
      <c r="AH653" s="48"/>
      <c r="AI653" s="48"/>
      <c r="AJ653" s="48"/>
      <c r="AK653" s="48"/>
      <c r="AL653" s="48"/>
      <c r="AM653" s="48"/>
      <c r="AN653" s="48"/>
      <c r="AO653" s="48"/>
      <c r="AP653" s="48"/>
      <c r="AQ653" s="48"/>
      <c r="AR653" s="48"/>
      <c r="AS653" s="48"/>
      <c r="AT653" s="48"/>
      <c r="AU653" s="48"/>
      <c r="AV653" s="48"/>
      <c r="AW653" s="48"/>
      <c r="AX653" s="48"/>
      <c r="AY653" s="48"/>
      <c r="AZ653" s="48"/>
      <c r="BA653" s="48"/>
    </row>
    <row r="654" spans="1:53" hidden="1" x14ac:dyDescent="0.3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  <c r="AB654" s="48"/>
      <c r="AC654" s="48"/>
      <c r="AD654" s="48"/>
      <c r="AE654" s="48"/>
      <c r="AF654" s="48"/>
      <c r="AG654" s="48"/>
      <c r="AH654" s="48"/>
      <c r="AI654" s="48"/>
      <c r="AJ654" s="48"/>
      <c r="AK654" s="48"/>
      <c r="AL654" s="48"/>
      <c r="AM654" s="48"/>
      <c r="AN654" s="48"/>
      <c r="AO654" s="48"/>
      <c r="AP654" s="48"/>
      <c r="AQ654" s="48"/>
      <c r="AR654" s="48"/>
      <c r="AS654" s="48"/>
      <c r="AT654" s="48"/>
      <c r="AU654" s="48"/>
      <c r="AV654" s="48"/>
      <c r="AW654" s="48"/>
      <c r="AX654" s="48"/>
      <c r="AY654" s="48"/>
      <c r="AZ654" s="48"/>
      <c r="BA654" s="48"/>
    </row>
    <row r="655" spans="1:53" hidden="1" x14ac:dyDescent="0.3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  <c r="AB655" s="48"/>
      <c r="AC655" s="48"/>
      <c r="AD655" s="48"/>
      <c r="AE655" s="48"/>
      <c r="AF655" s="48"/>
      <c r="AG655" s="48"/>
      <c r="AH655" s="48"/>
      <c r="AI655" s="48"/>
      <c r="AJ655" s="48"/>
      <c r="AK655" s="48"/>
      <c r="AL655" s="48"/>
      <c r="AM655" s="48"/>
      <c r="AN655" s="48"/>
      <c r="AO655" s="48"/>
      <c r="AP655" s="48"/>
      <c r="AQ655" s="48"/>
      <c r="AR655" s="48"/>
      <c r="AS655" s="48"/>
      <c r="AT655" s="48"/>
      <c r="AU655" s="48"/>
      <c r="AV655" s="48"/>
      <c r="AW655" s="48"/>
      <c r="AX655" s="48"/>
      <c r="AY655" s="48"/>
      <c r="AZ655" s="48"/>
      <c r="BA655" s="48"/>
    </row>
    <row r="656" spans="1:53" hidden="1" x14ac:dyDescent="0.3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  <c r="AB656" s="48"/>
      <c r="AC656" s="48"/>
      <c r="AD656" s="48"/>
      <c r="AE656" s="48"/>
      <c r="AF656" s="48"/>
      <c r="AG656" s="48"/>
      <c r="AH656" s="48"/>
      <c r="AI656" s="48"/>
      <c r="AJ656" s="48"/>
      <c r="AK656" s="48"/>
      <c r="AL656" s="48"/>
      <c r="AM656" s="48"/>
      <c r="AN656" s="48"/>
      <c r="AO656" s="48"/>
      <c r="AP656" s="48"/>
      <c r="AQ656" s="48"/>
      <c r="AR656" s="48"/>
      <c r="AS656" s="48"/>
      <c r="AT656" s="48"/>
      <c r="AU656" s="48"/>
      <c r="AV656" s="48"/>
      <c r="AW656" s="48"/>
      <c r="AX656" s="48"/>
      <c r="AY656" s="48"/>
      <c r="AZ656" s="48"/>
      <c r="BA656" s="48"/>
    </row>
    <row r="657" spans="1:53" hidden="1" x14ac:dyDescent="0.3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  <c r="AB657" s="48"/>
      <c r="AC657" s="48"/>
      <c r="AD657" s="48"/>
      <c r="AE657" s="48"/>
      <c r="AF657" s="48"/>
      <c r="AG657" s="48"/>
      <c r="AH657" s="48"/>
      <c r="AI657" s="48"/>
      <c r="AJ657" s="48"/>
      <c r="AK657" s="48"/>
      <c r="AL657" s="48"/>
      <c r="AM657" s="48"/>
      <c r="AN657" s="48"/>
      <c r="AO657" s="48"/>
      <c r="AP657" s="48"/>
      <c r="AQ657" s="48"/>
      <c r="AR657" s="48"/>
      <c r="AS657" s="48"/>
      <c r="AT657" s="48"/>
      <c r="AU657" s="48"/>
      <c r="AV657" s="48"/>
      <c r="AW657" s="48"/>
      <c r="AX657" s="48"/>
      <c r="AY657" s="48"/>
      <c r="AZ657" s="48"/>
      <c r="BA657" s="48"/>
    </row>
    <row r="658" spans="1:53" hidden="1" x14ac:dyDescent="0.3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  <c r="AB658" s="48"/>
      <c r="AC658" s="48"/>
      <c r="AD658" s="48"/>
      <c r="AE658" s="48"/>
      <c r="AF658" s="48"/>
      <c r="AG658" s="48"/>
      <c r="AH658" s="48"/>
      <c r="AI658" s="48"/>
      <c r="AJ658" s="48"/>
      <c r="AK658" s="48"/>
      <c r="AL658" s="48"/>
      <c r="AM658" s="48"/>
      <c r="AN658" s="48"/>
      <c r="AO658" s="48"/>
      <c r="AP658" s="48"/>
      <c r="AQ658" s="48"/>
      <c r="AR658" s="48"/>
      <c r="AS658" s="48"/>
      <c r="AT658" s="48"/>
      <c r="AU658" s="48"/>
      <c r="AV658" s="48"/>
      <c r="AW658" s="48"/>
      <c r="AX658" s="48"/>
      <c r="AY658" s="48"/>
      <c r="AZ658" s="48"/>
      <c r="BA658" s="48"/>
    </row>
    <row r="659" spans="1:53" hidden="1" x14ac:dyDescent="0.3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  <c r="AB659" s="48"/>
      <c r="AC659" s="48"/>
      <c r="AD659" s="48"/>
      <c r="AE659" s="48"/>
      <c r="AF659" s="48"/>
      <c r="AG659" s="48"/>
      <c r="AH659" s="48"/>
      <c r="AI659" s="48"/>
      <c r="AJ659" s="48"/>
      <c r="AK659" s="48"/>
      <c r="AL659" s="48"/>
      <c r="AM659" s="48"/>
      <c r="AN659" s="48"/>
      <c r="AO659" s="48"/>
      <c r="AP659" s="48"/>
      <c r="AQ659" s="48"/>
      <c r="AR659" s="48"/>
      <c r="AS659" s="48"/>
      <c r="AT659" s="48"/>
      <c r="AU659" s="48"/>
      <c r="AV659" s="48"/>
      <c r="AW659" s="48"/>
      <c r="AX659" s="48"/>
      <c r="AY659" s="48"/>
      <c r="AZ659" s="48"/>
      <c r="BA659" s="48"/>
    </row>
    <row r="660" spans="1:53" hidden="1" x14ac:dyDescent="0.3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  <c r="AB660" s="48"/>
      <c r="AC660" s="48"/>
      <c r="AD660" s="48"/>
      <c r="AE660" s="48"/>
      <c r="AF660" s="48"/>
      <c r="AG660" s="48"/>
      <c r="AH660" s="48"/>
      <c r="AI660" s="48"/>
      <c r="AJ660" s="48"/>
      <c r="AK660" s="48"/>
      <c r="AL660" s="48"/>
      <c r="AM660" s="48"/>
      <c r="AN660" s="48"/>
      <c r="AO660" s="48"/>
      <c r="AP660" s="48"/>
      <c r="AQ660" s="48"/>
      <c r="AR660" s="48"/>
      <c r="AS660" s="48"/>
      <c r="AT660" s="48"/>
      <c r="AU660" s="48"/>
      <c r="AV660" s="48"/>
      <c r="AW660" s="48"/>
      <c r="AX660" s="48"/>
      <c r="AY660" s="48"/>
      <c r="AZ660" s="48"/>
      <c r="BA660" s="48"/>
    </row>
    <row r="661" spans="1:53" hidden="1" x14ac:dyDescent="0.3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  <c r="AB661" s="48"/>
      <c r="AC661" s="48"/>
      <c r="AD661" s="48"/>
      <c r="AE661" s="48"/>
      <c r="AF661" s="48"/>
      <c r="AG661" s="48"/>
      <c r="AH661" s="48"/>
      <c r="AI661" s="48"/>
      <c r="AJ661" s="48"/>
      <c r="AK661" s="48"/>
      <c r="AL661" s="48"/>
      <c r="AM661" s="48"/>
      <c r="AN661" s="48"/>
      <c r="AO661" s="48"/>
      <c r="AP661" s="48"/>
      <c r="AQ661" s="48"/>
      <c r="AR661" s="48"/>
      <c r="AS661" s="48"/>
      <c r="AT661" s="48"/>
      <c r="AU661" s="48"/>
      <c r="AV661" s="48"/>
      <c r="AW661" s="48"/>
      <c r="AX661" s="48"/>
      <c r="AY661" s="48"/>
      <c r="AZ661" s="48"/>
      <c r="BA661" s="48"/>
    </row>
    <row r="662" spans="1:53" hidden="1" x14ac:dyDescent="0.3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  <c r="AB662" s="48"/>
      <c r="AC662" s="48"/>
      <c r="AD662" s="48"/>
      <c r="AE662" s="48"/>
      <c r="AF662" s="48"/>
      <c r="AG662" s="48"/>
      <c r="AH662" s="48"/>
      <c r="AI662" s="48"/>
      <c r="AJ662" s="48"/>
      <c r="AK662" s="48"/>
      <c r="AL662" s="48"/>
      <c r="AM662" s="48"/>
      <c r="AN662" s="48"/>
      <c r="AO662" s="48"/>
      <c r="AP662" s="48"/>
      <c r="AQ662" s="48"/>
      <c r="AR662" s="48"/>
      <c r="AS662" s="48"/>
      <c r="AT662" s="48"/>
      <c r="AU662" s="48"/>
      <c r="AV662" s="48"/>
      <c r="AW662" s="48"/>
      <c r="AX662" s="48"/>
      <c r="AY662" s="48"/>
      <c r="AZ662" s="48"/>
      <c r="BA662" s="48"/>
    </row>
    <row r="663" spans="1:53" hidden="1" x14ac:dyDescent="0.3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  <c r="AB663" s="48"/>
      <c r="AC663" s="48"/>
      <c r="AD663" s="48"/>
      <c r="AE663" s="48"/>
      <c r="AF663" s="48"/>
      <c r="AG663" s="48"/>
      <c r="AH663" s="48"/>
      <c r="AI663" s="48"/>
      <c r="AJ663" s="48"/>
      <c r="AK663" s="48"/>
      <c r="AL663" s="48"/>
      <c r="AM663" s="48"/>
      <c r="AN663" s="48"/>
      <c r="AO663" s="48"/>
      <c r="AP663" s="48"/>
      <c r="AQ663" s="48"/>
      <c r="AR663" s="48"/>
      <c r="AS663" s="48"/>
      <c r="AT663" s="48"/>
      <c r="AU663" s="48"/>
      <c r="AV663" s="48"/>
      <c r="AW663" s="48"/>
      <c r="AX663" s="48"/>
      <c r="AY663" s="48"/>
      <c r="AZ663" s="48"/>
      <c r="BA663" s="48"/>
    </row>
    <row r="664" spans="1:53" hidden="1" x14ac:dyDescent="0.3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  <c r="AB664" s="48"/>
      <c r="AC664" s="48"/>
      <c r="AD664" s="48"/>
      <c r="AE664" s="48"/>
      <c r="AF664" s="48"/>
      <c r="AG664" s="48"/>
      <c r="AH664" s="48"/>
      <c r="AI664" s="48"/>
      <c r="AJ664" s="48"/>
      <c r="AK664" s="48"/>
      <c r="AL664" s="48"/>
      <c r="AM664" s="48"/>
      <c r="AN664" s="48"/>
      <c r="AO664" s="48"/>
      <c r="AP664" s="48"/>
      <c r="AQ664" s="48"/>
      <c r="AR664" s="48"/>
      <c r="AS664" s="48"/>
      <c r="AT664" s="48"/>
      <c r="AU664" s="48"/>
      <c r="AV664" s="48"/>
      <c r="AW664" s="48"/>
      <c r="AX664" s="48"/>
      <c r="AY664" s="48"/>
      <c r="AZ664" s="48"/>
      <c r="BA664" s="48"/>
    </row>
    <row r="665" spans="1:53" hidden="1" x14ac:dyDescent="0.3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  <c r="AB665" s="48"/>
      <c r="AC665" s="48"/>
      <c r="AD665" s="48"/>
      <c r="AE665" s="48"/>
      <c r="AF665" s="48"/>
      <c r="AG665" s="48"/>
      <c r="AH665" s="48"/>
      <c r="AI665" s="48"/>
      <c r="AJ665" s="48"/>
      <c r="AK665" s="48"/>
      <c r="AL665" s="48"/>
      <c r="AM665" s="48"/>
      <c r="AN665" s="48"/>
      <c r="AO665" s="48"/>
      <c r="AP665" s="48"/>
      <c r="AQ665" s="48"/>
      <c r="AR665" s="48"/>
      <c r="AS665" s="48"/>
      <c r="AT665" s="48"/>
      <c r="AU665" s="48"/>
      <c r="AV665" s="48"/>
      <c r="AW665" s="48"/>
      <c r="AX665" s="48"/>
      <c r="AY665" s="48"/>
      <c r="AZ665" s="48"/>
      <c r="BA665" s="48"/>
    </row>
    <row r="666" spans="1:53" hidden="1" x14ac:dyDescent="0.3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  <c r="AB666" s="48"/>
      <c r="AC666" s="48"/>
      <c r="AD666" s="48"/>
      <c r="AE666" s="48"/>
      <c r="AF666" s="48"/>
      <c r="AG666" s="48"/>
      <c r="AH666" s="48"/>
      <c r="AI666" s="48"/>
      <c r="AJ666" s="48"/>
      <c r="AK666" s="48"/>
      <c r="AL666" s="48"/>
      <c r="AM666" s="48"/>
      <c r="AN666" s="48"/>
      <c r="AO666" s="48"/>
      <c r="AP666" s="48"/>
      <c r="AQ666" s="48"/>
      <c r="AR666" s="48"/>
      <c r="AS666" s="48"/>
      <c r="AT666" s="48"/>
      <c r="AU666" s="48"/>
      <c r="AV666" s="48"/>
      <c r="AW666" s="48"/>
      <c r="AX666" s="48"/>
      <c r="AY666" s="48"/>
      <c r="AZ666" s="48"/>
      <c r="BA666" s="48"/>
    </row>
    <row r="667" spans="1:53" hidden="1" x14ac:dyDescent="0.3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  <c r="AB667" s="48"/>
      <c r="AC667" s="48"/>
      <c r="AD667" s="48"/>
      <c r="AE667" s="48"/>
      <c r="AF667" s="48"/>
      <c r="AG667" s="48"/>
      <c r="AH667" s="48"/>
      <c r="AI667" s="48"/>
      <c r="AJ667" s="48"/>
      <c r="AK667" s="48"/>
      <c r="AL667" s="48"/>
      <c r="AM667" s="48"/>
      <c r="AN667" s="48"/>
      <c r="AO667" s="48"/>
      <c r="AP667" s="48"/>
      <c r="AQ667" s="48"/>
      <c r="AR667" s="48"/>
      <c r="AS667" s="48"/>
      <c r="AT667" s="48"/>
      <c r="AU667" s="48"/>
      <c r="AV667" s="48"/>
      <c r="AW667" s="48"/>
      <c r="AX667" s="48"/>
      <c r="AY667" s="48"/>
      <c r="AZ667" s="48"/>
      <c r="BA667" s="48"/>
    </row>
    <row r="668" spans="1:53" hidden="1" x14ac:dyDescent="0.3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  <c r="AB668" s="48"/>
      <c r="AC668" s="48"/>
      <c r="AD668" s="48"/>
      <c r="AE668" s="48"/>
      <c r="AF668" s="48"/>
      <c r="AG668" s="48"/>
      <c r="AH668" s="48"/>
      <c r="AI668" s="48"/>
      <c r="AJ668" s="48"/>
      <c r="AK668" s="48"/>
      <c r="AL668" s="48"/>
      <c r="AM668" s="48"/>
      <c r="AN668" s="48"/>
      <c r="AO668" s="48"/>
      <c r="AP668" s="48"/>
      <c r="AQ668" s="48"/>
      <c r="AR668" s="48"/>
      <c r="AS668" s="48"/>
      <c r="AT668" s="48"/>
      <c r="AU668" s="48"/>
      <c r="AV668" s="48"/>
      <c r="AW668" s="48"/>
      <c r="AX668" s="48"/>
      <c r="AY668" s="48"/>
      <c r="AZ668" s="48"/>
      <c r="BA668" s="48"/>
    </row>
    <row r="669" spans="1:53" hidden="1" x14ac:dyDescent="0.3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  <c r="AB669" s="48"/>
      <c r="AC669" s="48"/>
      <c r="AD669" s="48"/>
      <c r="AE669" s="48"/>
      <c r="AF669" s="48"/>
      <c r="AG669" s="48"/>
      <c r="AH669" s="48"/>
      <c r="AI669" s="48"/>
      <c r="AJ669" s="48"/>
      <c r="AK669" s="48"/>
      <c r="AL669" s="48"/>
      <c r="AM669" s="48"/>
      <c r="AN669" s="48"/>
      <c r="AO669" s="48"/>
      <c r="AP669" s="48"/>
      <c r="AQ669" s="48"/>
      <c r="AR669" s="48"/>
      <c r="AS669" s="48"/>
      <c r="AT669" s="48"/>
      <c r="AU669" s="48"/>
      <c r="AV669" s="48"/>
      <c r="AW669" s="48"/>
      <c r="AX669" s="48"/>
      <c r="AY669" s="48"/>
      <c r="AZ669" s="48"/>
      <c r="BA669" s="48"/>
    </row>
    <row r="670" spans="1:53" hidden="1" x14ac:dyDescent="0.3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  <c r="AB670" s="48"/>
      <c r="AC670" s="48"/>
      <c r="AD670" s="48"/>
      <c r="AE670" s="48"/>
      <c r="AF670" s="48"/>
      <c r="AG670" s="48"/>
      <c r="AH670" s="48"/>
      <c r="AI670" s="48"/>
      <c r="AJ670" s="48"/>
      <c r="AK670" s="48"/>
      <c r="AL670" s="48"/>
      <c r="AM670" s="48"/>
      <c r="AN670" s="48"/>
      <c r="AO670" s="48"/>
      <c r="AP670" s="48"/>
      <c r="AQ670" s="48"/>
      <c r="AR670" s="48"/>
      <c r="AS670" s="48"/>
      <c r="AT670" s="48"/>
      <c r="AU670" s="48"/>
      <c r="AV670" s="48"/>
      <c r="AW670" s="48"/>
      <c r="AX670" s="48"/>
      <c r="AY670" s="48"/>
      <c r="AZ670" s="48"/>
      <c r="BA670" s="48"/>
    </row>
    <row r="671" spans="1:53" hidden="1" x14ac:dyDescent="0.3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  <c r="AB671" s="48"/>
      <c r="AC671" s="48"/>
      <c r="AD671" s="48"/>
      <c r="AE671" s="48"/>
      <c r="AF671" s="48"/>
      <c r="AG671" s="48"/>
      <c r="AH671" s="48"/>
      <c r="AI671" s="48"/>
      <c r="AJ671" s="48"/>
      <c r="AK671" s="48"/>
      <c r="AL671" s="48"/>
      <c r="AM671" s="48"/>
      <c r="AN671" s="48"/>
      <c r="AO671" s="48"/>
      <c r="AP671" s="48"/>
      <c r="AQ671" s="48"/>
      <c r="AR671" s="48"/>
      <c r="AS671" s="48"/>
      <c r="AT671" s="48"/>
      <c r="AU671" s="48"/>
      <c r="AV671" s="48"/>
      <c r="AW671" s="48"/>
      <c r="AX671" s="48"/>
      <c r="AY671" s="48"/>
      <c r="AZ671" s="48"/>
      <c r="BA671" s="48"/>
    </row>
    <row r="672" spans="1:53" hidden="1" x14ac:dyDescent="0.3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  <c r="AB672" s="48"/>
      <c r="AC672" s="48"/>
      <c r="AD672" s="48"/>
      <c r="AE672" s="48"/>
      <c r="AF672" s="48"/>
      <c r="AG672" s="48"/>
      <c r="AH672" s="48"/>
      <c r="AI672" s="48"/>
      <c r="AJ672" s="48"/>
      <c r="AK672" s="48"/>
      <c r="AL672" s="48"/>
      <c r="AM672" s="48"/>
      <c r="AN672" s="48"/>
      <c r="AO672" s="48"/>
      <c r="AP672" s="48"/>
      <c r="AQ672" s="48"/>
      <c r="AR672" s="48"/>
      <c r="AS672" s="48"/>
      <c r="AT672" s="48"/>
      <c r="AU672" s="48"/>
      <c r="AV672" s="48"/>
      <c r="AW672" s="48"/>
      <c r="AX672" s="48"/>
      <c r="AY672" s="48"/>
      <c r="AZ672" s="48"/>
      <c r="BA672" s="48"/>
    </row>
    <row r="673" spans="1:53" hidden="1" x14ac:dyDescent="0.3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  <c r="AB673" s="48"/>
      <c r="AC673" s="48"/>
      <c r="AD673" s="48"/>
      <c r="AE673" s="48"/>
      <c r="AF673" s="48"/>
      <c r="AG673" s="48"/>
      <c r="AH673" s="48"/>
      <c r="AI673" s="48"/>
      <c r="AJ673" s="48"/>
      <c r="AK673" s="48"/>
      <c r="AL673" s="48"/>
      <c r="AM673" s="48"/>
      <c r="AN673" s="48"/>
      <c r="AO673" s="48"/>
      <c r="AP673" s="48"/>
      <c r="AQ673" s="48"/>
      <c r="AR673" s="48"/>
      <c r="AS673" s="48"/>
      <c r="AT673" s="48"/>
      <c r="AU673" s="48"/>
      <c r="AV673" s="48"/>
      <c r="AW673" s="48"/>
      <c r="AX673" s="48"/>
      <c r="AY673" s="48"/>
      <c r="AZ673" s="48"/>
      <c r="BA673" s="48"/>
    </row>
    <row r="674" spans="1:53" hidden="1" x14ac:dyDescent="0.3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  <c r="AB674" s="48"/>
      <c r="AC674" s="48"/>
      <c r="AD674" s="48"/>
      <c r="AE674" s="48"/>
      <c r="AF674" s="48"/>
      <c r="AG674" s="48"/>
      <c r="AH674" s="48"/>
      <c r="AI674" s="48"/>
      <c r="AJ674" s="48"/>
      <c r="AK674" s="48"/>
      <c r="AL674" s="48"/>
      <c r="AM674" s="48"/>
      <c r="AN674" s="48"/>
      <c r="AO674" s="48"/>
      <c r="AP674" s="48"/>
      <c r="AQ674" s="48"/>
      <c r="AR674" s="48"/>
      <c r="AS674" s="48"/>
      <c r="AT674" s="48"/>
      <c r="AU674" s="48"/>
      <c r="AV674" s="48"/>
      <c r="AW674" s="48"/>
      <c r="AX674" s="48"/>
      <c r="AY674" s="48"/>
      <c r="AZ674" s="48"/>
      <c r="BA674" s="48"/>
    </row>
    <row r="675" spans="1:53" hidden="1" x14ac:dyDescent="0.3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  <c r="AB675" s="48"/>
      <c r="AC675" s="48"/>
      <c r="AD675" s="48"/>
      <c r="AE675" s="48"/>
      <c r="AF675" s="48"/>
      <c r="AG675" s="48"/>
      <c r="AH675" s="48"/>
      <c r="AI675" s="48"/>
      <c r="AJ675" s="48"/>
      <c r="AK675" s="48"/>
      <c r="AL675" s="48"/>
      <c r="AM675" s="48"/>
      <c r="AN675" s="48"/>
      <c r="AO675" s="48"/>
      <c r="AP675" s="48"/>
      <c r="AQ675" s="48"/>
      <c r="AR675" s="48"/>
      <c r="AS675" s="48"/>
      <c r="AT675" s="48"/>
      <c r="AU675" s="48"/>
      <c r="AV675" s="48"/>
      <c r="AW675" s="48"/>
      <c r="AX675" s="48"/>
      <c r="AY675" s="48"/>
      <c r="AZ675" s="48"/>
      <c r="BA675" s="48"/>
    </row>
    <row r="676" spans="1:53" hidden="1" x14ac:dyDescent="0.3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  <c r="AB676" s="48"/>
      <c r="AC676" s="48"/>
      <c r="AD676" s="48"/>
      <c r="AE676" s="48"/>
      <c r="AF676" s="48"/>
      <c r="AG676" s="48"/>
      <c r="AH676" s="48"/>
      <c r="AI676" s="48"/>
      <c r="AJ676" s="48"/>
      <c r="AK676" s="48"/>
      <c r="AL676" s="48"/>
      <c r="AM676" s="48"/>
      <c r="AN676" s="48"/>
      <c r="AO676" s="48"/>
      <c r="AP676" s="48"/>
      <c r="AQ676" s="48"/>
      <c r="AR676" s="48"/>
      <c r="AS676" s="48"/>
      <c r="AT676" s="48"/>
      <c r="AU676" s="48"/>
      <c r="AV676" s="48"/>
      <c r="AW676" s="48"/>
      <c r="AX676" s="48"/>
      <c r="AY676" s="48"/>
      <c r="AZ676" s="48"/>
      <c r="BA676" s="48"/>
    </row>
    <row r="677" spans="1:53" hidden="1" x14ac:dyDescent="0.3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  <c r="AB677" s="48"/>
      <c r="AC677" s="48"/>
      <c r="AD677" s="48"/>
      <c r="AE677" s="48"/>
      <c r="AF677" s="48"/>
      <c r="AG677" s="48"/>
      <c r="AH677" s="48"/>
      <c r="AI677" s="48"/>
      <c r="AJ677" s="48"/>
      <c r="AK677" s="48"/>
      <c r="AL677" s="48"/>
      <c r="AM677" s="48"/>
      <c r="AN677" s="48"/>
      <c r="AO677" s="48"/>
      <c r="AP677" s="48"/>
      <c r="AQ677" s="48"/>
      <c r="AR677" s="48"/>
      <c r="AS677" s="48"/>
      <c r="AT677" s="48"/>
      <c r="AU677" s="48"/>
      <c r="AV677" s="48"/>
      <c r="AW677" s="48"/>
      <c r="AX677" s="48"/>
      <c r="AY677" s="48"/>
      <c r="AZ677" s="48"/>
      <c r="BA677" s="48"/>
    </row>
    <row r="678" spans="1:53" hidden="1" x14ac:dyDescent="0.3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  <c r="AB678" s="48"/>
      <c r="AC678" s="48"/>
      <c r="AD678" s="48"/>
      <c r="AE678" s="48"/>
      <c r="AF678" s="48"/>
      <c r="AG678" s="48"/>
      <c r="AH678" s="48"/>
      <c r="AI678" s="48"/>
      <c r="AJ678" s="48"/>
      <c r="AK678" s="48"/>
      <c r="AL678" s="48"/>
      <c r="AM678" s="48"/>
      <c r="AN678" s="48"/>
      <c r="AO678" s="48"/>
      <c r="AP678" s="48"/>
      <c r="AQ678" s="48"/>
      <c r="AR678" s="48"/>
      <c r="AS678" s="48"/>
      <c r="AT678" s="48"/>
      <c r="AU678" s="48"/>
      <c r="AV678" s="48"/>
      <c r="AW678" s="48"/>
      <c r="AX678" s="48"/>
      <c r="AY678" s="48"/>
      <c r="AZ678" s="48"/>
      <c r="BA678" s="48"/>
    </row>
    <row r="679" spans="1:53" hidden="1" x14ac:dyDescent="0.3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  <c r="AB679" s="48"/>
      <c r="AC679" s="48"/>
      <c r="AD679" s="48"/>
      <c r="AE679" s="48"/>
      <c r="AF679" s="48"/>
      <c r="AG679" s="48"/>
      <c r="AH679" s="48"/>
      <c r="AI679" s="48"/>
      <c r="AJ679" s="48"/>
      <c r="AK679" s="48"/>
      <c r="AL679" s="48"/>
      <c r="AM679" s="48"/>
      <c r="AN679" s="48"/>
      <c r="AO679" s="48"/>
      <c r="AP679" s="48"/>
      <c r="AQ679" s="48"/>
      <c r="AR679" s="48"/>
      <c r="AS679" s="48"/>
      <c r="AT679" s="48"/>
      <c r="AU679" s="48"/>
      <c r="AV679" s="48"/>
      <c r="AW679" s="48"/>
      <c r="AX679" s="48"/>
      <c r="AY679" s="48"/>
      <c r="AZ679" s="48"/>
      <c r="BA679" s="48"/>
    </row>
    <row r="680" spans="1:53" hidden="1" x14ac:dyDescent="0.3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  <c r="AB680" s="48"/>
      <c r="AC680" s="48"/>
      <c r="AD680" s="48"/>
      <c r="AE680" s="48"/>
      <c r="AF680" s="48"/>
      <c r="AG680" s="48"/>
      <c r="AH680" s="48"/>
      <c r="AI680" s="48"/>
      <c r="AJ680" s="48"/>
      <c r="AK680" s="48"/>
      <c r="AL680" s="48"/>
      <c r="AM680" s="48"/>
      <c r="AN680" s="48"/>
      <c r="AO680" s="48"/>
      <c r="AP680" s="48"/>
      <c r="AQ680" s="48"/>
      <c r="AR680" s="48"/>
      <c r="AS680" s="48"/>
      <c r="AT680" s="48"/>
      <c r="AU680" s="48"/>
      <c r="AV680" s="48"/>
      <c r="AW680" s="48"/>
      <c r="AX680" s="48"/>
      <c r="AY680" s="48"/>
      <c r="AZ680" s="48"/>
      <c r="BA680" s="48"/>
    </row>
    <row r="681" spans="1:53" hidden="1" x14ac:dyDescent="0.3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  <c r="AB681" s="48"/>
      <c r="AC681" s="48"/>
      <c r="AD681" s="48"/>
      <c r="AE681" s="48"/>
      <c r="AF681" s="48"/>
      <c r="AG681" s="48"/>
      <c r="AH681" s="48"/>
      <c r="AI681" s="48"/>
      <c r="AJ681" s="48"/>
      <c r="AK681" s="48"/>
      <c r="AL681" s="48"/>
      <c r="AM681" s="48"/>
      <c r="AN681" s="48"/>
      <c r="AO681" s="48"/>
      <c r="AP681" s="48"/>
      <c r="AQ681" s="48"/>
      <c r="AR681" s="48"/>
      <c r="AS681" s="48"/>
      <c r="AT681" s="48"/>
      <c r="AU681" s="48"/>
      <c r="AV681" s="48"/>
      <c r="AW681" s="48"/>
      <c r="AX681" s="48"/>
      <c r="AY681" s="48"/>
      <c r="AZ681" s="48"/>
      <c r="BA681" s="48"/>
    </row>
    <row r="682" spans="1:53" hidden="1" x14ac:dyDescent="0.3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  <c r="AB682" s="48"/>
      <c r="AC682" s="48"/>
      <c r="AD682" s="48"/>
      <c r="AE682" s="48"/>
      <c r="AF682" s="48"/>
      <c r="AG682" s="48"/>
      <c r="AH682" s="48"/>
      <c r="AI682" s="48"/>
      <c r="AJ682" s="48"/>
      <c r="AK682" s="48"/>
      <c r="AL682" s="48"/>
      <c r="AM682" s="48"/>
      <c r="AN682" s="48"/>
      <c r="AO682" s="48"/>
      <c r="AP682" s="48"/>
      <c r="AQ682" s="48"/>
      <c r="AR682" s="48"/>
      <c r="AS682" s="48"/>
      <c r="AT682" s="48"/>
      <c r="AU682" s="48"/>
      <c r="AV682" s="48"/>
      <c r="AW682" s="48"/>
      <c r="AX682" s="48"/>
      <c r="AY682" s="48"/>
      <c r="AZ682" s="48"/>
      <c r="BA682" s="48"/>
    </row>
    <row r="683" spans="1:53" hidden="1" x14ac:dyDescent="0.3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  <c r="AB683" s="48"/>
      <c r="AC683" s="48"/>
      <c r="AD683" s="48"/>
      <c r="AE683" s="48"/>
      <c r="AF683" s="48"/>
      <c r="AG683" s="48"/>
      <c r="AH683" s="48"/>
      <c r="AI683" s="48"/>
      <c r="AJ683" s="48"/>
      <c r="AK683" s="48"/>
      <c r="AL683" s="48"/>
      <c r="AM683" s="48"/>
      <c r="AN683" s="48"/>
      <c r="AO683" s="48"/>
      <c r="AP683" s="48"/>
      <c r="AQ683" s="48"/>
      <c r="AR683" s="48"/>
      <c r="AS683" s="48"/>
      <c r="AT683" s="48"/>
      <c r="AU683" s="48"/>
      <c r="AV683" s="48"/>
      <c r="AW683" s="48"/>
      <c r="AX683" s="48"/>
      <c r="AY683" s="48"/>
      <c r="AZ683" s="48"/>
      <c r="BA683" s="48"/>
    </row>
    <row r="684" spans="1:53" hidden="1" x14ac:dyDescent="0.3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  <c r="AB684" s="48"/>
      <c r="AC684" s="48"/>
      <c r="AD684" s="48"/>
      <c r="AE684" s="48"/>
      <c r="AF684" s="48"/>
      <c r="AG684" s="48"/>
      <c r="AH684" s="48"/>
      <c r="AI684" s="48"/>
      <c r="AJ684" s="48"/>
      <c r="AK684" s="48"/>
      <c r="AL684" s="48"/>
      <c r="AM684" s="48"/>
      <c r="AN684" s="48"/>
      <c r="AO684" s="48"/>
      <c r="AP684" s="48"/>
      <c r="AQ684" s="48"/>
      <c r="AR684" s="48"/>
      <c r="AS684" s="48"/>
      <c r="AT684" s="48"/>
      <c r="AU684" s="48"/>
      <c r="AV684" s="48"/>
      <c r="AW684" s="48"/>
      <c r="AX684" s="48"/>
      <c r="AY684" s="48"/>
      <c r="AZ684" s="48"/>
      <c r="BA684" s="48"/>
    </row>
    <row r="685" spans="1:53" hidden="1" x14ac:dyDescent="0.3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  <c r="AB685" s="48"/>
      <c r="AC685" s="48"/>
      <c r="AD685" s="48"/>
      <c r="AE685" s="48"/>
      <c r="AF685" s="48"/>
      <c r="AG685" s="48"/>
      <c r="AH685" s="48"/>
      <c r="AI685" s="48"/>
      <c r="AJ685" s="48"/>
      <c r="AK685" s="48"/>
      <c r="AL685" s="48"/>
      <c r="AM685" s="48"/>
      <c r="AN685" s="48"/>
      <c r="AO685" s="48"/>
      <c r="AP685" s="48"/>
      <c r="AQ685" s="48"/>
      <c r="AR685" s="48"/>
      <c r="AS685" s="48"/>
      <c r="AT685" s="48"/>
      <c r="AU685" s="48"/>
      <c r="AV685" s="48"/>
      <c r="AW685" s="48"/>
      <c r="AX685" s="48"/>
      <c r="AY685" s="48"/>
      <c r="AZ685" s="48"/>
      <c r="BA685" s="48"/>
    </row>
    <row r="686" spans="1:53" hidden="1" x14ac:dyDescent="0.3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  <c r="AB686" s="48"/>
      <c r="AC686" s="48"/>
      <c r="AD686" s="48"/>
      <c r="AE686" s="48"/>
      <c r="AF686" s="48"/>
      <c r="AG686" s="48"/>
      <c r="AH686" s="48"/>
      <c r="AI686" s="48"/>
      <c r="AJ686" s="48"/>
      <c r="AK686" s="48"/>
      <c r="AL686" s="48"/>
      <c r="AM686" s="48"/>
      <c r="AN686" s="48"/>
      <c r="AO686" s="48"/>
      <c r="AP686" s="48"/>
      <c r="AQ686" s="48"/>
      <c r="AR686" s="48"/>
      <c r="AS686" s="48"/>
      <c r="AT686" s="48"/>
      <c r="AU686" s="48"/>
      <c r="AV686" s="48"/>
      <c r="AW686" s="48"/>
      <c r="AX686" s="48"/>
      <c r="AY686" s="48"/>
      <c r="AZ686" s="48"/>
      <c r="BA686" s="48"/>
    </row>
    <row r="687" spans="1:53" hidden="1" x14ac:dyDescent="0.3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  <c r="AB687" s="48"/>
      <c r="AC687" s="48"/>
      <c r="AD687" s="48"/>
      <c r="AE687" s="48"/>
      <c r="AF687" s="48"/>
      <c r="AG687" s="48"/>
      <c r="AH687" s="48"/>
      <c r="AI687" s="48"/>
      <c r="AJ687" s="48"/>
      <c r="AK687" s="48"/>
      <c r="AL687" s="48"/>
      <c r="AM687" s="48"/>
      <c r="AN687" s="48"/>
      <c r="AO687" s="48"/>
      <c r="AP687" s="48"/>
      <c r="AQ687" s="48"/>
      <c r="AR687" s="48"/>
      <c r="AS687" s="48"/>
      <c r="AT687" s="48"/>
      <c r="AU687" s="48"/>
      <c r="AV687" s="48"/>
      <c r="AW687" s="48"/>
      <c r="AX687" s="48"/>
      <c r="AY687" s="48"/>
      <c r="AZ687" s="48"/>
      <c r="BA687" s="48"/>
    </row>
    <row r="688" spans="1:53" hidden="1" x14ac:dyDescent="0.3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  <c r="AB688" s="48"/>
      <c r="AC688" s="48"/>
      <c r="AD688" s="48"/>
      <c r="AE688" s="48"/>
      <c r="AF688" s="48"/>
      <c r="AG688" s="48"/>
      <c r="AH688" s="48"/>
      <c r="AI688" s="48"/>
      <c r="AJ688" s="48"/>
      <c r="AK688" s="48"/>
      <c r="AL688" s="48"/>
      <c r="AM688" s="48"/>
      <c r="AN688" s="48"/>
      <c r="AO688" s="48"/>
      <c r="AP688" s="48"/>
      <c r="AQ688" s="48"/>
      <c r="AR688" s="48"/>
      <c r="AS688" s="48"/>
      <c r="AT688" s="48"/>
      <c r="AU688" s="48"/>
      <c r="AV688" s="48"/>
      <c r="AW688" s="48"/>
      <c r="AX688" s="48"/>
      <c r="AY688" s="48"/>
      <c r="AZ688" s="48"/>
      <c r="BA688" s="48"/>
    </row>
    <row r="689" spans="1:53" hidden="1" x14ac:dyDescent="0.3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  <c r="AB689" s="48"/>
      <c r="AC689" s="48"/>
      <c r="AD689" s="48"/>
      <c r="AE689" s="48"/>
      <c r="AF689" s="48"/>
      <c r="AG689" s="48"/>
      <c r="AH689" s="48"/>
      <c r="AI689" s="48"/>
      <c r="AJ689" s="48"/>
      <c r="AK689" s="48"/>
      <c r="AL689" s="48"/>
      <c r="AM689" s="48"/>
      <c r="AN689" s="48"/>
      <c r="AO689" s="48"/>
      <c r="AP689" s="48"/>
      <c r="AQ689" s="48"/>
      <c r="AR689" s="48"/>
      <c r="AS689" s="48"/>
      <c r="AT689" s="48"/>
      <c r="AU689" s="48"/>
      <c r="AV689" s="48"/>
      <c r="AW689" s="48"/>
      <c r="AX689" s="48"/>
      <c r="AY689" s="48"/>
      <c r="AZ689" s="48"/>
      <c r="BA689" s="48"/>
    </row>
    <row r="690" spans="1:53" hidden="1" x14ac:dyDescent="0.3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  <c r="AB690" s="48"/>
      <c r="AC690" s="48"/>
      <c r="AD690" s="48"/>
      <c r="AE690" s="48"/>
      <c r="AF690" s="48"/>
      <c r="AG690" s="48"/>
      <c r="AH690" s="48"/>
      <c r="AI690" s="48"/>
      <c r="AJ690" s="48"/>
      <c r="AK690" s="48"/>
      <c r="AL690" s="48"/>
      <c r="AM690" s="48"/>
      <c r="AN690" s="48"/>
      <c r="AO690" s="48"/>
      <c r="AP690" s="48"/>
      <c r="AQ690" s="48"/>
      <c r="AR690" s="48"/>
      <c r="AS690" s="48"/>
      <c r="AT690" s="48"/>
      <c r="AU690" s="48"/>
      <c r="AV690" s="48"/>
      <c r="AW690" s="48"/>
      <c r="AX690" s="48"/>
      <c r="AY690" s="48"/>
      <c r="AZ690" s="48"/>
      <c r="BA690" s="48"/>
    </row>
    <row r="691" spans="1:53" hidden="1" x14ac:dyDescent="0.3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  <c r="AB691" s="48"/>
      <c r="AC691" s="48"/>
      <c r="AD691" s="48"/>
      <c r="AE691" s="48"/>
      <c r="AF691" s="48"/>
      <c r="AG691" s="48"/>
      <c r="AH691" s="48"/>
      <c r="AI691" s="48"/>
      <c r="AJ691" s="48"/>
      <c r="AK691" s="48"/>
      <c r="AL691" s="48"/>
      <c r="AM691" s="48"/>
      <c r="AN691" s="48"/>
      <c r="AO691" s="48"/>
      <c r="AP691" s="48"/>
      <c r="AQ691" s="48"/>
      <c r="AR691" s="48"/>
      <c r="AS691" s="48"/>
      <c r="AT691" s="48"/>
      <c r="AU691" s="48"/>
      <c r="AV691" s="48"/>
      <c r="AW691" s="48"/>
      <c r="AX691" s="48"/>
      <c r="AY691" s="48"/>
      <c r="AZ691" s="48"/>
      <c r="BA691" s="48"/>
    </row>
    <row r="692" spans="1:53" hidden="1" x14ac:dyDescent="0.3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  <c r="AB692" s="48"/>
      <c r="AC692" s="48"/>
      <c r="AD692" s="48"/>
      <c r="AE692" s="48"/>
      <c r="AF692" s="48"/>
      <c r="AG692" s="48"/>
      <c r="AH692" s="48"/>
      <c r="AI692" s="48"/>
      <c r="AJ692" s="48"/>
      <c r="AK692" s="48"/>
      <c r="AL692" s="48"/>
      <c r="AM692" s="48"/>
      <c r="AN692" s="48"/>
      <c r="AO692" s="48"/>
      <c r="AP692" s="48"/>
      <c r="AQ692" s="48"/>
      <c r="AR692" s="48"/>
      <c r="AS692" s="48"/>
      <c r="AT692" s="48"/>
      <c r="AU692" s="48"/>
      <c r="AV692" s="48"/>
      <c r="AW692" s="48"/>
      <c r="AX692" s="48"/>
      <c r="AY692" s="48"/>
      <c r="AZ692" s="48"/>
      <c r="BA692" s="48"/>
    </row>
    <row r="693" spans="1:53" hidden="1" x14ac:dyDescent="0.3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  <c r="AB693" s="48"/>
      <c r="AC693" s="48"/>
      <c r="AD693" s="48"/>
      <c r="AE693" s="48"/>
      <c r="AF693" s="48"/>
      <c r="AG693" s="48"/>
      <c r="AH693" s="48"/>
      <c r="AI693" s="48"/>
      <c r="AJ693" s="48"/>
      <c r="AK693" s="48"/>
      <c r="AL693" s="48"/>
      <c r="AM693" s="48"/>
      <c r="AN693" s="48"/>
      <c r="AO693" s="48"/>
      <c r="AP693" s="48"/>
      <c r="AQ693" s="48"/>
      <c r="AR693" s="48"/>
      <c r="AS693" s="48"/>
      <c r="AT693" s="48"/>
      <c r="AU693" s="48"/>
      <c r="AV693" s="48"/>
      <c r="AW693" s="48"/>
      <c r="AX693" s="48"/>
      <c r="AY693" s="48"/>
      <c r="AZ693" s="48"/>
      <c r="BA693" s="48"/>
    </row>
    <row r="694" spans="1:53" hidden="1" x14ac:dyDescent="0.3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  <c r="AB694" s="48"/>
      <c r="AC694" s="48"/>
      <c r="AD694" s="48"/>
      <c r="AE694" s="48"/>
      <c r="AF694" s="48"/>
      <c r="AG694" s="48"/>
      <c r="AH694" s="48"/>
      <c r="AI694" s="48"/>
      <c r="AJ694" s="48"/>
      <c r="AK694" s="48"/>
      <c r="AL694" s="48"/>
      <c r="AM694" s="48"/>
      <c r="AN694" s="48"/>
      <c r="AO694" s="48"/>
      <c r="AP694" s="48"/>
      <c r="AQ694" s="48"/>
      <c r="AR694" s="48"/>
      <c r="AS694" s="48"/>
      <c r="AT694" s="48"/>
      <c r="AU694" s="48"/>
      <c r="AV694" s="48"/>
      <c r="AW694" s="48"/>
      <c r="AX694" s="48"/>
      <c r="AY694" s="48"/>
      <c r="AZ694" s="48"/>
      <c r="BA694" s="48"/>
    </row>
    <row r="695" spans="1:53" hidden="1" x14ac:dyDescent="0.3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  <c r="AB695" s="48"/>
      <c r="AC695" s="48"/>
      <c r="AD695" s="48"/>
      <c r="AE695" s="48"/>
      <c r="AF695" s="48"/>
      <c r="AG695" s="48"/>
      <c r="AH695" s="48"/>
      <c r="AI695" s="48"/>
      <c r="AJ695" s="48"/>
      <c r="AK695" s="48"/>
      <c r="AL695" s="48"/>
      <c r="AM695" s="48"/>
      <c r="AN695" s="48"/>
      <c r="AO695" s="48"/>
      <c r="AP695" s="48"/>
      <c r="AQ695" s="48"/>
      <c r="AR695" s="48"/>
      <c r="AS695" s="48"/>
      <c r="AT695" s="48"/>
      <c r="AU695" s="48"/>
      <c r="AV695" s="48"/>
      <c r="AW695" s="48"/>
      <c r="AX695" s="48"/>
      <c r="AY695" s="48"/>
      <c r="AZ695" s="48"/>
      <c r="BA695" s="48"/>
    </row>
    <row r="696" spans="1:53" hidden="1" x14ac:dyDescent="0.3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  <c r="AB696" s="48"/>
      <c r="AC696" s="48"/>
      <c r="AD696" s="48"/>
      <c r="AE696" s="48"/>
      <c r="AF696" s="48"/>
      <c r="AG696" s="48"/>
      <c r="AH696" s="48"/>
      <c r="AI696" s="48"/>
      <c r="AJ696" s="48"/>
      <c r="AK696" s="48"/>
      <c r="AL696" s="48"/>
      <c r="AM696" s="48"/>
      <c r="AN696" s="48"/>
      <c r="AO696" s="48"/>
      <c r="AP696" s="48"/>
      <c r="AQ696" s="48"/>
      <c r="AR696" s="48"/>
      <c r="AS696" s="48"/>
      <c r="AT696" s="48"/>
      <c r="AU696" s="48"/>
      <c r="AV696" s="48"/>
      <c r="AW696" s="48"/>
      <c r="AX696" s="48"/>
      <c r="AY696" s="48"/>
      <c r="AZ696" s="48"/>
      <c r="BA696" s="48"/>
    </row>
    <row r="697" spans="1:53" hidden="1" x14ac:dyDescent="0.3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  <c r="AB697" s="48"/>
      <c r="AC697" s="48"/>
      <c r="AD697" s="48"/>
      <c r="AE697" s="48"/>
      <c r="AF697" s="48"/>
      <c r="AG697" s="48"/>
      <c r="AH697" s="48"/>
      <c r="AI697" s="48"/>
      <c r="AJ697" s="48"/>
      <c r="AK697" s="48"/>
      <c r="AL697" s="48"/>
      <c r="AM697" s="48"/>
      <c r="AN697" s="48"/>
      <c r="AO697" s="48"/>
      <c r="AP697" s="48"/>
      <c r="AQ697" s="48"/>
      <c r="AR697" s="48"/>
      <c r="AS697" s="48"/>
      <c r="AT697" s="48"/>
      <c r="AU697" s="48"/>
      <c r="AV697" s="48"/>
      <c r="AW697" s="48"/>
      <c r="AX697" s="48"/>
      <c r="AY697" s="48"/>
      <c r="AZ697" s="48"/>
      <c r="BA697" s="48"/>
    </row>
    <row r="698" spans="1:53" hidden="1" x14ac:dyDescent="0.3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  <c r="AB698" s="48"/>
      <c r="AC698" s="48"/>
      <c r="AD698" s="48"/>
      <c r="AE698" s="48"/>
      <c r="AF698" s="48"/>
      <c r="AG698" s="48"/>
      <c r="AH698" s="48"/>
      <c r="AI698" s="48"/>
      <c r="AJ698" s="48"/>
      <c r="AK698" s="48"/>
      <c r="AL698" s="48"/>
      <c r="AM698" s="48"/>
      <c r="AN698" s="48"/>
      <c r="AO698" s="48"/>
      <c r="AP698" s="48"/>
      <c r="AQ698" s="48"/>
      <c r="AR698" s="48"/>
      <c r="AS698" s="48"/>
      <c r="AT698" s="48"/>
      <c r="AU698" s="48"/>
      <c r="AV698" s="48"/>
      <c r="AW698" s="48"/>
      <c r="AX698" s="48"/>
      <c r="AY698" s="48"/>
      <c r="AZ698" s="48"/>
      <c r="BA698" s="48"/>
    </row>
    <row r="699" spans="1:53" hidden="1" x14ac:dyDescent="0.3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  <c r="AB699" s="48"/>
      <c r="AC699" s="48"/>
      <c r="AD699" s="48"/>
      <c r="AE699" s="48"/>
      <c r="AF699" s="48"/>
      <c r="AG699" s="48"/>
      <c r="AH699" s="48"/>
      <c r="AI699" s="48"/>
      <c r="AJ699" s="48"/>
      <c r="AK699" s="48"/>
      <c r="AL699" s="48"/>
      <c r="AM699" s="48"/>
      <c r="AN699" s="48"/>
      <c r="AO699" s="48"/>
      <c r="AP699" s="48"/>
      <c r="AQ699" s="48"/>
      <c r="AR699" s="48"/>
      <c r="AS699" s="48"/>
      <c r="AT699" s="48"/>
      <c r="AU699" s="48"/>
      <c r="AV699" s="48"/>
      <c r="AW699" s="48"/>
      <c r="AX699" s="48"/>
      <c r="AY699" s="48"/>
      <c r="AZ699" s="48"/>
      <c r="BA699" s="48"/>
    </row>
    <row r="700" spans="1:53" hidden="1" x14ac:dyDescent="0.3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  <c r="AB700" s="48"/>
      <c r="AC700" s="48"/>
      <c r="AD700" s="48"/>
      <c r="AE700" s="48"/>
      <c r="AF700" s="48"/>
      <c r="AG700" s="48"/>
      <c r="AH700" s="48"/>
      <c r="AI700" s="48"/>
      <c r="AJ700" s="48"/>
      <c r="AK700" s="48"/>
      <c r="AL700" s="48"/>
      <c r="AM700" s="48"/>
      <c r="AN700" s="48"/>
      <c r="AO700" s="48"/>
      <c r="AP700" s="48"/>
      <c r="AQ700" s="48"/>
      <c r="AR700" s="48"/>
      <c r="AS700" s="48"/>
      <c r="AT700" s="48"/>
      <c r="AU700" s="48"/>
      <c r="AV700" s="48"/>
      <c r="AW700" s="48"/>
      <c r="AX700" s="48"/>
      <c r="AY700" s="48"/>
      <c r="AZ700" s="48"/>
      <c r="BA700" s="48"/>
    </row>
    <row r="701" spans="1:53" hidden="1" x14ac:dyDescent="0.3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  <c r="AB701" s="48"/>
      <c r="AC701" s="48"/>
      <c r="AD701" s="48"/>
      <c r="AE701" s="48"/>
      <c r="AF701" s="48"/>
      <c r="AG701" s="48"/>
      <c r="AH701" s="48"/>
      <c r="AI701" s="48"/>
      <c r="AJ701" s="48"/>
      <c r="AK701" s="48"/>
      <c r="AL701" s="48"/>
      <c r="AM701" s="48"/>
      <c r="AN701" s="48"/>
      <c r="AO701" s="48"/>
      <c r="AP701" s="48"/>
      <c r="AQ701" s="48"/>
      <c r="AR701" s="48"/>
      <c r="AS701" s="48"/>
      <c r="AT701" s="48"/>
      <c r="AU701" s="48"/>
      <c r="AV701" s="48"/>
      <c r="AW701" s="48"/>
      <c r="AX701" s="48"/>
      <c r="AY701" s="48"/>
      <c r="AZ701" s="48"/>
      <c r="BA701" s="48"/>
    </row>
    <row r="702" spans="1:53" hidden="1" x14ac:dyDescent="0.3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  <c r="AB702" s="48"/>
      <c r="AC702" s="48"/>
      <c r="AD702" s="48"/>
      <c r="AE702" s="48"/>
      <c r="AF702" s="48"/>
      <c r="AG702" s="48"/>
      <c r="AH702" s="48"/>
      <c r="AI702" s="48"/>
      <c r="AJ702" s="48"/>
      <c r="AK702" s="48"/>
      <c r="AL702" s="48"/>
      <c r="AM702" s="48"/>
      <c r="AN702" s="48"/>
      <c r="AO702" s="48"/>
      <c r="AP702" s="48"/>
      <c r="AQ702" s="48"/>
      <c r="AR702" s="48"/>
      <c r="AS702" s="48"/>
      <c r="AT702" s="48"/>
      <c r="AU702" s="48"/>
      <c r="AV702" s="48"/>
      <c r="AW702" s="48"/>
      <c r="AX702" s="48"/>
      <c r="AY702" s="48"/>
      <c r="AZ702" s="48"/>
      <c r="BA702" s="48"/>
    </row>
    <row r="703" spans="1:53" hidden="1" x14ac:dyDescent="0.3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  <c r="AI703" s="48"/>
      <c r="AJ703" s="48"/>
      <c r="AK703" s="48"/>
      <c r="AL703" s="48"/>
      <c r="AM703" s="48"/>
      <c r="AN703" s="48"/>
      <c r="AO703" s="48"/>
      <c r="AP703" s="48"/>
      <c r="AQ703" s="48"/>
      <c r="AR703" s="48"/>
      <c r="AS703" s="48"/>
      <c r="AT703" s="48"/>
      <c r="AU703" s="48"/>
      <c r="AV703" s="48"/>
      <c r="AW703" s="48"/>
      <c r="AX703" s="48"/>
      <c r="AY703" s="48"/>
      <c r="AZ703" s="48"/>
      <c r="BA703" s="48"/>
    </row>
    <row r="704" spans="1:53" hidden="1" x14ac:dyDescent="0.3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  <c r="AB704" s="48"/>
      <c r="AC704" s="48"/>
      <c r="AD704" s="48"/>
      <c r="AE704" s="48"/>
      <c r="AF704" s="48"/>
      <c r="AG704" s="48"/>
      <c r="AH704" s="48"/>
      <c r="AI704" s="48"/>
      <c r="AJ704" s="48"/>
      <c r="AK704" s="48"/>
      <c r="AL704" s="48"/>
      <c r="AM704" s="48"/>
      <c r="AN704" s="48"/>
      <c r="AO704" s="48"/>
      <c r="AP704" s="48"/>
      <c r="AQ704" s="48"/>
      <c r="AR704" s="48"/>
      <c r="AS704" s="48"/>
      <c r="AT704" s="48"/>
      <c r="AU704" s="48"/>
      <c r="AV704" s="48"/>
      <c r="AW704" s="48"/>
      <c r="AX704" s="48"/>
      <c r="AY704" s="48"/>
      <c r="AZ704" s="48"/>
      <c r="BA704" s="48"/>
    </row>
    <row r="705" spans="1:53" hidden="1" x14ac:dyDescent="0.3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  <c r="AB705" s="48"/>
      <c r="AC705" s="48"/>
      <c r="AD705" s="48"/>
      <c r="AE705" s="48"/>
      <c r="AF705" s="48"/>
      <c r="AG705" s="48"/>
      <c r="AH705" s="48"/>
      <c r="AI705" s="48"/>
      <c r="AJ705" s="48"/>
      <c r="AK705" s="48"/>
      <c r="AL705" s="48"/>
      <c r="AM705" s="48"/>
      <c r="AN705" s="48"/>
      <c r="AO705" s="48"/>
      <c r="AP705" s="48"/>
      <c r="AQ705" s="48"/>
      <c r="AR705" s="48"/>
      <c r="AS705" s="48"/>
      <c r="AT705" s="48"/>
      <c r="AU705" s="48"/>
      <c r="AV705" s="48"/>
      <c r="AW705" s="48"/>
      <c r="AX705" s="48"/>
      <c r="AY705" s="48"/>
      <c r="AZ705" s="48"/>
      <c r="BA705" s="48"/>
    </row>
    <row r="706" spans="1:53" hidden="1" x14ac:dyDescent="0.3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  <c r="AB706" s="48"/>
      <c r="AC706" s="48"/>
      <c r="AD706" s="48"/>
      <c r="AE706" s="48"/>
      <c r="AF706" s="48"/>
      <c r="AG706" s="48"/>
      <c r="AH706" s="48"/>
      <c r="AI706" s="48"/>
      <c r="AJ706" s="48"/>
      <c r="AK706" s="48"/>
      <c r="AL706" s="48"/>
      <c r="AM706" s="48"/>
      <c r="AN706" s="48"/>
      <c r="AO706" s="48"/>
      <c r="AP706" s="48"/>
      <c r="AQ706" s="48"/>
      <c r="AR706" s="48"/>
      <c r="AS706" s="48"/>
      <c r="AT706" s="48"/>
      <c r="AU706" s="48"/>
      <c r="AV706" s="48"/>
      <c r="AW706" s="48"/>
      <c r="AX706" s="48"/>
      <c r="AY706" s="48"/>
      <c r="AZ706" s="48"/>
      <c r="BA706" s="48"/>
    </row>
    <row r="707" spans="1:53" hidden="1" x14ac:dyDescent="0.3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  <c r="AB707" s="48"/>
      <c r="AC707" s="48"/>
      <c r="AD707" s="48"/>
      <c r="AE707" s="48"/>
      <c r="AF707" s="48"/>
      <c r="AG707" s="48"/>
      <c r="AH707" s="48"/>
      <c r="AI707" s="48"/>
      <c r="AJ707" s="48"/>
      <c r="AK707" s="48"/>
      <c r="AL707" s="48"/>
      <c r="AM707" s="48"/>
      <c r="AN707" s="48"/>
      <c r="AO707" s="48"/>
      <c r="AP707" s="48"/>
      <c r="AQ707" s="48"/>
      <c r="AR707" s="48"/>
      <c r="AS707" s="48"/>
      <c r="AT707" s="48"/>
      <c r="AU707" s="48"/>
      <c r="AV707" s="48"/>
      <c r="AW707" s="48"/>
      <c r="AX707" s="48"/>
      <c r="AY707" s="48"/>
      <c r="AZ707" s="48"/>
      <c r="BA707" s="48"/>
    </row>
    <row r="708" spans="1:53" hidden="1" x14ac:dyDescent="0.3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  <c r="AB708" s="48"/>
      <c r="AC708" s="48"/>
      <c r="AD708" s="48"/>
      <c r="AE708" s="48"/>
      <c r="AF708" s="48"/>
      <c r="AG708" s="48"/>
      <c r="AH708" s="48"/>
      <c r="AI708" s="48"/>
      <c r="AJ708" s="48"/>
      <c r="AK708" s="48"/>
      <c r="AL708" s="48"/>
      <c r="AM708" s="48"/>
      <c r="AN708" s="48"/>
      <c r="AO708" s="48"/>
      <c r="AP708" s="48"/>
      <c r="AQ708" s="48"/>
      <c r="AR708" s="48"/>
      <c r="AS708" s="48"/>
      <c r="AT708" s="48"/>
      <c r="AU708" s="48"/>
      <c r="AV708" s="48"/>
      <c r="AW708" s="48"/>
      <c r="AX708" s="48"/>
      <c r="AY708" s="48"/>
      <c r="AZ708" s="48"/>
      <c r="BA708" s="48"/>
    </row>
    <row r="709" spans="1:53" hidden="1" x14ac:dyDescent="0.3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  <c r="AB709" s="48"/>
      <c r="AC709" s="48"/>
      <c r="AD709" s="48"/>
      <c r="AE709" s="48"/>
      <c r="AF709" s="48"/>
      <c r="AG709" s="48"/>
      <c r="AH709" s="48"/>
      <c r="AI709" s="48"/>
      <c r="AJ709" s="48"/>
      <c r="AK709" s="48"/>
      <c r="AL709" s="48"/>
      <c r="AM709" s="48"/>
      <c r="AN709" s="48"/>
      <c r="AO709" s="48"/>
      <c r="AP709" s="48"/>
      <c r="AQ709" s="48"/>
      <c r="AR709" s="48"/>
      <c r="AS709" s="48"/>
      <c r="AT709" s="48"/>
      <c r="AU709" s="48"/>
      <c r="AV709" s="48"/>
      <c r="AW709" s="48"/>
      <c r="AX709" s="48"/>
      <c r="AY709" s="48"/>
      <c r="AZ709" s="48"/>
      <c r="BA709" s="48"/>
    </row>
    <row r="710" spans="1:53" hidden="1" x14ac:dyDescent="0.3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  <c r="AB710" s="48"/>
      <c r="AC710" s="48"/>
      <c r="AD710" s="48"/>
      <c r="AE710" s="48"/>
      <c r="AF710" s="48"/>
      <c r="AG710" s="48"/>
      <c r="AH710" s="48"/>
      <c r="AI710" s="48"/>
      <c r="AJ710" s="48"/>
      <c r="AK710" s="48"/>
      <c r="AL710" s="48"/>
      <c r="AM710" s="48"/>
      <c r="AN710" s="48"/>
      <c r="AO710" s="48"/>
      <c r="AP710" s="48"/>
      <c r="AQ710" s="48"/>
      <c r="AR710" s="48"/>
      <c r="AS710" s="48"/>
      <c r="AT710" s="48"/>
      <c r="AU710" s="48"/>
      <c r="AV710" s="48"/>
      <c r="AW710" s="48"/>
      <c r="AX710" s="48"/>
      <c r="AY710" s="48"/>
      <c r="AZ710" s="48"/>
      <c r="BA710" s="48"/>
    </row>
    <row r="711" spans="1:53" hidden="1" x14ac:dyDescent="0.3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  <c r="AB711" s="48"/>
      <c r="AC711" s="48"/>
      <c r="AD711" s="48"/>
      <c r="AE711" s="48"/>
      <c r="AF711" s="48"/>
      <c r="AG711" s="48"/>
      <c r="AH711" s="48"/>
      <c r="AI711" s="48"/>
      <c r="AJ711" s="48"/>
      <c r="AK711" s="48"/>
      <c r="AL711" s="48"/>
      <c r="AM711" s="48"/>
      <c r="AN711" s="48"/>
      <c r="AO711" s="48"/>
      <c r="AP711" s="48"/>
      <c r="AQ711" s="48"/>
      <c r="AR711" s="48"/>
      <c r="AS711" s="48"/>
      <c r="AT711" s="48"/>
      <c r="AU711" s="48"/>
      <c r="AV711" s="48"/>
      <c r="AW711" s="48"/>
      <c r="AX711" s="48"/>
      <c r="AY711" s="48"/>
      <c r="AZ711" s="48"/>
      <c r="BA711" s="48"/>
    </row>
    <row r="712" spans="1:53" hidden="1" x14ac:dyDescent="0.3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  <c r="AB712" s="48"/>
      <c r="AC712" s="48"/>
      <c r="AD712" s="48"/>
      <c r="AE712" s="48"/>
      <c r="AF712" s="48"/>
      <c r="AG712" s="48"/>
      <c r="AH712" s="48"/>
      <c r="AI712" s="48"/>
      <c r="AJ712" s="48"/>
      <c r="AK712" s="48"/>
      <c r="AL712" s="48"/>
      <c r="AM712" s="48"/>
      <c r="AN712" s="48"/>
      <c r="AO712" s="48"/>
      <c r="AP712" s="48"/>
      <c r="AQ712" s="48"/>
      <c r="AR712" s="48"/>
      <c r="AS712" s="48"/>
      <c r="AT712" s="48"/>
      <c r="AU712" s="48"/>
      <c r="AV712" s="48"/>
      <c r="AW712" s="48"/>
      <c r="AX712" s="48"/>
      <c r="AY712" s="48"/>
      <c r="AZ712" s="48"/>
      <c r="BA712" s="48"/>
    </row>
    <row r="713" spans="1:53" hidden="1" x14ac:dyDescent="0.3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  <c r="AB713" s="48"/>
      <c r="AC713" s="48"/>
      <c r="AD713" s="48"/>
      <c r="AE713" s="48"/>
      <c r="AF713" s="48"/>
      <c r="AG713" s="48"/>
      <c r="AH713" s="48"/>
      <c r="AI713" s="48"/>
      <c r="AJ713" s="48"/>
      <c r="AK713" s="48"/>
      <c r="AL713" s="48"/>
      <c r="AM713" s="48"/>
      <c r="AN713" s="48"/>
      <c r="AO713" s="48"/>
      <c r="AP713" s="48"/>
      <c r="AQ713" s="48"/>
      <c r="AR713" s="48"/>
      <c r="AS713" s="48"/>
      <c r="AT713" s="48"/>
      <c r="AU713" s="48"/>
      <c r="AV713" s="48"/>
      <c r="AW713" s="48"/>
      <c r="AX713" s="48"/>
      <c r="AY713" s="48"/>
      <c r="AZ713" s="48"/>
      <c r="BA713" s="48"/>
    </row>
    <row r="714" spans="1:53" hidden="1" x14ac:dyDescent="0.3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  <c r="AB714" s="48"/>
      <c r="AC714" s="48"/>
      <c r="AD714" s="48"/>
      <c r="AE714" s="48"/>
      <c r="AF714" s="48"/>
      <c r="AG714" s="48"/>
      <c r="AH714" s="48"/>
      <c r="AI714" s="48"/>
      <c r="AJ714" s="48"/>
      <c r="AK714" s="48"/>
      <c r="AL714" s="48"/>
      <c r="AM714" s="48"/>
      <c r="AN714" s="48"/>
      <c r="AO714" s="48"/>
      <c r="AP714" s="48"/>
      <c r="AQ714" s="48"/>
      <c r="AR714" s="48"/>
      <c r="AS714" s="48"/>
      <c r="AT714" s="48"/>
      <c r="AU714" s="48"/>
      <c r="AV714" s="48"/>
      <c r="AW714" s="48"/>
      <c r="AX714" s="48"/>
      <c r="AY714" s="48"/>
      <c r="AZ714" s="48"/>
      <c r="BA714" s="48"/>
    </row>
    <row r="715" spans="1:53" hidden="1" x14ac:dyDescent="0.3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  <c r="AB715" s="48"/>
      <c r="AC715" s="48"/>
      <c r="AD715" s="48"/>
      <c r="AE715" s="48"/>
      <c r="AF715" s="48"/>
      <c r="AG715" s="48"/>
      <c r="AH715" s="48"/>
      <c r="AI715" s="48"/>
      <c r="AJ715" s="48"/>
      <c r="AK715" s="48"/>
      <c r="AL715" s="48"/>
      <c r="AM715" s="48"/>
      <c r="AN715" s="48"/>
      <c r="AO715" s="48"/>
      <c r="AP715" s="48"/>
      <c r="AQ715" s="48"/>
      <c r="AR715" s="48"/>
      <c r="AS715" s="48"/>
      <c r="AT715" s="48"/>
      <c r="AU715" s="48"/>
      <c r="AV715" s="48"/>
      <c r="AW715" s="48"/>
      <c r="AX715" s="48"/>
      <c r="AY715" s="48"/>
      <c r="AZ715" s="48"/>
      <c r="BA715" s="48"/>
    </row>
    <row r="716" spans="1:53" hidden="1" x14ac:dyDescent="0.3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  <c r="AB716" s="48"/>
      <c r="AC716" s="48"/>
      <c r="AD716" s="48"/>
      <c r="AE716" s="48"/>
      <c r="AF716" s="48"/>
      <c r="AG716" s="48"/>
      <c r="AH716" s="48"/>
      <c r="AI716" s="48"/>
      <c r="AJ716" s="48"/>
      <c r="AK716" s="48"/>
      <c r="AL716" s="48"/>
      <c r="AM716" s="48"/>
      <c r="AN716" s="48"/>
      <c r="AO716" s="48"/>
      <c r="AP716" s="48"/>
      <c r="AQ716" s="48"/>
      <c r="AR716" s="48"/>
      <c r="AS716" s="48"/>
      <c r="AT716" s="48"/>
      <c r="AU716" s="48"/>
      <c r="AV716" s="48"/>
      <c r="AW716" s="48"/>
      <c r="AX716" s="48"/>
      <c r="AY716" s="48"/>
      <c r="AZ716" s="48"/>
      <c r="BA716" s="48"/>
    </row>
    <row r="717" spans="1:53" hidden="1" x14ac:dyDescent="0.3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  <c r="AB717" s="48"/>
      <c r="AC717" s="48"/>
      <c r="AD717" s="48"/>
      <c r="AE717" s="48"/>
      <c r="AF717" s="48"/>
      <c r="AG717" s="48"/>
      <c r="AH717" s="48"/>
      <c r="AI717" s="48"/>
      <c r="AJ717" s="48"/>
      <c r="AK717" s="48"/>
      <c r="AL717" s="48"/>
      <c r="AM717" s="48"/>
      <c r="AN717" s="48"/>
      <c r="AO717" s="48"/>
      <c r="AP717" s="48"/>
      <c r="AQ717" s="48"/>
      <c r="AR717" s="48"/>
      <c r="AS717" s="48"/>
      <c r="AT717" s="48"/>
      <c r="AU717" s="48"/>
      <c r="AV717" s="48"/>
      <c r="AW717" s="48"/>
      <c r="AX717" s="48"/>
      <c r="AY717" s="48"/>
      <c r="AZ717" s="48"/>
      <c r="BA717" s="48"/>
    </row>
    <row r="718" spans="1:53" hidden="1" x14ac:dyDescent="0.3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  <c r="AB718" s="48"/>
      <c r="AC718" s="48"/>
      <c r="AD718" s="48"/>
      <c r="AE718" s="48"/>
      <c r="AF718" s="48"/>
      <c r="AG718" s="48"/>
      <c r="AH718" s="48"/>
      <c r="AI718" s="48"/>
      <c r="AJ718" s="48"/>
      <c r="AK718" s="48"/>
      <c r="AL718" s="48"/>
      <c r="AM718" s="48"/>
      <c r="AN718" s="48"/>
      <c r="AO718" s="48"/>
      <c r="AP718" s="48"/>
      <c r="AQ718" s="48"/>
      <c r="AR718" s="48"/>
      <c r="AS718" s="48"/>
      <c r="AT718" s="48"/>
      <c r="AU718" s="48"/>
      <c r="AV718" s="48"/>
      <c r="AW718" s="48"/>
      <c r="AX718" s="48"/>
      <c r="AY718" s="48"/>
      <c r="AZ718" s="48"/>
      <c r="BA718" s="48"/>
    </row>
    <row r="719" spans="1:53" hidden="1" x14ac:dyDescent="0.3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  <c r="AB719" s="48"/>
      <c r="AC719" s="48"/>
      <c r="AD719" s="48"/>
      <c r="AE719" s="48"/>
      <c r="AF719" s="48"/>
      <c r="AG719" s="48"/>
      <c r="AH719" s="48"/>
      <c r="AI719" s="48"/>
      <c r="AJ719" s="48"/>
      <c r="AK719" s="48"/>
      <c r="AL719" s="48"/>
      <c r="AM719" s="48"/>
      <c r="AN719" s="48"/>
      <c r="AO719" s="48"/>
      <c r="AP719" s="48"/>
      <c r="AQ719" s="48"/>
      <c r="AR719" s="48"/>
      <c r="AS719" s="48"/>
      <c r="AT719" s="48"/>
      <c r="AU719" s="48"/>
      <c r="AV719" s="48"/>
      <c r="AW719" s="48"/>
      <c r="AX719" s="48"/>
      <c r="AY719" s="48"/>
      <c r="AZ719" s="48"/>
      <c r="BA719" s="48"/>
    </row>
    <row r="720" spans="1:53" hidden="1" x14ac:dyDescent="0.3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  <c r="AB720" s="48"/>
      <c r="AC720" s="48"/>
      <c r="AD720" s="48"/>
      <c r="AE720" s="48"/>
      <c r="AF720" s="48"/>
      <c r="AG720" s="48"/>
      <c r="AH720" s="48"/>
      <c r="AI720" s="48"/>
      <c r="AJ720" s="48"/>
      <c r="AK720" s="48"/>
      <c r="AL720" s="48"/>
      <c r="AM720" s="48"/>
      <c r="AN720" s="48"/>
      <c r="AO720" s="48"/>
      <c r="AP720" s="48"/>
      <c r="AQ720" s="48"/>
      <c r="AR720" s="48"/>
      <c r="AS720" s="48"/>
      <c r="AT720" s="48"/>
      <c r="AU720" s="48"/>
      <c r="AV720" s="48"/>
      <c r="AW720" s="48"/>
      <c r="AX720" s="48"/>
      <c r="AY720" s="48"/>
      <c r="AZ720" s="48"/>
      <c r="BA720" s="48"/>
    </row>
    <row r="721" spans="1:53" hidden="1" x14ac:dyDescent="0.3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  <c r="AB721" s="48"/>
      <c r="AC721" s="48"/>
      <c r="AD721" s="48"/>
      <c r="AE721" s="48"/>
      <c r="AF721" s="48"/>
      <c r="AG721" s="48"/>
      <c r="AH721" s="48"/>
      <c r="AI721" s="48"/>
      <c r="AJ721" s="48"/>
      <c r="AK721" s="48"/>
      <c r="AL721" s="48"/>
      <c r="AM721" s="48"/>
      <c r="AN721" s="48"/>
      <c r="AO721" s="48"/>
      <c r="AP721" s="48"/>
      <c r="AQ721" s="48"/>
      <c r="AR721" s="48"/>
      <c r="AS721" s="48"/>
      <c r="AT721" s="48"/>
      <c r="AU721" s="48"/>
      <c r="AV721" s="48"/>
      <c r="AW721" s="48"/>
      <c r="AX721" s="48"/>
      <c r="AY721" s="48"/>
      <c r="AZ721" s="48"/>
      <c r="BA721" s="48"/>
    </row>
    <row r="722" spans="1:53" hidden="1" x14ac:dyDescent="0.3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  <c r="AB722" s="48"/>
      <c r="AC722" s="48"/>
      <c r="AD722" s="48"/>
      <c r="AE722" s="48"/>
      <c r="AF722" s="48"/>
      <c r="AG722" s="48"/>
      <c r="AH722" s="48"/>
      <c r="AI722" s="48"/>
      <c r="AJ722" s="48"/>
      <c r="AK722" s="48"/>
      <c r="AL722" s="48"/>
      <c r="AM722" s="48"/>
      <c r="AN722" s="48"/>
      <c r="AO722" s="48"/>
      <c r="AP722" s="48"/>
      <c r="AQ722" s="48"/>
      <c r="AR722" s="48"/>
      <c r="AS722" s="48"/>
      <c r="AT722" s="48"/>
      <c r="AU722" s="48"/>
      <c r="AV722" s="48"/>
      <c r="AW722" s="48"/>
      <c r="AX722" s="48"/>
      <c r="AY722" s="48"/>
      <c r="AZ722" s="48"/>
      <c r="BA722" s="48"/>
    </row>
    <row r="723" spans="1:53" hidden="1" x14ac:dyDescent="0.3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  <c r="AB723" s="48"/>
      <c r="AC723" s="48"/>
      <c r="AD723" s="48"/>
      <c r="AE723" s="48"/>
      <c r="AF723" s="48"/>
      <c r="AG723" s="48"/>
      <c r="AH723" s="48"/>
      <c r="AI723" s="48"/>
      <c r="AJ723" s="48"/>
      <c r="AK723" s="48"/>
      <c r="AL723" s="48"/>
      <c r="AM723" s="48"/>
      <c r="AN723" s="48"/>
      <c r="AO723" s="48"/>
      <c r="AP723" s="48"/>
      <c r="AQ723" s="48"/>
      <c r="AR723" s="48"/>
      <c r="AS723" s="48"/>
      <c r="AT723" s="48"/>
      <c r="AU723" s="48"/>
      <c r="AV723" s="48"/>
      <c r="AW723" s="48"/>
      <c r="AX723" s="48"/>
      <c r="AY723" s="48"/>
      <c r="AZ723" s="48"/>
      <c r="BA723" s="48"/>
    </row>
    <row r="724" spans="1:53" hidden="1" x14ac:dyDescent="0.3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  <c r="AB724" s="48"/>
      <c r="AC724" s="48"/>
      <c r="AD724" s="48"/>
      <c r="AE724" s="48"/>
      <c r="AF724" s="48"/>
      <c r="AG724" s="48"/>
      <c r="AH724" s="48"/>
      <c r="AI724" s="48"/>
      <c r="AJ724" s="48"/>
      <c r="AK724" s="48"/>
      <c r="AL724" s="48"/>
      <c r="AM724" s="48"/>
      <c r="AN724" s="48"/>
      <c r="AO724" s="48"/>
      <c r="AP724" s="48"/>
      <c r="AQ724" s="48"/>
      <c r="AR724" s="48"/>
      <c r="AS724" s="48"/>
      <c r="AT724" s="48"/>
      <c r="AU724" s="48"/>
      <c r="AV724" s="48"/>
      <c r="AW724" s="48"/>
      <c r="AX724" s="48"/>
      <c r="AY724" s="48"/>
      <c r="AZ724" s="48"/>
      <c r="BA724" s="48"/>
    </row>
    <row r="725" spans="1:53" hidden="1" x14ac:dyDescent="0.3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  <c r="AB725" s="48"/>
      <c r="AC725" s="48"/>
      <c r="AD725" s="48"/>
      <c r="AE725" s="48"/>
      <c r="AF725" s="48"/>
      <c r="AG725" s="48"/>
      <c r="AH725" s="48"/>
      <c r="AI725" s="48"/>
      <c r="AJ725" s="48"/>
      <c r="AK725" s="48"/>
      <c r="AL725" s="48"/>
      <c r="AM725" s="48"/>
      <c r="AN725" s="48"/>
      <c r="AO725" s="48"/>
      <c r="AP725" s="48"/>
      <c r="AQ725" s="48"/>
      <c r="AR725" s="48"/>
      <c r="AS725" s="48"/>
      <c r="AT725" s="48"/>
      <c r="AU725" s="48"/>
      <c r="AV725" s="48"/>
      <c r="AW725" s="48"/>
      <c r="AX725" s="48"/>
      <c r="AY725" s="48"/>
      <c r="AZ725" s="48"/>
      <c r="BA725" s="48"/>
    </row>
    <row r="726" spans="1:53" hidden="1" x14ac:dyDescent="0.3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  <c r="AB726" s="48"/>
      <c r="AC726" s="48"/>
      <c r="AD726" s="48"/>
      <c r="AE726" s="48"/>
      <c r="AF726" s="48"/>
      <c r="AG726" s="48"/>
      <c r="AH726" s="48"/>
      <c r="AI726" s="48"/>
      <c r="AJ726" s="48"/>
      <c r="AK726" s="48"/>
      <c r="AL726" s="48"/>
      <c r="AM726" s="48"/>
      <c r="AN726" s="48"/>
      <c r="AO726" s="48"/>
      <c r="AP726" s="48"/>
      <c r="AQ726" s="48"/>
      <c r="AR726" s="48"/>
      <c r="AS726" s="48"/>
      <c r="AT726" s="48"/>
      <c r="AU726" s="48"/>
      <c r="AV726" s="48"/>
      <c r="AW726" s="48"/>
      <c r="AX726" s="48"/>
      <c r="AY726" s="48"/>
      <c r="AZ726" s="48"/>
      <c r="BA726" s="48"/>
    </row>
    <row r="727" spans="1:53" hidden="1" x14ac:dyDescent="0.3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  <c r="AB727" s="48"/>
      <c r="AC727" s="48"/>
      <c r="AD727" s="48"/>
      <c r="AE727" s="48"/>
      <c r="AF727" s="48"/>
      <c r="AG727" s="48"/>
      <c r="AH727" s="48"/>
      <c r="AI727" s="48"/>
      <c r="AJ727" s="48"/>
      <c r="AK727" s="48"/>
      <c r="AL727" s="48"/>
      <c r="AM727" s="48"/>
      <c r="AN727" s="48"/>
      <c r="AO727" s="48"/>
      <c r="AP727" s="48"/>
      <c r="AQ727" s="48"/>
      <c r="AR727" s="48"/>
      <c r="AS727" s="48"/>
      <c r="AT727" s="48"/>
      <c r="AU727" s="48"/>
      <c r="AV727" s="48"/>
      <c r="AW727" s="48"/>
      <c r="AX727" s="48"/>
      <c r="AY727" s="48"/>
      <c r="AZ727" s="48"/>
      <c r="BA727" s="48"/>
    </row>
    <row r="728" spans="1:53" hidden="1" x14ac:dyDescent="0.3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  <c r="AB728" s="48"/>
      <c r="AC728" s="48"/>
      <c r="AD728" s="48"/>
      <c r="AE728" s="48"/>
      <c r="AF728" s="48"/>
      <c r="AG728" s="48"/>
      <c r="AH728" s="48"/>
      <c r="AI728" s="48"/>
      <c r="AJ728" s="48"/>
      <c r="AK728" s="48"/>
      <c r="AL728" s="48"/>
      <c r="AM728" s="48"/>
      <c r="AN728" s="48"/>
      <c r="AO728" s="48"/>
      <c r="AP728" s="48"/>
      <c r="AQ728" s="48"/>
      <c r="AR728" s="48"/>
      <c r="AS728" s="48"/>
      <c r="AT728" s="48"/>
      <c r="AU728" s="48"/>
      <c r="AV728" s="48"/>
      <c r="AW728" s="48"/>
      <c r="AX728" s="48"/>
      <c r="AY728" s="48"/>
      <c r="AZ728" s="48"/>
      <c r="BA728" s="48"/>
    </row>
    <row r="729" spans="1:53" hidden="1" x14ac:dyDescent="0.3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  <c r="AB729" s="48"/>
      <c r="AC729" s="48"/>
      <c r="AD729" s="48"/>
      <c r="AE729" s="48"/>
      <c r="AF729" s="48"/>
      <c r="AG729" s="48"/>
      <c r="AH729" s="48"/>
      <c r="AI729" s="48"/>
      <c r="AJ729" s="48"/>
      <c r="AK729" s="48"/>
      <c r="AL729" s="48"/>
      <c r="AM729" s="48"/>
      <c r="AN729" s="48"/>
      <c r="AO729" s="48"/>
      <c r="AP729" s="48"/>
      <c r="AQ729" s="48"/>
      <c r="AR729" s="48"/>
      <c r="AS729" s="48"/>
      <c r="AT729" s="48"/>
      <c r="AU729" s="48"/>
      <c r="AV729" s="48"/>
      <c r="AW729" s="48"/>
      <c r="AX729" s="48"/>
      <c r="AY729" s="48"/>
      <c r="AZ729" s="48"/>
      <c r="BA729" s="48"/>
    </row>
    <row r="730" spans="1:53" hidden="1" x14ac:dyDescent="0.3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  <c r="AB730" s="48"/>
      <c r="AC730" s="48"/>
      <c r="AD730" s="48"/>
      <c r="AE730" s="48"/>
      <c r="AF730" s="48"/>
      <c r="AG730" s="48"/>
      <c r="AH730" s="48"/>
      <c r="AI730" s="48"/>
      <c r="AJ730" s="48"/>
      <c r="AK730" s="48"/>
      <c r="AL730" s="48"/>
      <c r="AM730" s="48"/>
      <c r="AN730" s="48"/>
      <c r="AO730" s="48"/>
      <c r="AP730" s="48"/>
      <c r="AQ730" s="48"/>
      <c r="AR730" s="48"/>
      <c r="AS730" s="48"/>
      <c r="AT730" s="48"/>
      <c r="AU730" s="48"/>
      <c r="AV730" s="48"/>
      <c r="AW730" s="48"/>
      <c r="AX730" s="48"/>
      <c r="AY730" s="48"/>
      <c r="AZ730" s="48"/>
      <c r="BA730" s="48"/>
    </row>
    <row r="731" spans="1:53" hidden="1" x14ac:dyDescent="0.3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  <c r="AB731" s="48"/>
      <c r="AC731" s="48"/>
      <c r="AD731" s="48"/>
      <c r="AE731" s="48"/>
      <c r="AF731" s="48"/>
      <c r="AG731" s="48"/>
      <c r="AH731" s="48"/>
      <c r="AI731" s="48"/>
      <c r="AJ731" s="48"/>
      <c r="AK731" s="48"/>
      <c r="AL731" s="48"/>
      <c r="AM731" s="48"/>
      <c r="AN731" s="48"/>
      <c r="AO731" s="48"/>
      <c r="AP731" s="48"/>
      <c r="AQ731" s="48"/>
      <c r="AR731" s="48"/>
      <c r="AS731" s="48"/>
      <c r="AT731" s="48"/>
      <c r="AU731" s="48"/>
      <c r="AV731" s="48"/>
      <c r="AW731" s="48"/>
      <c r="AX731" s="48"/>
      <c r="AY731" s="48"/>
      <c r="AZ731" s="48"/>
      <c r="BA731" s="48"/>
    </row>
    <row r="732" spans="1:53" hidden="1" x14ac:dyDescent="0.3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  <c r="AB732" s="48"/>
      <c r="AC732" s="48"/>
      <c r="AD732" s="48"/>
      <c r="AE732" s="48"/>
      <c r="AF732" s="48"/>
      <c r="AG732" s="48"/>
      <c r="AH732" s="48"/>
      <c r="AI732" s="48"/>
      <c r="AJ732" s="48"/>
      <c r="AK732" s="48"/>
      <c r="AL732" s="48"/>
      <c r="AM732" s="48"/>
      <c r="AN732" s="48"/>
      <c r="AO732" s="48"/>
      <c r="AP732" s="48"/>
      <c r="AQ732" s="48"/>
      <c r="AR732" s="48"/>
      <c r="AS732" s="48"/>
      <c r="AT732" s="48"/>
      <c r="AU732" s="48"/>
      <c r="AV732" s="48"/>
      <c r="AW732" s="48"/>
      <c r="AX732" s="48"/>
      <c r="AY732" s="48"/>
      <c r="AZ732" s="48"/>
      <c r="BA732" s="48"/>
    </row>
    <row r="733" spans="1:53" hidden="1" x14ac:dyDescent="0.3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  <c r="AB733" s="48"/>
      <c r="AC733" s="48"/>
      <c r="AD733" s="48"/>
      <c r="AE733" s="48"/>
      <c r="AF733" s="48"/>
      <c r="AG733" s="48"/>
      <c r="AH733" s="48"/>
      <c r="AI733" s="48"/>
      <c r="AJ733" s="48"/>
      <c r="AK733" s="48"/>
      <c r="AL733" s="48"/>
      <c r="AM733" s="48"/>
      <c r="AN733" s="48"/>
      <c r="AO733" s="48"/>
      <c r="AP733" s="48"/>
      <c r="AQ733" s="48"/>
      <c r="AR733" s="48"/>
      <c r="AS733" s="48"/>
      <c r="AT733" s="48"/>
      <c r="AU733" s="48"/>
      <c r="AV733" s="48"/>
      <c r="AW733" s="48"/>
      <c r="AX733" s="48"/>
      <c r="AY733" s="48"/>
      <c r="AZ733" s="48"/>
      <c r="BA733" s="48"/>
    </row>
    <row r="734" spans="1:53" hidden="1" x14ac:dyDescent="0.3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  <c r="AB734" s="48"/>
      <c r="AC734" s="48"/>
      <c r="AD734" s="48"/>
      <c r="AE734" s="48"/>
      <c r="AF734" s="48"/>
      <c r="AG734" s="48"/>
      <c r="AH734" s="48"/>
      <c r="AI734" s="48"/>
      <c r="AJ734" s="48"/>
      <c r="AK734" s="48"/>
      <c r="AL734" s="48"/>
      <c r="AM734" s="48"/>
      <c r="AN734" s="48"/>
      <c r="AO734" s="48"/>
      <c r="AP734" s="48"/>
      <c r="AQ734" s="48"/>
      <c r="AR734" s="48"/>
      <c r="AS734" s="48"/>
      <c r="AT734" s="48"/>
      <c r="AU734" s="48"/>
      <c r="AV734" s="48"/>
      <c r="AW734" s="48"/>
      <c r="AX734" s="48"/>
      <c r="AY734" s="48"/>
      <c r="AZ734" s="48"/>
      <c r="BA734" s="48"/>
    </row>
    <row r="735" spans="1:53" hidden="1" x14ac:dyDescent="0.3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  <c r="AB735" s="48"/>
      <c r="AC735" s="48"/>
      <c r="AD735" s="48"/>
      <c r="AE735" s="48"/>
      <c r="AF735" s="48"/>
      <c r="AG735" s="48"/>
      <c r="AH735" s="48"/>
      <c r="AI735" s="48"/>
      <c r="AJ735" s="48"/>
      <c r="AK735" s="48"/>
      <c r="AL735" s="48"/>
      <c r="AM735" s="48"/>
      <c r="AN735" s="48"/>
      <c r="AO735" s="48"/>
      <c r="AP735" s="48"/>
      <c r="AQ735" s="48"/>
      <c r="AR735" s="48"/>
      <c r="AS735" s="48"/>
      <c r="AT735" s="48"/>
      <c r="AU735" s="48"/>
      <c r="AV735" s="48"/>
      <c r="AW735" s="48"/>
      <c r="AX735" s="48"/>
      <c r="AY735" s="48"/>
      <c r="AZ735" s="48"/>
      <c r="BA735" s="48"/>
    </row>
    <row r="736" spans="1:53" hidden="1" x14ac:dyDescent="0.3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  <c r="AB736" s="48"/>
      <c r="AC736" s="48"/>
      <c r="AD736" s="48"/>
      <c r="AE736" s="48"/>
      <c r="AF736" s="48"/>
      <c r="AG736" s="48"/>
      <c r="AH736" s="48"/>
      <c r="AI736" s="48"/>
      <c r="AJ736" s="48"/>
      <c r="AK736" s="48"/>
      <c r="AL736" s="48"/>
      <c r="AM736" s="48"/>
      <c r="AN736" s="48"/>
      <c r="AO736" s="48"/>
      <c r="AP736" s="48"/>
      <c r="AQ736" s="48"/>
      <c r="AR736" s="48"/>
      <c r="AS736" s="48"/>
      <c r="AT736" s="48"/>
      <c r="AU736" s="48"/>
      <c r="AV736" s="48"/>
      <c r="AW736" s="48"/>
      <c r="AX736" s="48"/>
      <c r="AY736" s="48"/>
      <c r="AZ736" s="48"/>
      <c r="BA736" s="48"/>
    </row>
    <row r="737" spans="1:53" hidden="1" x14ac:dyDescent="0.3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  <c r="AB737" s="48"/>
      <c r="AC737" s="48"/>
      <c r="AD737" s="48"/>
      <c r="AE737" s="48"/>
      <c r="AF737" s="48"/>
      <c r="AG737" s="48"/>
      <c r="AH737" s="48"/>
      <c r="AI737" s="48"/>
      <c r="AJ737" s="48"/>
      <c r="AK737" s="48"/>
      <c r="AL737" s="48"/>
      <c r="AM737" s="48"/>
      <c r="AN737" s="48"/>
      <c r="AO737" s="48"/>
      <c r="AP737" s="48"/>
      <c r="AQ737" s="48"/>
      <c r="AR737" s="48"/>
      <c r="AS737" s="48"/>
      <c r="AT737" s="48"/>
      <c r="AU737" s="48"/>
      <c r="AV737" s="48"/>
      <c r="AW737" s="48"/>
      <c r="AX737" s="48"/>
      <c r="AY737" s="48"/>
      <c r="AZ737" s="48"/>
      <c r="BA737" s="48"/>
    </row>
    <row r="738" spans="1:53" hidden="1" x14ac:dyDescent="0.3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  <c r="AB738" s="48"/>
      <c r="AC738" s="48"/>
      <c r="AD738" s="48"/>
      <c r="AE738" s="48"/>
      <c r="AF738" s="48"/>
      <c r="AG738" s="48"/>
      <c r="AH738" s="48"/>
      <c r="AI738" s="48"/>
      <c r="AJ738" s="48"/>
      <c r="AK738" s="48"/>
      <c r="AL738" s="48"/>
      <c r="AM738" s="48"/>
      <c r="AN738" s="48"/>
      <c r="AO738" s="48"/>
      <c r="AP738" s="48"/>
      <c r="AQ738" s="48"/>
      <c r="AR738" s="48"/>
      <c r="AS738" s="48"/>
      <c r="AT738" s="48"/>
      <c r="AU738" s="48"/>
      <c r="AV738" s="48"/>
      <c r="AW738" s="48"/>
      <c r="AX738" s="48"/>
      <c r="AY738" s="48"/>
      <c r="AZ738" s="48"/>
      <c r="BA738" s="48"/>
    </row>
    <row r="739" spans="1:53" hidden="1" x14ac:dyDescent="0.3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  <c r="AB739" s="48"/>
      <c r="AC739" s="48"/>
      <c r="AD739" s="48"/>
      <c r="AE739" s="48"/>
      <c r="AF739" s="48"/>
      <c r="AG739" s="48"/>
      <c r="AH739" s="48"/>
      <c r="AI739" s="48"/>
      <c r="AJ739" s="48"/>
      <c r="AK739" s="48"/>
      <c r="AL739" s="48"/>
      <c r="AM739" s="48"/>
      <c r="AN739" s="48"/>
      <c r="AO739" s="48"/>
      <c r="AP739" s="48"/>
      <c r="AQ739" s="48"/>
      <c r="AR739" s="48"/>
      <c r="AS739" s="48"/>
      <c r="AT739" s="48"/>
      <c r="AU739" s="48"/>
      <c r="AV739" s="48"/>
      <c r="AW739" s="48"/>
      <c r="AX739" s="48"/>
      <c r="AY739" s="48"/>
      <c r="AZ739" s="48"/>
      <c r="BA739" s="48"/>
    </row>
    <row r="740" spans="1:53" hidden="1" x14ac:dyDescent="0.3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  <c r="AB740" s="48"/>
      <c r="AC740" s="48"/>
      <c r="AD740" s="48"/>
      <c r="AE740" s="48"/>
      <c r="AF740" s="48"/>
      <c r="AG740" s="48"/>
      <c r="AH740" s="48"/>
      <c r="AI740" s="48"/>
      <c r="AJ740" s="48"/>
      <c r="AK740" s="48"/>
      <c r="AL740" s="48"/>
      <c r="AM740" s="48"/>
      <c r="AN740" s="48"/>
      <c r="AO740" s="48"/>
      <c r="AP740" s="48"/>
      <c r="AQ740" s="48"/>
      <c r="AR740" s="48"/>
      <c r="AS740" s="48"/>
      <c r="AT740" s="48"/>
      <c r="AU740" s="48"/>
      <c r="AV740" s="48"/>
      <c r="AW740" s="48"/>
      <c r="AX740" s="48"/>
      <c r="AY740" s="48"/>
      <c r="AZ740" s="48"/>
      <c r="BA740" s="48"/>
    </row>
    <row r="741" spans="1:53" hidden="1" x14ac:dyDescent="0.3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  <c r="AB741" s="48"/>
      <c r="AC741" s="48"/>
      <c r="AD741" s="48"/>
      <c r="AE741" s="48"/>
      <c r="AF741" s="48"/>
      <c r="AG741" s="48"/>
      <c r="AH741" s="48"/>
      <c r="AI741" s="48"/>
      <c r="AJ741" s="48"/>
      <c r="AK741" s="48"/>
      <c r="AL741" s="48"/>
      <c r="AM741" s="48"/>
      <c r="AN741" s="48"/>
      <c r="AO741" s="48"/>
      <c r="AP741" s="48"/>
      <c r="AQ741" s="48"/>
      <c r="AR741" s="48"/>
      <c r="AS741" s="48"/>
      <c r="AT741" s="48"/>
      <c r="AU741" s="48"/>
      <c r="AV741" s="48"/>
      <c r="AW741" s="48"/>
      <c r="AX741" s="48"/>
      <c r="AY741" s="48"/>
      <c r="AZ741" s="48"/>
      <c r="BA741" s="48"/>
    </row>
    <row r="742" spans="1:53" hidden="1" x14ac:dyDescent="0.3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  <c r="AB742" s="48"/>
      <c r="AC742" s="48"/>
      <c r="AD742" s="48"/>
      <c r="AE742" s="48"/>
      <c r="AF742" s="48"/>
      <c r="AG742" s="48"/>
      <c r="AH742" s="48"/>
      <c r="AI742" s="48"/>
      <c r="AJ742" s="48"/>
      <c r="AK742" s="48"/>
      <c r="AL742" s="48"/>
      <c r="AM742" s="48"/>
      <c r="AN742" s="48"/>
      <c r="AO742" s="48"/>
      <c r="AP742" s="48"/>
      <c r="AQ742" s="48"/>
      <c r="AR742" s="48"/>
      <c r="AS742" s="48"/>
      <c r="AT742" s="48"/>
      <c r="AU742" s="48"/>
      <c r="AV742" s="48"/>
      <c r="AW742" s="48"/>
      <c r="AX742" s="48"/>
      <c r="AY742" s="48"/>
      <c r="AZ742" s="48"/>
      <c r="BA742" s="48"/>
    </row>
    <row r="743" spans="1:53" hidden="1" x14ac:dyDescent="0.3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  <c r="AB743" s="48"/>
      <c r="AC743" s="48"/>
      <c r="AD743" s="48"/>
      <c r="AE743" s="48"/>
      <c r="AF743" s="48"/>
      <c r="AG743" s="48"/>
      <c r="AH743" s="48"/>
      <c r="AI743" s="48"/>
      <c r="AJ743" s="48"/>
      <c r="AK743" s="48"/>
      <c r="AL743" s="48"/>
      <c r="AM743" s="48"/>
      <c r="AN743" s="48"/>
      <c r="AO743" s="48"/>
      <c r="AP743" s="48"/>
      <c r="AQ743" s="48"/>
      <c r="AR743" s="48"/>
      <c r="AS743" s="48"/>
      <c r="AT743" s="48"/>
      <c r="AU743" s="48"/>
      <c r="AV743" s="48"/>
      <c r="AW743" s="48"/>
      <c r="AX743" s="48"/>
      <c r="AY743" s="48"/>
      <c r="AZ743" s="48"/>
      <c r="BA743" s="48"/>
    </row>
    <row r="744" spans="1:53" hidden="1" x14ac:dyDescent="0.3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  <c r="AB744" s="48"/>
      <c r="AC744" s="48"/>
      <c r="AD744" s="48"/>
      <c r="AE744" s="48"/>
      <c r="AF744" s="48"/>
      <c r="AG744" s="48"/>
      <c r="AH744" s="48"/>
      <c r="AI744" s="48"/>
      <c r="AJ744" s="48"/>
      <c r="AK744" s="48"/>
      <c r="AL744" s="48"/>
      <c r="AM744" s="48"/>
      <c r="AN744" s="48"/>
      <c r="AO744" s="48"/>
      <c r="AP744" s="48"/>
      <c r="AQ744" s="48"/>
      <c r="AR744" s="48"/>
      <c r="AS744" s="48"/>
      <c r="AT744" s="48"/>
      <c r="AU744" s="48"/>
      <c r="AV744" s="48"/>
      <c r="AW744" s="48"/>
      <c r="AX744" s="48"/>
      <c r="AY744" s="48"/>
      <c r="AZ744" s="48"/>
      <c r="BA744" s="48"/>
    </row>
    <row r="745" spans="1:53" hidden="1" x14ac:dyDescent="0.3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  <c r="AB745" s="48"/>
      <c r="AC745" s="48"/>
      <c r="AD745" s="48"/>
      <c r="AE745" s="48"/>
      <c r="AF745" s="48"/>
      <c r="AG745" s="48"/>
      <c r="AH745" s="48"/>
      <c r="AI745" s="48"/>
      <c r="AJ745" s="48"/>
      <c r="AK745" s="48"/>
      <c r="AL745" s="48"/>
      <c r="AM745" s="48"/>
      <c r="AN745" s="48"/>
      <c r="AO745" s="48"/>
      <c r="AP745" s="48"/>
      <c r="AQ745" s="48"/>
      <c r="AR745" s="48"/>
      <c r="AS745" s="48"/>
      <c r="AT745" s="48"/>
      <c r="AU745" s="48"/>
      <c r="AV745" s="48"/>
      <c r="AW745" s="48"/>
      <c r="AX745" s="48"/>
      <c r="AY745" s="48"/>
      <c r="AZ745" s="48"/>
      <c r="BA745" s="48"/>
    </row>
    <row r="746" spans="1:53" hidden="1" x14ac:dyDescent="0.3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  <c r="AB746" s="48"/>
      <c r="AC746" s="48"/>
      <c r="AD746" s="48"/>
      <c r="AE746" s="48"/>
      <c r="AF746" s="48"/>
      <c r="AG746" s="48"/>
      <c r="AH746" s="48"/>
      <c r="AI746" s="48"/>
      <c r="AJ746" s="48"/>
      <c r="AK746" s="48"/>
      <c r="AL746" s="48"/>
      <c r="AM746" s="48"/>
      <c r="AN746" s="48"/>
      <c r="AO746" s="48"/>
      <c r="AP746" s="48"/>
      <c r="AQ746" s="48"/>
      <c r="AR746" s="48"/>
      <c r="AS746" s="48"/>
      <c r="AT746" s="48"/>
      <c r="AU746" s="48"/>
      <c r="AV746" s="48"/>
      <c r="AW746" s="48"/>
      <c r="AX746" s="48"/>
      <c r="AY746" s="48"/>
      <c r="AZ746" s="48"/>
      <c r="BA746" s="48"/>
    </row>
    <row r="747" spans="1:53" hidden="1" x14ac:dyDescent="0.3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  <c r="AB747" s="48"/>
      <c r="AC747" s="48"/>
      <c r="AD747" s="48"/>
      <c r="AE747" s="48"/>
      <c r="AF747" s="48"/>
      <c r="AG747" s="48"/>
      <c r="AH747" s="48"/>
      <c r="AI747" s="48"/>
      <c r="AJ747" s="48"/>
      <c r="AK747" s="48"/>
      <c r="AL747" s="48"/>
      <c r="AM747" s="48"/>
      <c r="AN747" s="48"/>
      <c r="AO747" s="48"/>
      <c r="AP747" s="48"/>
      <c r="AQ747" s="48"/>
      <c r="AR747" s="48"/>
      <c r="AS747" s="48"/>
      <c r="AT747" s="48"/>
      <c r="AU747" s="48"/>
      <c r="AV747" s="48"/>
      <c r="AW747" s="48"/>
      <c r="AX747" s="48"/>
      <c r="AY747" s="48"/>
      <c r="AZ747" s="48"/>
      <c r="BA747" s="48"/>
    </row>
    <row r="748" spans="1:53" hidden="1" x14ac:dyDescent="0.3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  <c r="AB748" s="48"/>
      <c r="AC748" s="48"/>
      <c r="AD748" s="48"/>
      <c r="AE748" s="48"/>
      <c r="AF748" s="48"/>
      <c r="AG748" s="48"/>
      <c r="AH748" s="48"/>
      <c r="AI748" s="48"/>
      <c r="AJ748" s="48"/>
      <c r="AK748" s="48"/>
      <c r="AL748" s="48"/>
      <c r="AM748" s="48"/>
      <c r="AN748" s="48"/>
      <c r="AO748" s="48"/>
      <c r="AP748" s="48"/>
      <c r="AQ748" s="48"/>
      <c r="AR748" s="48"/>
      <c r="AS748" s="48"/>
      <c r="AT748" s="48"/>
      <c r="AU748" s="48"/>
      <c r="AV748" s="48"/>
      <c r="AW748" s="48"/>
      <c r="AX748" s="48"/>
      <c r="AY748" s="48"/>
      <c r="AZ748" s="48"/>
      <c r="BA748" s="48"/>
    </row>
    <row r="749" spans="1:53" hidden="1" x14ac:dyDescent="0.3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  <c r="AB749" s="48"/>
      <c r="AC749" s="48"/>
      <c r="AD749" s="48"/>
      <c r="AE749" s="48"/>
      <c r="AF749" s="48"/>
      <c r="AG749" s="48"/>
      <c r="AH749" s="48"/>
      <c r="AI749" s="48"/>
      <c r="AJ749" s="48"/>
      <c r="AK749" s="48"/>
      <c r="AL749" s="48"/>
      <c r="AM749" s="48"/>
      <c r="AN749" s="48"/>
      <c r="AO749" s="48"/>
      <c r="AP749" s="48"/>
      <c r="AQ749" s="48"/>
      <c r="AR749" s="48"/>
      <c r="AS749" s="48"/>
      <c r="AT749" s="48"/>
      <c r="AU749" s="48"/>
      <c r="AV749" s="48"/>
      <c r="AW749" s="48"/>
      <c r="AX749" s="48"/>
      <c r="AY749" s="48"/>
      <c r="AZ749" s="48"/>
      <c r="BA749" s="48"/>
    </row>
    <row r="750" spans="1:53" hidden="1" x14ac:dyDescent="0.3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  <c r="AB750" s="48"/>
      <c r="AC750" s="48"/>
      <c r="AD750" s="48"/>
      <c r="AE750" s="48"/>
      <c r="AF750" s="48"/>
      <c r="AG750" s="48"/>
      <c r="AH750" s="48"/>
      <c r="AI750" s="48"/>
      <c r="AJ750" s="48"/>
      <c r="AK750" s="48"/>
      <c r="AL750" s="48"/>
      <c r="AM750" s="48"/>
      <c r="AN750" s="48"/>
      <c r="AO750" s="48"/>
      <c r="AP750" s="48"/>
      <c r="AQ750" s="48"/>
      <c r="AR750" s="48"/>
      <c r="AS750" s="48"/>
      <c r="AT750" s="48"/>
      <c r="AU750" s="48"/>
      <c r="AV750" s="48"/>
      <c r="AW750" s="48"/>
      <c r="AX750" s="48"/>
      <c r="AY750" s="48"/>
      <c r="AZ750" s="48"/>
      <c r="BA750" s="48"/>
    </row>
    <row r="751" spans="1:53" hidden="1" x14ac:dyDescent="0.3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  <c r="AB751" s="48"/>
      <c r="AC751" s="48"/>
      <c r="AD751" s="48"/>
      <c r="AE751" s="48"/>
      <c r="AF751" s="48"/>
      <c r="AG751" s="48"/>
      <c r="AH751" s="48"/>
      <c r="AI751" s="48"/>
      <c r="AJ751" s="48"/>
      <c r="AK751" s="48"/>
      <c r="AL751" s="48"/>
      <c r="AM751" s="48"/>
      <c r="AN751" s="48"/>
      <c r="AO751" s="48"/>
      <c r="AP751" s="48"/>
      <c r="AQ751" s="48"/>
      <c r="AR751" s="48"/>
      <c r="AS751" s="48"/>
      <c r="AT751" s="48"/>
      <c r="AU751" s="48"/>
      <c r="AV751" s="48"/>
      <c r="AW751" s="48"/>
      <c r="AX751" s="48"/>
      <c r="AY751" s="48"/>
      <c r="AZ751" s="48"/>
      <c r="BA751" s="48"/>
    </row>
    <row r="752" spans="1:53" hidden="1" x14ac:dyDescent="0.3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  <c r="AB752" s="48"/>
      <c r="AC752" s="48"/>
      <c r="AD752" s="48"/>
      <c r="AE752" s="48"/>
      <c r="AF752" s="48"/>
      <c r="AG752" s="48"/>
      <c r="AH752" s="48"/>
      <c r="AI752" s="48"/>
      <c r="AJ752" s="48"/>
      <c r="AK752" s="48"/>
      <c r="AL752" s="48"/>
      <c r="AM752" s="48"/>
      <c r="AN752" s="48"/>
      <c r="AO752" s="48"/>
      <c r="AP752" s="48"/>
      <c r="AQ752" s="48"/>
      <c r="AR752" s="48"/>
      <c r="AS752" s="48"/>
      <c r="AT752" s="48"/>
      <c r="AU752" s="48"/>
      <c r="AV752" s="48"/>
      <c r="AW752" s="48"/>
      <c r="AX752" s="48"/>
      <c r="AY752" s="48"/>
      <c r="AZ752" s="48"/>
      <c r="BA752" s="48"/>
    </row>
    <row r="753" spans="1:53" hidden="1" x14ac:dyDescent="0.3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  <c r="AB753" s="48"/>
      <c r="AC753" s="48"/>
      <c r="AD753" s="48"/>
      <c r="AE753" s="48"/>
      <c r="AF753" s="48"/>
      <c r="AG753" s="48"/>
      <c r="AH753" s="48"/>
      <c r="AI753" s="48"/>
      <c r="AJ753" s="48"/>
      <c r="AK753" s="48"/>
      <c r="AL753" s="48"/>
      <c r="AM753" s="48"/>
      <c r="AN753" s="48"/>
      <c r="AO753" s="48"/>
      <c r="AP753" s="48"/>
      <c r="AQ753" s="48"/>
      <c r="AR753" s="48"/>
      <c r="AS753" s="48"/>
      <c r="AT753" s="48"/>
      <c r="AU753" s="48"/>
      <c r="AV753" s="48"/>
      <c r="AW753" s="48"/>
      <c r="AX753" s="48"/>
      <c r="AY753" s="48"/>
      <c r="AZ753" s="48"/>
      <c r="BA753" s="48"/>
    </row>
    <row r="754" spans="1:53" hidden="1" x14ac:dyDescent="0.3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  <c r="AB754" s="48"/>
      <c r="AC754" s="48"/>
      <c r="AD754" s="48"/>
      <c r="AE754" s="48"/>
      <c r="AF754" s="48"/>
      <c r="AG754" s="48"/>
      <c r="AH754" s="48"/>
      <c r="AI754" s="48"/>
      <c r="AJ754" s="48"/>
      <c r="AK754" s="48"/>
      <c r="AL754" s="48"/>
      <c r="AM754" s="48"/>
      <c r="AN754" s="48"/>
      <c r="AO754" s="48"/>
      <c r="AP754" s="48"/>
      <c r="AQ754" s="48"/>
      <c r="AR754" s="48"/>
      <c r="AS754" s="48"/>
      <c r="AT754" s="48"/>
      <c r="AU754" s="48"/>
      <c r="AV754" s="48"/>
      <c r="AW754" s="48"/>
      <c r="AX754" s="48"/>
      <c r="AY754" s="48"/>
      <c r="AZ754" s="48"/>
      <c r="BA754" s="48"/>
    </row>
    <row r="755" spans="1:53" hidden="1" x14ac:dyDescent="0.3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  <c r="AB755" s="48"/>
      <c r="AC755" s="48"/>
      <c r="AD755" s="48"/>
      <c r="AE755" s="48"/>
      <c r="AF755" s="48"/>
      <c r="AG755" s="48"/>
      <c r="AH755" s="48"/>
      <c r="AI755" s="48"/>
      <c r="AJ755" s="48"/>
      <c r="AK755" s="48"/>
      <c r="AL755" s="48"/>
      <c r="AM755" s="48"/>
      <c r="AN755" s="48"/>
      <c r="AO755" s="48"/>
      <c r="AP755" s="48"/>
      <c r="AQ755" s="48"/>
      <c r="AR755" s="48"/>
      <c r="AS755" s="48"/>
      <c r="AT755" s="48"/>
      <c r="AU755" s="48"/>
      <c r="AV755" s="48"/>
      <c r="AW755" s="48"/>
      <c r="AX755" s="48"/>
      <c r="AY755" s="48"/>
      <c r="AZ755" s="48"/>
      <c r="BA755" s="48"/>
    </row>
    <row r="756" spans="1:53" hidden="1" x14ac:dyDescent="0.3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  <c r="AB756" s="48"/>
      <c r="AC756" s="48"/>
      <c r="AD756" s="48"/>
      <c r="AE756" s="48"/>
      <c r="AF756" s="48"/>
      <c r="AG756" s="48"/>
      <c r="AH756" s="48"/>
      <c r="AI756" s="48"/>
      <c r="AJ756" s="48"/>
      <c r="AK756" s="48"/>
      <c r="AL756" s="48"/>
      <c r="AM756" s="48"/>
      <c r="AN756" s="48"/>
      <c r="AO756" s="48"/>
      <c r="AP756" s="48"/>
      <c r="AQ756" s="48"/>
      <c r="AR756" s="48"/>
      <c r="AS756" s="48"/>
      <c r="AT756" s="48"/>
      <c r="AU756" s="48"/>
      <c r="AV756" s="48"/>
      <c r="AW756" s="48"/>
      <c r="AX756" s="48"/>
      <c r="AY756" s="48"/>
      <c r="AZ756" s="48"/>
      <c r="BA756" s="48"/>
    </row>
    <row r="757" spans="1:53" hidden="1" x14ac:dyDescent="0.3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  <c r="AB757" s="48"/>
      <c r="AC757" s="48"/>
      <c r="AD757" s="48"/>
      <c r="AE757" s="48"/>
      <c r="AF757" s="48"/>
      <c r="AG757" s="48"/>
      <c r="AH757" s="48"/>
      <c r="AI757" s="48"/>
      <c r="AJ757" s="48"/>
      <c r="AK757" s="48"/>
      <c r="AL757" s="48"/>
      <c r="AM757" s="48"/>
      <c r="AN757" s="48"/>
      <c r="AO757" s="48"/>
      <c r="AP757" s="48"/>
      <c r="AQ757" s="48"/>
      <c r="AR757" s="48"/>
      <c r="AS757" s="48"/>
      <c r="AT757" s="48"/>
      <c r="AU757" s="48"/>
      <c r="AV757" s="48"/>
      <c r="AW757" s="48"/>
      <c r="AX757" s="48"/>
      <c r="AY757" s="48"/>
      <c r="AZ757" s="48"/>
      <c r="BA757" s="48"/>
    </row>
    <row r="758" spans="1:53" hidden="1" x14ac:dyDescent="0.3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  <c r="AB758" s="48"/>
      <c r="AC758" s="48"/>
      <c r="AD758" s="48"/>
      <c r="AE758" s="48"/>
      <c r="AF758" s="48"/>
      <c r="AG758" s="48"/>
      <c r="AH758" s="48"/>
      <c r="AI758" s="48"/>
      <c r="AJ758" s="48"/>
      <c r="AK758" s="48"/>
      <c r="AL758" s="48"/>
      <c r="AM758" s="48"/>
      <c r="AN758" s="48"/>
      <c r="AO758" s="48"/>
      <c r="AP758" s="48"/>
      <c r="AQ758" s="48"/>
      <c r="AR758" s="48"/>
      <c r="AS758" s="48"/>
      <c r="AT758" s="48"/>
      <c r="AU758" s="48"/>
      <c r="AV758" s="48"/>
      <c r="AW758" s="48"/>
      <c r="AX758" s="48"/>
      <c r="AY758" s="48"/>
      <c r="AZ758" s="48"/>
      <c r="BA758" s="48"/>
    </row>
    <row r="759" spans="1:53" hidden="1" x14ac:dyDescent="0.3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  <c r="AB759" s="48"/>
      <c r="AC759" s="48"/>
      <c r="AD759" s="48"/>
      <c r="AE759" s="48"/>
      <c r="AF759" s="48"/>
      <c r="AG759" s="48"/>
      <c r="AH759" s="48"/>
      <c r="AI759" s="48"/>
      <c r="AJ759" s="48"/>
      <c r="AK759" s="48"/>
      <c r="AL759" s="48"/>
      <c r="AM759" s="48"/>
      <c r="AN759" s="48"/>
      <c r="AO759" s="48"/>
      <c r="AP759" s="48"/>
      <c r="AQ759" s="48"/>
      <c r="AR759" s="48"/>
      <c r="AS759" s="48"/>
      <c r="AT759" s="48"/>
      <c r="AU759" s="48"/>
      <c r="AV759" s="48"/>
      <c r="AW759" s="48"/>
      <c r="AX759" s="48"/>
      <c r="AY759" s="48"/>
      <c r="AZ759" s="48"/>
      <c r="BA759" s="48"/>
    </row>
    <row r="760" spans="1:53" hidden="1" x14ac:dyDescent="0.3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  <c r="AB760" s="48"/>
      <c r="AC760" s="48"/>
      <c r="AD760" s="48"/>
      <c r="AE760" s="48"/>
      <c r="AF760" s="48"/>
      <c r="AG760" s="48"/>
      <c r="AH760" s="48"/>
      <c r="AI760" s="48"/>
      <c r="AJ760" s="48"/>
      <c r="AK760" s="48"/>
      <c r="AL760" s="48"/>
      <c r="AM760" s="48"/>
      <c r="AN760" s="48"/>
      <c r="AO760" s="48"/>
      <c r="AP760" s="48"/>
      <c r="AQ760" s="48"/>
      <c r="AR760" s="48"/>
      <c r="AS760" s="48"/>
      <c r="AT760" s="48"/>
      <c r="AU760" s="48"/>
      <c r="AV760" s="48"/>
      <c r="AW760" s="48"/>
      <c r="AX760" s="48"/>
      <c r="AY760" s="48"/>
      <c r="AZ760" s="48"/>
      <c r="BA760" s="48"/>
    </row>
    <row r="761" spans="1:53" hidden="1" x14ac:dyDescent="0.3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  <c r="AB761" s="48"/>
      <c r="AC761" s="48"/>
      <c r="AD761" s="48"/>
      <c r="AE761" s="48"/>
      <c r="AF761" s="48"/>
      <c r="AG761" s="48"/>
      <c r="AH761" s="48"/>
      <c r="AI761" s="48"/>
      <c r="AJ761" s="48"/>
      <c r="AK761" s="48"/>
      <c r="AL761" s="48"/>
      <c r="AM761" s="48"/>
      <c r="AN761" s="48"/>
      <c r="AO761" s="48"/>
      <c r="AP761" s="48"/>
      <c r="AQ761" s="48"/>
      <c r="AR761" s="48"/>
      <c r="AS761" s="48"/>
      <c r="AT761" s="48"/>
      <c r="AU761" s="48"/>
      <c r="AV761" s="48"/>
      <c r="AW761" s="48"/>
      <c r="AX761" s="48"/>
      <c r="AY761" s="48"/>
      <c r="AZ761" s="48"/>
      <c r="BA761" s="48"/>
    </row>
    <row r="762" spans="1:53" hidden="1" x14ac:dyDescent="0.3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  <c r="AB762" s="48"/>
      <c r="AC762" s="48"/>
      <c r="AD762" s="48"/>
      <c r="AE762" s="48"/>
      <c r="AF762" s="48"/>
      <c r="AG762" s="48"/>
      <c r="AH762" s="48"/>
      <c r="AI762" s="48"/>
      <c r="AJ762" s="48"/>
      <c r="AK762" s="48"/>
      <c r="AL762" s="48"/>
      <c r="AM762" s="48"/>
      <c r="AN762" s="48"/>
      <c r="AO762" s="48"/>
      <c r="AP762" s="48"/>
      <c r="AQ762" s="48"/>
      <c r="AR762" s="48"/>
      <c r="AS762" s="48"/>
      <c r="AT762" s="48"/>
      <c r="AU762" s="48"/>
      <c r="AV762" s="48"/>
      <c r="AW762" s="48"/>
      <c r="AX762" s="48"/>
      <c r="AY762" s="48"/>
      <c r="AZ762" s="48"/>
      <c r="BA762" s="48"/>
    </row>
    <row r="763" spans="1:53" hidden="1" x14ac:dyDescent="0.3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  <c r="AB763" s="48"/>
      <c r="AC763" s="48"/>
      <c r="AD763" s="48"/>
      <c r="AE763" s="48"/>
      <c r="AF763" s="48"/>
      <c r="AG763" s="48"/>
      <c r="AH763" s="48"/>
      <c r="AI763" s="48"/>
      <c r="AJ763" s="48"/>
      <c r="AK763" s="48"/>
      <c r="AL763" s="48"/>
      <c r="AM763" s="48"/>
      <c r="AN763" s="48"/>
      <c r="AO763" s="48"/>
      <c r="AP763" s="48"/>
      <c r="AQ763" s="48"/>
      <c r="AR763" s="48"/>
      <c r="AS763" s="48"/>
      <c r="AT763" s="48"/>
      <c r="AU763" s="48"/>
      <c r="AV763" s="48"/>
      <c r="AW763" s="48"/>
      <c r="AX763" s="48"/>
      <c r="AY763" s="48"/>
      <c r="AZ763" s="48"/>
      <c r="BA763" s="48"/>
    </row>
    <row r="764" spans="1:53" hidden="1" x14ac:dyDescent="0.3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  <c r="AB764" s="48"/>
      <c r="AC764" s="48"/>
      <c r="AD764" s="48"/>
      <c r="AE764" s="48"/>
      <c r="AF764" s="48"/>
      <c r="AG764" s="48"/>
      <c r="AH764" s="48"/>
      <c r="AI764" s="48"/>
      <c r="AJ764" s="48"/>
      <c r="AK764" s="48"/>
      <c r="AL764" s="48"/>
      <c r="AM764" s="48"/>
      <c r="AN764" s="48"/>
      <c r="AO764" s="48"/>
      <c r="AP764" s="48"/>
      <c r="AQ764" s="48"/>
      <c r="AR764" s="48"/>
      <c r="AS764" s="48"/>
      <c r="AT764" s="48"/>
      <c r="AU764" s="48"/>
      <c r="AV764" s="48"/>
      <c r="AW764" s="48"/>
      <c r="AX764" s="48"/>
      <c r="AY764" s="48"/>
      <c r="AZ764" s="48"/>
      <c r="BA764" s="48"/>
    </row>
    <row r="765" spans="1:53" hidden="1" x14ac:dyDescent="0.3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  <c r="AB765" s="48"/>
      <c r="AC765" s="48"/>
      <c r="AD765" s="48"/>
      <c r="AE765" s="48"/>
      <c r="AF765" s="48"/>
      <c r="AG765" s="48"/>
      <c r="AH765" s="48"/>
      <c r="AI765" s="48"/>
      <c r="AJ765" s="48"/>
      <c r="AK765" s="48"/>
      <c r="AL765" s="48"/>
      <c r="AM765" s="48"/>
      <c r="AN765" s="48"/>
      <c r="AO765" s="48"/>
      <c r="AP765" s="48"/>
      <c r="AQ765" s="48"/>
      <c r="AR765" s="48"/>
      <c r="AS765" s="48"/>
      <c r="AT765" s="48"/>
      <c r="AU765" s="48"/>
      <c r="AV765" s="48"/>
      <c r="AW765" s="48"/>
      <c r="AX765" s="48"/>
      <c r="AY765" s="48"/>
      <c r="AZ765" s="48"/>
      <c r="BA765" s="48"/>
    </row>
    <row r="766" spans="1:53" hidden="1" x14ac:dyDescent="0.3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  <c r="AB766" s="48"/>
      <c r="AC766" s="48"/>
      <c r="AD766" s="48"/>
      <c r="AE766" s="48"/>
      <c r="AF766" s="48"/>
      <c r="AG766" s="48"/>
      <c r="AH766" s="48"/>
      <c r="AI766" s="48"/>
      <c r="AJ766" s="48"/>
      <c r="AK766" s="48"/>
      <c r="AL766" s="48"/>
      <c r="AM766" s="48"/>
      <c r="AN766" s="48"/>
      <c r="AO766" s="48"/>
      <c r="AP766" s="48"/>
      <c r="AQ766" s="48"/>
      <c r="AR766" s="48"/>
      <c r="AS766" s="48"/>
      <c r="AT766" s="48"/>
      <c r="AU766" s="48"/>
      <c r="AV766" s="48"/>
      <c r="AW766" s="48"/>
      <c r="AX766" s="48"/>
      <c r="AY766" s="48"/>
      <c r="AZ766" s="48"/>
      <c r="BA766" s="48"/>
    </row>
    <row r="767" spans="1:53" hidden="1" x14ac:dyDescent="0.3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  <c r="AB767" s="48"/>
      <c r="AC767" s="48"/>
      <c r="AD767" s="48"/>
      <c r="AE767" s="48"/>
      <c r="AF767" s="48"/>
      <c r="AG767" s="48"/>
      <c r="AH767" s="48"/>
      <c r="AI767" s="48"/>
      <c r="AJ767" s="48"/>
      <c r="AK767" s="48"/>
      <c r="AL767" s="48"/>
      <c r="AM767" s="48"/>
      <c r="AN767" s="48"/>
      <c r="AO767" s="48"/>
      <c r="AP767" s="48"/>
      <c r="AQ767" s="48"/>
      <c r="AR767" s="48"/>
      <c r="AS767" s="48"/>
      <c r="AT767" s="48"/>
      <c r="AU767" s="48"/>
      <c r="AV767" s="48"/>
      <c r="AW767" s="48"/>
      <c r="AX767" s="48"/>
      <c r="AY767" s="48"/>
      <c r="AZ767" s="48"/>
      <c r="BA767" s="48"/>
    </row>
    <row r="768" spans="1:53" hidden="1" x14ac:dyDescent="0.3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  <c r="AB768" s="48"/>
      <c r="AC768" s="48"/>
      <c r="AD768" s="48"/>
      <c r="AE768" s="48"/>
      <c r="AF768" s="48"/>
      <c r="AG768" s="48"/>
      <c r="AH768" s="48"/>
      <c r="AI768" s="48"/>
      <c r="AJ768" s="48"/>
      <c r="AK768" s="48"/>
      <c r="AL768" s="48"/>
      <c r="AM768" s="48"/>
      <c r="AN768" s="48"/>
      <c r="AO768" s="48"/>
      <c r="AP768" s="48"/>
      <c r="AQ768" s="48"/>
      <c r="AR768" s="48"/>
      <c r="AS768" s="48"/>
      <c r="AT768" s="48"/>
      <c r="AU768" s="48"/>
      <c r="AV768" s="48"/>
      <c r="AW768" s="48"/>
      <c r="AX768" s="48"/>
      <c r="AY768" s="48"/>
      <c r="AZ768" s="48"/>
      <c r="BA768" s="48"/>
    </row>
    <row r="769" spans="1:53" hidden="1" x14ac:dyDescent="0.3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  <c r="AB769" s="48"/>
      <c r="AC769" s="48"/>
      <c r="AD769" s="48"/>
      <c r="AE769" s="48"/>
      <c r="AF769" s="48"/>
      <c r="AG769" s="48"/>
      <c r="AH769" s="48"/>
      <c r="AI769" s="48"/>
      <c r="AJ769" s="48"/>
      <c r="AK769" s="48"/>
      <c r="AL769" s="48"/>
      <c r="AM769" s="48"/>
      <c r="AN769" s="48"/>
      <c r="AO769" s="48"/>
      <c r="AP769" s="48"/>
      <c r="AQ769" s="48"/>
      <c r="AR769" s="48"/>
      <c r="AS769" s="48"/>
      <c r="AT769" s="48"/>
      <c r="AU769" s="48"/>
      <c r="AV769" s="48"/>
      <c r="AW769" s="48"/>
      <c r="AX769" s="48"/>
      <c r="AY769" s="48"/>
      <c r="AZ769" s="48"/>
      <c r="BA769" s="48"/>
    </row>
    <row r="770" spans="1:53" hidden="1" x14ac:dyDescent="0.3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  <c r="AB770" s="48"/>
      <c r="AC770" s="48"/>
      <c r="AD770" s="48"/>
      <c r="AE770" s="48"/>
      <c r="AF770" s="48"/>
      <c r="AG770" s="48"/>
      <c r="AH770" s="48"/>
      <c r="AI770" s="48"/>
      <c r="AJ770" s="48"/>
      <c r="AK770" s="48"/>
      <c r="AL770" s="48"/>
      <c r="AM770" s="48"/>
      <c r="AN770" s="48"/>
      <c r="AO770" s="48"/>
      <c r="AP770" s="48"/>
      <c r="AQ770" s="48"/>
      <c r="AR770" s="48"/>
      <c r="AS770" s="48"/>
      <c r="AT770" s="48"/>
      <c r="AU770" s="48"/>
      <c r="AV770" s="48"/>
      <c r="AW770" s="48"/>
      <c r="AX770" s="48"/>
      <c r="AY770" s="48"/>
      <c r="AZ770" s="48"/>
      <c r="BA770" s="48"/>
    </row>
    <row r="771" spans="1:53" hidden="1" x14ac:dyDescent="0.3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  <c r="AB771" s="48"/>
      <c r="AC771" s="48"/>
      <c r="AD771" s="48"/>
      <c r="AE771" s="48"/>
      <c r="AF771" s="48"/>
      <c r="AG771" s="48"/>
      <c r="AH771" s="48"/>
      <c r="AI771" s="48"/>
      <c r="AJ771" s="48"/>
      <c r="AK771" s="48"/>
      <c r="AL771" s="48"/>
      <c r="AM771" s="48"/>
      <c r="AN771" s="48"/>
      <c r="AO771" s="48"/>
      <c r="AP771" s="48"/>
      <c r="AQ771" s="48"/>
      <c r="AR771" s="48"/>
      <c r="AS771" s="48"/>
      <c r="AT771" s="48"/>
      <c r="AU771" s="48"/>
      <c r="AV771" s="48"/>
      <c r="AW771" s="48"/>
      <c r="AX771" s="48"/>
      <c r="AY771" s="48"/>
      <c r="AZ771" s="48"/>
      <c r="BA771" s="48"/>
    </row>
    <row r="772" spans="1:53" hidden="1" x14ac:dyDescent="0.3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  <c r="AB772" s="48"/>
      <c r="AC772" s="48"/>
      <c r="AD772" s="48"/>
      <c r="AE772" s="48"/>
      <c r="AF772" s="48"/>
      <c r="AG772" s="48"/>
      <c r="AH772" s="48"/>
      <c r="AI772" s="48"/>
      <c r="AJ772" s="48"/>
      <c r="AK772" s="48"/>
      <c r="AL772" s="48"/>
      <c r="AM772" s="48"/>
      <c r="AN772" s="48"/>
      <c r="AO772" s="48"/>
      <c r="AP772" s="48"/>
      <c r="AQ772" s="48"/>
      <c r="AR772" s="48"/>
      <c r="AS772" s="48"/>
      <c r="AT772" s="48"/>
      <c r="AU772" s="48"/>
      <c r="AV772" s="48"/>
      <c r="AW772" s="48"/>
      <c r="AX772" s="48"/>
      <c r="AY772" s="48"/>
      <c r="AZ772" s="48"/>
      <c r="BA772" s="48"/>
    </row>
    <row r="773" spans="1:53" hidden="1" x14ac:dyDescent="0.3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  <c r="AB773" s="48"/>
      <c r="AC773" s="48"/>
      <c r="AD773" s="48"/>
      <c r="AE773" s="48"/>
      <c r="AF773" s="48"/>
      <c r="AG773" s="48"/>
      <c r="AH773" s="48"/>
      <c r="AI773" s="48"/>
      <c r="AJ773" s="48"/>
      <c r="AK773" s="48"/>
      <c r="AL773" s="48"/>
      <c r="AM773" s="48"/>
      <c r="AN773" s="48"/>
      <c r="AO773" s="48"/>
      <c r="AP773" s="48"/>
      <c r="AQ773" s="48"/>
      <c r="AR773" s="48"/>
      <c r="AS773" s="48"/>
      <c r="AT773" s="48"/>
      <c r="AU773" s="48"/>
      <c r="AV773" s="48"/>
      <c r="AW773" s="48"/>
      <c r="AX773" s="48"/>
      <c r="AY773" s="48"/>
      <c r="AZ773" s="48"/>
      <c r="BA773" s="48"/>
    </row>
    <row r="774" spans="1:53" hidden="1" x14ac:dyDescent="0.3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  <c r="AB774" s="48"/>
      <c r="AC774" s="48"/>
      <c r="AD774" s="48"/>
      <c r="AE774" s="48"/>
      <c r="AF774" s="48"/>
      <c r="AG774" s="48"/>
      <c r="AH774" s="48"/>
      <c r="AI774" s="48"/>
      <c r="AJ774" s="48"/>
      <c r="AK774" s="48"/>
      <c r="AL774" s="48"/>
      <c r="AM774" s="48"/>
      <c r="AN774" s="48"/>
      <c r="AO774" s="48"/>
      <c r="AP774" s="48"/>
      <c r="AQ774" s="48"/>
      <c r="AR774" s="48"/>
      <c r="AS774" s="48"/>
      <c r="AT774" s="48"/>
      <c r="AU774" s="48"/>
      <c r="AV774" s="48"/>
      <c r="AW774" s="48"/>
      <c r="AX774" s="48"/>
      <c r="AY774" s="48"/>
      <c r="AZ774" s="48"/>
      <c r="BA774" s="48"/>
    </row>
    <row r="775" spans="1:53" hidden="1" x14ac:dyDescent="0.3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  <c r="AB775" s="48"/>
      <c r="AC775" s="48"/>
      <c r="AD775" s="48"/>
      <c r="AE775" s="48"/>
      <c r="AF775" s="48"/>
      <c r="AG775" s="48"/>
      <c r="AH775" s="48"/>
      <c r="AI775" s="48"/>
      <c r="AJ775" s="48"/>
      <c r="AK775" s="48"/>
      <c r="AL775" s="48"/>
      <c r="AM775" s="48"/>
      <c r="AN775" s="48"/>
      <c r="AO775" s="48"/>
      <c r="AP775" s="48"/>
      <c r="AQ775" s="48"/>
      <c r="AR775" s="48"/>
      <c r="AS775" s="48"/>
      <c r="AT775" s="48"/>
      <c r="AU775" s="48"/>
      <c r="AV775" s="48"/>
      <c r="AW775" s="48"/>
      <c r="AX775" s="48"/>
      <c r="AY775" s="48"/>
      <c r="AZ775" s="48"/>
      <c r="BA775" s="48"/>
    </row>
    <row r="776" spans="1:53" hidden="1" x14ac:dyDescent="0.3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  <c r="AB776" s="48"/>
      <c r="AC776" s="48"/>
      <c r="AD776" s="48"/>
      <c r="AE776" s="48"/>
      <c r="AF776" s="48"/>
      <c r="AG776" s="48"/>
      <c r="AH776" s="48"/>
      <c r="AI776" s="48"/>
      <c r="AJ776" s="48"/>
      <c r="AK776" s="48"/>
      <c r="AL776" s="48"/>
      <c r="AM776" s="48"/>
      <c r="AN776" s="48"/>
      <c r="AO776" s="48"/>
      <c r="AP776" s="48"/>
      <c r="AQ776" s="48"/>
      <c r="AR776" s="48"/>
      <c r="AS776" s="48"/>
      <c r="AT776" s="48"/>
      <c r="AU776" s="48"/>
      <c r="AV776" s="48"/>
      <c r="AW776" s="48"/>
      <c r="AX776" s="48"/>
      <c r="AY776" s="48"/>
      <c r="AZ776" s="48"/>
      <c r="BA776" s="48"/>
    </row>
    <row r="777" spans="1:53" hidden="1" x14ac:dyDescent="0.3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  <c r="AB777" s="48"/>
      <c r="AC777" s="48"/>
      <c r="AD777" s="48"/>
      <c r="AE777" s="48"/>
      <c r="AF777" s="48"/>
      <c r="AG777" s="48"/>
      <c r="AH777" s="48"/>
      <c r="AI777" s="48"/>
      <c r="AJ777" s="48"/>
      <c r="AK777" s="48"/>
      <c r="AL777" s="48"/>
      <c r="AM777" s="48"/>
      <c r="AN777" s="48"/>
      <c r="AO777" s="48"/>
      <c r="AP777" s="48"/>
      <c r="AQ777" s="48"/>
      <c r="AR777" s="48"/>
      <c r="AS777" s="48"/>
      <c r="AT777" s="48"/>
      <c r="AU777" s="48"/>
      <c r="AV777" s="48"/>
      <c r="AW777" s="48"/>
      <c r="AX777" s="48"/>
      <c r="AY777" s="48"/>
      <c r="AZ777" s="48"/>
      <c r="BA777" s="48"/>
    </row>
    <row r="778" spans="1:53" hidden="1" x14ac:dyDescent="0.3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  <c r="AB778" s="48"/>
      <c r="AC778" s="48"/>
      <c r="AD778" s="48"/>
      <c r="AE778" s="48"/>
      <c r="AF778" s="48"/>
      <c r="AG778" s="48"/>
      <c r="AH778" s="48"/>
      <c r="AI778" s="48"/>
      <c r="AJ778" s="48"/>
      <c r="AK778" s="48"/>
      <c r="AL778" s="48"/>
      <c r="AM778" s="48"/>
      <c r="AN778" s="48"/>
      <c r="AO778" s="48"/>
      <c r="AP778" s="48"/>
      <c r="AQ778" s="48"/>
      <c r="AR778" s="48"/>
      <c r="AS778" s="48"/>
      <c r="AT778" s="48"/>
      <c r="AU778" s="48"/>
      <c r="AV778" s="48"/>
      <c r="AW778" s="48"/>
      <c r="AX778" s="48"/>
      <c r="AY778" s="48"/>
      <c r="AZ778" s="48"/>
      <c r="BA778" s="48"/>
    </row>
    <row r="779" spans="1:53" hidden="1" x14ac:dyDescent="0.3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  <c r="AB779" s="48"/>
      <c r="AC779" s="48"/>
      <c r="AD779" s="48"/>
      <c r="AE779" s="48"/>
      <c r="AF779" s="48"/>
      <c r="AG779" s="48"/>
      <c r="AH779" s="48"/>
      <c r="AI779" s="48"/>
      <c r="AJ779" s="48"/>
      <c r="AK779" s="48"/>
      <c r="AL779" s="48"/>
      <c r="AM779" s="48"/>
      <c r="AN779" s="48"/>
      <c r="AO779" s="48"/>
      <c r="AP779" s="48"/>
      <c r="AQ779" s="48"/>
      <c r="AR779" s="48"/>
      <c r="AS779" s="48"/>
      <c r="AT779" s="48"/>
      <c r="AU779" s="48"/>
      <c r="AV779" s="48"/>
      <c r="AW779" s="48"/>
      <c r="AX779" s="48"/>
      <c r="AY779" s="48"/>
      <c r="AZ779" s="48"/>
      <c r="BA779" s="48"/>
    </row>
    <row r="780" spans="1:53" hidden="1" x14ac:dyDescent="0.3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  <c r="AB780" s="48"/>
      <c r="AC780" s="48"/>
      <c r="AD780" s="48"/>
      <c r="AE780" s="48"/>
      <c r="AF780" s="48"/>
      <c r="AG780" s="48"/>
      <c r="AH780" s="48"/>
      <c r="AI780" s="48"/>
      <c r="AJ780" s="48"/>
      <c r="AK780" s="48"/>
      <c r="AL780" s="48"/>
      <c r="AM780" s="48"/>
      <c r="AN780" s="48"/>
      <c r="AO780" s="48"/>
      <c r="AP780" s="48"/>
      <c r="AQ780" s="48"/>
      <c r="AR780" s="48"/>
      <c r="AS780" s="48"/>
      <c r="AT780" s="48"/>
      <c r="AU780" s="48"/>
      <c r="AV780" s="48"/>
      <c r="AW780" s="48"/>
      <c r="AX780" s="48"/>
      <c r="AY780" s="48"/>
      <c r="AZ780" s="48"/>
      <c r="BA780" s="48"/>
    </row>
    <row r="781" spans="1:53" hidden="1" x14ac:dyDescent="0.3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  <c r="AB781" s="48"/>
      <c r="AC781" s="48"/>
      <c r="AD781" s="48"/>
      <c r="AE781" s="48"/>
      <c r="AF781" s="48"/>
      <c r="AG781" s="48"/>
      <c r="AH781" s="48"/>
      <c r="AI781" s="48"/>
      <c r="AJ781" s="48"/>
      <c r="AK781" s="48"/>
      <c r="AL781" s="48"/>
      <c r="AM781" s="48"/>
      <c r="AN781" s="48"/>
      <c r="AO781" s="48"/>
      <c r="AP781" s="48"/>
      <c r="AQ781" s="48"/>
      <c r="AR781" s="48"/>
      <c r="AS781" s="48"/>
      <c r="AT781" s="48"/>
      <c r="AU781" s="48"/>
      <c r="AV781" s="48"/>
      <c r="AW781" s="48"/>
      <c r="AX781" s="48"/>
      <c r="AY781" s="48"/>
      <c r="AZ781" s="48"/>
      <c r="BA781" s="48"/>
    </row>
    <row r="782" spans="1:53" hidden="1" x14ac:dyDescent="0.3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  <c r="AB782" s="48"/>
      <c r="AC782" s="48"/>
      <c r="AD782" s="48"/>
      <c r="AE782" s="48"/>
      <c r="AF782" s="48"/>
      <c r="AG782" s="48"/>
      <c r="AH782" s="48"/>
      <c r="AI782" s="48"/>
      <c r="AJ782" s="48"/>
      <c r="AK782" s="48"/>
      <c r="AL782" s="48"/>
      <c r="AM782" s="48"/>
      <c r="AN782" s="48"/>
      <c r="AO782" s="48"/>
      <c r="AP782" s="48"/>
      <c r="AQ782" s="48"/>
      <c r="AR782" s="48"/>
      <c r="AS782" s="48"/>
      <c r="AT782" s="48"/>
      <c r="AU782" s="48"/>
      <c r="AV782" s="48"/>
      <c r="AW782" s="48"/>
      <c r="AX782" s="48"/>
      <c r="AY782" s="48"/>
      <c r="AZ782" s="48"/>
      <c r="BA782" s="48"/>
    </row>
    <row r="783" spans="1:53" hidden="1" x14ac:dyDescent="0.3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  <c r="AB783" s="48"/>
      <c r="AC783" s="48"/>
      <c r="AD783" s="48"/>
      <c r="AE783" s="48"/>
      <c r="AF783" s="48"/>
      <c r="AG783" s="48"/>
      <c r="AH783" s="48"/>
      <c r="AI783" s="48"/>
      <c r="AJ783" s="48"/>
      <c r="AK783" s="48"/>
      <c r="AL783" s="48"/>
      <c r="AM783" s="48"/>
      <c r="AN783" s="48"/>
      <c r="AO783" s="48"/>
      <c r="AP783" s="48"/>
      <c r="AQ783" s="48"/>
      <c r="AR783" s="48"/>
      <c r="AS783" s="48"/>
      <c r="AT783" s="48"/>
      <c r="AU783" s="48"/>
      <c r="AV783" s="48"/>
      <c r="AW783" s="48"/>
      <c r="AX783" s="48"/>
      <c r="AY783" s="48"/>
      <c r="AZ783" s="48"/>
      <c r="BA783" s="48"/>
    </row>
    <row r="784" spans="1:53" hidden="1" x14ac:dyDescent="0.3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  <c r="AB784" s="48"/>
      <c r="AC784" s="48"/>
      <c r="AD784" s="48"/>
      <c r="AE784" s="48"/>
      <c r="AF784" s="48"/>
      <c r="AG784" s="48"/>
      <c r="AH784" s="48"/>
      <c r="AI784" s="48"/>
      <c r="AJ784" s="48"/>
      <c r="AK784" s="48"/>
      <c r="AL784" s="48"/>
      <c r="AM784" s="48"/>
      <c r="AN784" s="48"/>
      <c r="AO784" s="48"/>
      <c r="AP784" s="48"/>
      <c r="AQ784" s="48"/>
      <c r="AR784" s="48"/>
      <c r="AS784" s="48"/>
      <c r="AT784" s="48"/>
      <c r="AU784" s="48"/>
      <c r="AV784" s="48"/>
      <c r="AW784" s="48"/>
      <c r="AX784" s="48"/>
      <c r="AY784" s="48"/>
      <c r="AZ784" s="48"/>
      <c r="BA784" s="48"/>
    </row>
    <row r="785" spans="1:53" hidden="1" x14ac:dyDescent="0.3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  <c r="AB785" s="48"/>
      <c r="AC785" s="48"/>
      <c r="AD785" s="48"/>
      <c r="AE785" s="48"/>
      <c r="AF785" s="48"/>
      <c r="AG785" s="48"/>
      <c r="AH785" s="48"/>
      <c r="AI785" s="48"/>
      <c r="AJ785" s="48"/>
      <c r="AK785" s="48"/>
      <c r="AL785" s="48"/>
      <c r="AM785" s="48"/>
      <c r="AN785" s="48"/>
      <c r="AO785" s="48"/>
      <c r="AP785" s="48"/>
      <c r="AQ785" s="48"/>
      <c r="AR785" s="48"/>
      <c r="AS785" s="48"/>
      <c r="AT785" s="48"/>
      <c r="AU785" s="48"/>
      <c r="AV785" s="48"/>
      <c r="AW785" s="48"/>
      <c r="AX785" s="48"/>
      <c r="AY785" s="48"/>
      <c r="AZ785" s="48"/>
      <c r="BA785" s="48"/>
    </row>
    <row r="786" spans="1:53" hidden="1" x14ac:dyDescent="0.3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  <c r="AB786" s="48"/>
      <c r="AC786" s="48"/>
      <c r="AD786" s="48"/>
      <c r="AE786" s="48"/>
      <c r="AF786" s="48"/>
      <c r="AG786" s="48"/>
      <c r="AH786" s="48"/>
      <c r="AI786" s="48"/>
      <c r="AJ786" s="48"/>
      <c r="AK786" s="48"/>
      <c r="AL786" s="48"/>
      <c r="AM786" s="48"/>
      <c r="AN786" s="48"/>
      <c r="AO786" s="48"/>
      <c r="AP786" s="48"/>
      <c r="AQ786" s="48"/>
      <c r="AR786" s="48"/>
      <c r="AS786" s="48"/>
      <c r="AT786" s="48"/>
      <c r="AU786" s="48"/>
      <c r="AV786" s="48"/>
      <c r="AW786" s="48"/>
      <c r="AX786" s="48"/>
      <c r="AY786" s="48"/>
      <c r="AZ786" s="48"/>
      <c r="BA786" s="48"/>
    </row>
    <row r="787" spans="1:53" hidden="1" x14ac:dyDescent="0.3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  <c r="AB787" s="48"/>
      <c r="AC787" s="48"/>
      <c r="AD787" s="48"/>
      <c r="AE787" s="48"/>
      <c r="AF787" s="48"/>
      <c r="AG787" s="48"/>
      <c r="AH787" s="48"/>
      <c r="AI787" s="48"/>
      <c r="AJ787" s="48"/>
      <c r="AK787" s="48"/>
      <c r="AL787" s="48"/>
      <c r="AM787" s="48"/>
      <c r="AN787" s="48"/>
      <c r="AO787" s="48"/>
      <c r="AP787" s="48"/>
      <c r="AQ787" s="48"/>
      <c r="AR787" s="48"/>
      <c r="AS787" s="48"/>
      <c r="AT787" s="48"/>
      <c r="AU787" s="48"/>
      <c r="AV787" s="48"/>
      <c r="AW787" s="48"/>
      <c r="AX787" s="48"/>
      <c r="AY787" s="48"/>
      <c r="AZ787" s="48"/>
      <c r="BA787" s="48"/>
    </row>
    <row r="788" spans="1:53" hidden="1" x14ac:dyDescent="0.3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  <c r="AB788" s="48"/>
      <c r="AC788" s="48"/>
      <c r="AD788" s="48"/>
      <c r="AE788" s="48"/>
      <c r="AF788" s="48"/>
      <c r="AG788" s="48"/>
      <c r="AH788" s="48"/>
      <c r="AI788" s="48"/>
      <c r="AJ788" s="48"/>
      <c r="AK788" s="48"/>
      <c r="AL788" s="48"/>
      <c r="AM788" s="48"/>
      <c r="AN788" s="48"/>
      <c r="AO788" s="48"/>
      <c r="AP788" s="48"/>
      <c r="AQ788" s="48"/>
      <c r="AR788" s="48"/>
      <c r="AS788" s="48"/>
      <c r="AT788" s="48"/>
      <c r="AU788" s="48"/>
      <c r="AV788" s="48"/>
      <c r="AW788" s="48"/>
      <c r="AX788" s="48"/>
      <c r="AY788" s="48"/>
      <c r="AZ788" s="48"/>
      <c r="BA788" s="48"/>
    </row>
    <row r="789" spans="1:53" hidden="1" x14ac:dyDescent="0.3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  <c r="AB789" s="48"/>
      <c r="AC789" s="48"/>
      <c r="AD789" s="48"/>
      <c r="AE789" s="48"/>
      <c r="AF789" s="48"/>
      <c r="AG789" s="48"/>
      <c r="AH789" s="48"/>
      <c r="AI789" s="48"/>
      <c r="AJ789" s="48"/>
      <c r="AK789" s="48"/>
      <c r="AL789" s="48"/>
      <c r="AM789" s="48"/>
      <c r="AN789" s="48"/>
      <c r="AO789" s="48"/>
      <c r="AP789" s="48"/>
      <c r="AQ789" s="48"/>
      <c r="AR789" s="48"/>
      <c r="AS789" s="48"/>
      <c r="AT789" s="48"/>
      <c r="AU789" s="48"/>
      <c r="AV789" s="48"/>
      <c r="AW789" s="48"/>
      <c r="AX789" s="48"/>
      <c r="AY789" s="48"/>
      <c r="AZ789" s="48"/>
      <c r="BA789" s="48"/>
    </row>
    <row r="790" spans="1:53" hidden="1" x14ac:dyDescent="0.3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48"/>
    </row>
    <row r="791" spans="1:53" hidden="1" x14ac:dyDescent="0.3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48"/>
    </row>
    <row r="792" spans="1:53" hidden="1" x14ac:dyDescent="0.3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48"/>
    </row>
    <row r="793" spans="1:53" hidden="1" x14ac:dyDescent="0.3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  <c r="AB793" s="48"/>
      <c r="AC793" s="48"/>
      <c r="AD793" s="48"/>
      <c r="AE793" s="48"/>
      <c r="AF793" s="48"/>
      <c r="AG793" s="48"/>
      <c r="AH793" s="48"/>
      <c r="AI793" s="48"/>
      <c r="AJ793" s="48"/>
      <c r="AK793" s="48"/>
      <c r="AL793" s="48"/>
      <c r="AM793" s="48"/>
      <c r="AN793" s="48"/>
      <c r="AO793" s="48"/>
      <c r="AP793" s="48"/>
      <c r="AQ793" s="48"/>
      <c r="AR793" s="48"/>
      <c r="AS793" s="48"/>
      <c r="AT793" s="48"/>
      <c r="AU793" s="48"/>
      <c r="AV793" s="48"/>
      <c r="AW793" s="48"/>
      <c r="AX793" s="48"/>
      <c r="AY793" s="48"/>
      <c r="AZ793" s="48"/>
      <c r="BA793" s="48"/>
    </row>
    <row r="794" spans="1:53" hidden="1" x14ac:dyDescent="0.3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  <c r="AB794" s="48"/>
      <c r="AC794" s="48"/>
      <c r="AD794" s="48"/>
      <c r="AE794" s="48"/>
      <c r="AF794" s="48"/>
      <c r="AG794" s="48"/>
      <c r="AH794" s="48"/>
      <c r="AI794" s="48"/>
      <c r="AJ794" s="48"/>
      <c r="AK794" s="48"/>
      <c r="AL794" s="48"/>
      <c r="AM794" s="48"/>
      <c r="AN794" s="48"/>
      <c r="AO794" s="48"/>
      <c r="AP794" s="48"/>
      <c r="AQ794" s="48"/>
      <c r="AR794" s="48"/>
      <c r="AS794" s="48"/>
      <c r="AT794" s="48"/>
      <c r="AU794" s="48"/>
      <c r="AV794" s="48"/>
      <c r="AW794" s="48"/>
      <c r="AX794" s="48"/>
      <c r="AY794" s="48"/>
      <c r="AZ794" s="48"/>
      <c r="BA794" s="48"/>
    </row>
    <row r="795" spans="1:53" hidden="1" x14ac:dyDescent="0.3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  <c r="AB795" s="48"/>
      <c r="AC795" s="48"/>
      <c r="AD795" s="48"/>
      <c r="AE795" s="48"/>
      <c r="AF795" s="48"/>
      <c r="AG795" s="48"/>
      <c r="AH795" s="48"/>
      <c r="AI795" s="48"/>
      <c r="AJ795" s="48"/>
      <c r="AK795" s="48"/>
      <c r="AL795" s="48"/>
      <c r="AM795" s="48"/>
      <c r="AN795" s="48"/>
      <c r="AO795" s="48"/>
      <c r="AP795" s="48"/>
      <c r="AQ795" s="48"/>
      <c r="AR795" s="48"/>
      <c r="AS795" s="48"/>
      <c r="AT795" s="48"/>
      <c r="AU795" s="48"/>
      <c r="AV795" s="48"/>
      <c r="AW795" s="48"/>
      <c r="AX795" s="48"/>
      <c r="AY795" s="48"/>
      <c r="AZ795" s="48"/>
      <c r="BA795" s="48"/>
    </row>
    <row r="796" spans="1:53" hidden="1" x14ac:dyDescent="0.3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  <c r="AB796" s="48"/>
      <c r="AC796" s="48"/>
      <c r="AD796" s="48"/>
      <c r="AE796" s="48"/>
      <c r="AF796" s="48"/>
      <c r="AG796" s="48"/>
      <c r="AH796" s="48"/>
      <c r="AI796" s="48"/>
      <c r="AJ796" s="48"/>
      <c r="AK796" s="48"/>
      <c r="AL796" s="48"/>
      <c r="AM796" s="48"/>
      <c r="AN796" s="48"/>
      <c r="AO796" s="48"/>
      <c r="AP796" s="48"/>
      <c r="AQ796" s="48"/>
      <c r="AR796" s="48"/>
      <c r="AS796" s="48"/>
      <c r="AT796" s="48"/>
      <c r="AU796" s="48"/>
      <c r="AV796" s="48"/>
      <c r="AW796" s="48"/>
      <c r="AX796" s="48"/>
      <c r="AY796" s="48"/>
      <c r="AZ796" s="48"/>
      <c r="BA796" s="48"/>
    </row>
    <row r="797" spans="1:53" hidden="1" x14ac:dyDescent="0.3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  <c r="AB797" s="48"/>
      <c r="AC797" s="48"/>
      <c r="AD797" s="48"/>
      <c r="AE797" s="48"/>
      <c r="AF797" s="48"/>
      <c r="AG797" s="48"/>
      <c r="AH797" s="48"/>
      <c r="AI797" s="48"/>
      <c r="AJ797" s="48"/>
      <c r="AK797" s="48"/>
      <c r="AL797" s="48"/>
      <c r="AM797" s="48"/>
      <c r="AN797" s="48"/>
      <c r="AO797" s="48"/>
      <c r="AP797" s="48"/>
      <c r="AQ797" s="48"/>
      <c r="AR797" s="48"/>
      <c r="AS797" s="48"/>
      <c r="AT797" s="48"/>
      <c r="AU797" s="48"/>
      <c r="AV797" s="48"/>
      <c r="AW797" s="48"/>
      <c r="AX797" s="48"/>
      <c r="AY797" s="48"/>
      <c r="AZ797" s="48"/>
      <c r="BA797" s="48"/>
    </row>
    <row r="798" spans="1:53" hidden="1" x14ac:dyDescent="0.3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  <c r="AB798" s="48"/>
      <c r="AC798" s="48"/>
      <c r="AD798" s="48"/>
      <c r="AE798" s="48"/>
      <c r="AF798" s="48"/>
      <c r="AG798" s="48"/>
      <c r="AH798" s="48"/>
      <c r="AI798" s="48"/>
      <c r="AJ798" s="48"/>
      <c r="AK798" s="48"/>
      <c r="AL798" s="48"/>
      <c r="AM798" s="48"/>
      <c r="AN798" s="48"/>
      <c r="AO798" s="48"/>
      <c r="AP798" s="48"/>
      <c r="AQ798" s="48"/>
      <c r="AR798" s="48"/>
      <c r="AS798" s="48"/>
      <c r="AT798" s="48"/>
      <c r="AU798" s="48"/>
      <c r="AV798" s="48"/>
      <c r="AW798" s="48"/>
      <c r="AX798" s="48"/>
      <c r="AY798" s="48"/>
      <c r="AZ798" s="48"/>
      <c r="BA798" s="48"/>
    </row>
    <row r="799" spans="1:53" hidden="1" x14ac:dyDescent="0.3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  <c r="AB799" s="48"/>
      <c r="AC799" s="48"/>
      <c r="AD799" s="48"/>
      <c r="AE799" s="48"/>
      <c r="AF799" s="48"/>
      <c r="AG799" s="48"/>
      <c r="AH799" s="48"/>
      <c r="AI799" s="48"/>
      <c r="AJ799" s="48"/>
      <c r="AK799" s="48"/>
      <c r="AL799" s="48"/>
      <c r="AM799" s="48"/>
      <c r="AN799" s="48"/>
      <c r="AO799" s="48"/>
      <c r="AP799" s="48"/>
      <c r="AQ799" s="48"/>
      <c r="AR799" s="48"/>
      <c r="AS799" s="48"/>
      <c r="AT799" s="48"/>
      <c r="AU799" s="48"/>
      <c r="AV799" s="48"/>
      <c r="AW799" s="48"/>
      <c r="AX799" s="48"/>
      <c r="AY799" s="48"/>
      <c r="AZ799" s="48"/>
      <c r="BA799" s="48"/>
    </row>
    <row r="800" spans="1:53" hidden="1" x14ac:dyDescent="0.3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  <c r="AB800" s="48"/>
      <c r="AC800" s="48"/>
      <c r="AD800" s="48"/>
      <c r="AE800" s="48"/>
      <c r="AF800" s="48"/>
      <c r="AG800" s="48"/>
      <c r="AH800" s="48"/>
      <c r="AI800" s="48"/>
      <c r="AJ800" s="48"/>
      <c r="AK800" s="48"/>
      <c r="AL800" s="48"/>
      <c r="AM800" s="48"/>
      <c r="AN800" s="48"/>
      <c r="AO800" s="48"/>
      <c r="AP800" s="48"/>
      <c r="AQ800" s="48"/>
      <c r="AR800" s="48"/>
      <c r="AS800" s="48"/>
      <c r="AT800" s="48"/>
      <c r="AU800" s="48"/>
      <c r="AV800" s="48"/>
      <c r="AW800" s="48"/>
      <c r="AX800" s="48"/>
      <c r="AY800" s="48"/>
      <c r="AZ800" s="48"/>
      <c r="BA800" s="48"/>
    </row>
    <row r="801" spans="1:53" hidden="1" x14ac:dyDescent="0.3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  <c r="AB801" s="48"/>
      <c r="AC801" s="48"/>
      <c r="AD801" s="48"/>
      <c r="AE801" s="48"/>
      <c r="AF801" s="48"/>
      <c r="AG801" s="48"/>
      <c r="AH801" s="48"/>
      <c r="AI801" s="48"/>
      <c r="AJ801" s="48"/>
      <c r="AK801" s="48"/>
      <c r="AL801" s="48"/>
      <c r="AM801" s="48"/>
      <c r="AN801" s="48"/>
      <c r="AO801" s="48"/>
      <c r="AP801" s="48"/>
      <c r="AQ801" s="48"/>
      <c r="AR801" s="48"/>
      <c r="AS801" s="48"/>
      <c r="AT801" s="48"/>
      <c r="AU801" s="48"/>
      <c r="AV801" s="48"/>
      <c r="AW801" s="48"/>
      <c r="AX801" s="48"/>
      <c r="AY801" s="48"/>
      <c r="AZ801" s="48"/>
      <c r="BA801" s="48"/>
    </row>
    <row r="802" spans="1:53" hidden="1" x14ac:dyDescent="0.3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  <c r="AB802" s="48"/>
      <c r="AC802" s="48"/>
      <c r="AD802" s="48"/>
      <c r="AE802" s="48"/>
      <c r="AF802" s="48"/>
      <c r="AG802" s="48"/>
      <c r="AH802" s="48"/>
      <c r="AI802" s="48"/>
      <c r="AJ802" s="48"/>
      <c r="AK802" s="48"/>
      <c r="AL802" s="48"/>
      <c r="AM802" s="48"/>
      <c r="AN802" s="48"/>
      <c r="AO802" s="48"/>
      <c r="AP802" s="48"/>
      <c r="AQ802" s="48"/>
      <c r="AR802" s="48"/>
      <c r="AS802" s="48"/>
      <c r="AT802" s="48"/>
      <c r="AU802" s="48"/>
      <c r="AV802" s="48"/>
      <c r="AW802" s="48"/>
      <c r="AX802" s="48"/>
      <c r="AY802" s="48"/>
      <c r="AZ802" s="48"/>
      <c r="BA802" s="48"/>
    </row>
    <row r="803" spans="1:53" hidden="1" x14ac:dyDescent="0.3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  <c r="AB803" s="48"/>
      <c r="AC803" s="48"/>
      <c r="AD803" s="48"/>
      <c r="AE803" s="48"/>
      <c r="AF803" s="48"/>
      <c r="AG803" s="48"/>
      <c r="AH803" s="48"/>
      <c r="AI803" s="48"/>
      <c r="AJ803" s="48"/>
      <c r="AK803" s="48"/>
      <c r="AL803" s="48"/>
      <c r="AM803" s="48"/>
      <c r="AN803" s="48"/>
      <c r="AO803" s="48"/>
      <c r="AP803" s="48"/>
      <c r="AQ803" s="48"/>
      <c r="AR803" s="48"/>
      <c r="AS803" s="48"/>
      <c r="AT803" s="48"/>
      <c r="AU803" s="48"/>
      <c r="AV803" s="48"/>
      <c r="AW803" s="48"/>
      <c r="AX803" s="48"/>
      <c r="AY803" s="48"/>
      <c r="AZ803" s="48"/>
      <c r="BA803" s="48"/>
    </row>
    <row r="804" spans="1:53" hidden="1" x14ac:dyDescent="0.3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  <c r="AB804" s="48"/>
      <c r="AC804" s="48"/>
      <c r="AD804" s="48"/>
      <c r="AE804" s="48"/>
      <c r="AF804" s="48"/>
      <c r="AG804" s="48"/>
      <c r="AH804" s="48"/>
      <c r="AI804" s="48"/>
      <c r="AJ804" s="48"/>
      <c r="AK804" s="48"/>
      <c r="AL804" s="48"/>
      <c r="AM804" s="48"/>
      <c r="AN804" s="48"/>
      <c r="AO804" s="48"/>
      <c r="AP804" s="48"/>
      <c r="AQ804" s="48"/>
      <c r="AR804" s="48"/>
      <c r="AS804" s="48"/>
      <c r="AT804" s="48"/>
      <c r="AU804" s="48"/>
      <c r="AV804" s="48"/>
      <c r="AW804" s="48"/>
      <c r="AX804" s="48"/>
      <c r="AY804" s="48"/>
      <c r="AZ804" s="48"/>
      <c r="BA804" s="48"/>
    </row>
    <row r="805" spans="1:53" hidden="1" x14ac:dyDescent="0.3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  <c r="AB805" s="48"/>
      <c r="AC805" s="48"/>
      <c r="AD805" s="48"/>
      <c r="AE805" s="48"/>
      <c r="AF805" s="48"/>
      <c r="AG805" s="48"/>
      <c r="AH805" s="48"/>
      <c r="AI805" s="48"/>
      <c r="AJ805" s="48"/>
      <c r="AK805" s="48"/>
      <c r="AL805" s="48"/>
      <c r="AM805" s="48"/>
      <c r="AN805" s="48"/>
      <c r="AO805" s="48"/>
      <c r="AP805" s="48"/>
      <c r="AQ805" s="48"/>
      <c r="AR805" s="48"/>
      <c r="AS805" s="48"/>
      <c r="AT805" s="48"/>
      <c r="AU805" s="48"/>
      <c r="AV805" s="48"/>
      <c r="AW805" s="48"/>
      <c r="AX805" s="48"/>
      <c r="AY805" s="48"/>
      <c r="AZ805" s="48"/>
      <c r="BA805" s="48"/>
    </row>
    <row r="806" spans="1:53" hidden="1" x14ac:dyDescent="0.3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  <c r="AB806" s="48"/>
      <c r="AC806" s="48"/>
      <c r="AD806" s="48"/>
      <c r="AE806" s="48"/>
      <c r="AF806" s="48"/>
      <c r="AG806" s="48"/>
      <c r="AH806" s="48"/>
      <c r="AI806" s="48"/>
      <c r="AJ806" s="48"/>
      <c r="AK806" s="48"/>
      <c r="AL806" s="48"/>
      <c r="AM806" s="48"/>
      <c r="AN806" s="48"/>
      <c r="AO806" s="48"/>
      <c r="AP806" s="48"/>
      <c r="AQ806" s="48"/>
      <c r="AR806" s="48"/>
      <c r="AS806" s="48"/>
      <c r="AT806" s="48"/>
      <c r="AU806" s="48"/>
      <c r="AV806" s="48"/>
      <c r="AW806" s="48"/>
      <c r="AX806" s="48"/>
      <c r="AY806" s="48"/>
      <c r="AZ806" s="48"/>
      <c r="BA806" s="48"/>
    </row>
    <row r="807" spans="1:53" hidden="1" x14ac:dyDescent="0.3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  <c r="AB807" s="48"/>
      <c r="AC807" s="48"/>
      <c r="AD807" s="48"/>
      <c r="AE807" s="48"/>
      <c r="AF807" s="48"/>
      <c r="AG807" s="48"/>
      <c r="AH807" s="48"/>
      <c r="AI807" s="48"/>
      <c r="AJ807" s="48"/>
      <c r="AK807" s="48"/>
      <c r="AL807" s="48"/>
      <c r="AM807" s="48"/>
      <c r="AN807" s="48"/>
      <c r="AO807" s="48"/>
      <c r="AP807" s="48"/>
      <c r="AQ807" s="48"/>
      <c r="AR807" s="48"/>
      <c r="AS807" s="48"/>
      <c r="AT807" s="48"/>
      <c r="AU807" s="48"/>
      <c r="AV807" s="48"/>
      <c r="AW807" s="48"/>
      <c r="AX807" s="48"/>
      <c r="AY807" s="48"/>
      <c r="AZ807" s="48"/>
      <c r="BA807" s="48"/>
    </row>
    <row r="808" spans="1:53" hidden="1" x14ac:dyDescent="0.3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  <c r="AB808" s="48"/>
      <c r="AC808" s="48"/>
      <c r="AD808" s="48"/>
      <c r="AE808" s="48"/>
      <c r="AF808" s="48"/>
      <c r="AG808" s="48"/>
      <c r="AH808" s="48"/>
      <c r="AI808" s="48"/>
      <c r="AJ808" s="48"/>
      <c r="AK808" s="48"/>
      <c r="AL808" s="48"/>
      <c r="AM808" s="48"/>
      <c r="AN808" s="48"/>
      <c r="AO808" s="48"/>
      <c r="AP808" s="48"/>
      <c r="AQ808" s="48"/>
      <c r="AR808" s="48"/>
      <c r="AS808" s="48"/>
      <c r="AT808" s="48"/>
      <c r="AU808" s="48"/>
      <c r="AV808" s="48"/>
      <c r="AW808" s="48"/>
      <c r="AX808" s="48"/>
      <c r="AY808" s="48"/>
      <c r="AZ808" s="48"/>
      <c r="BA808" s="48"/>
    </row>
    <row r="809" spans="1:53" hidden="1" x14ac:dyDescent="0.3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  <c r="AB809" s="48"/>
      <c r="AC809" s="48"/>
      <c r="AD809" s="48"/>
      <c r="AE809" s="48"/>
      <c r="AF809" s="48"/>
      <c r="AG809" s="48"/>
      <c r="AH809" s="48"/>
      <c r="AI809" s="48"/>
      <c r="AJ809" s="48"/>
      <c r="AK809" s="48"/>
      <c r="AL809" s="48"/>
      <c r="AM809" s="48"/>
      <c r="AN809" s="48"/>
      <c r="AO809" s="48"/>
      <c r="AP809" s="48"/>
      <c r="AQ809" s="48"/>
      <c r="AR809" s="48"/>
      <c r="AS809" s="48"/>
      <c r="AT809" s="48"/>
      <c r="AU809" s="48"/>
      <c r="AV809" s="48"/>
      <c r="AW809" s="48"/>
      <c r="AX809" s="48"/>
      <c r="AY809" s="48"/>
      <c r="AZ809" s="48"/>
      <c r="BA809" s="48"/>
    </row>
    <row r="810" spans="1:53" hidden="1" x14ac:dyDescent="0.3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  <c r="AB810" s="48"/>
      <c r="AC810" s="48"/>
      <c r="AD810" s="48"/>
      <c r="AE810" s="48"/>
      <c r="AF810" s="48"/>
      <c r="AG810" s="48"/>
      <c r="AH810" s="48"/>
      <c r="AI810" s="48"/>
      <c r="AJ810" s="48"/>
      <c r="AK810" s="48"/>
      <c r="AL810" s="48"/>
      <c r="AM810" s="48"/>
      <c r="AN810" s="48"/>
      <c r="AO810" s="48"/>
      <c r="AP810" s="48"/>
      <c r="AQ810" s="48"/>
      <c r="AR810" s="48"/>
      <c r="AS810" s="48"/>
      <c r="AT810" s="48"/>
      <c r="AU810" s="48"/>
      <c r="AV810" s="48"/>
      <c r="AW810" s="48"/>
      <c r="AX810" s="48"/>
      <c r="AY810" s="48"/>
      <c r="AZ810" s="48"/>
      <c r="BA810" s="48"/>
    </row>
    <row r="811" spans="1:53" hidden="1" x14ac:dyDescent="0.3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  <c r="AB811" s="48"/>
      <c r="AC811" s="48"/>
      <c r="AD811" s="48"/>
      <c r="AE811" s="48"/>
      <c r="AF811" s="48"/>
      <c r="AG811" s="48"/>
      <c r="AH811" s="48"/>
      <c r="AI811" s="48"/>
      <c r="AJ811" s="48"/>
      <c r="AK811" s="48"/>
      <c r="AL811" s="48"/>
      <c r="AM811" s="48"/>
      <c r="AN811" s="48"/>
      <c r="AO811" s="48"/>
      <c r="AP811" s="48"/>
      <c r="AQ811" s="48"/>
      <c r="AR811" s="48"/>
      <c r="AS811" s="48"/>
      <c r="AT811" s="48"/>
      <c r="AU811" s="48"/>
      <c r="AV811" s="48"/>
      <c r="AW811" s="48"/>
      <c r="AX811" s="48"/>
      <c r="AY811" s="48"/>
      <c r="AZ811" s="48"/>
      <c r="BA811" s="48"/>
    </row>
    <row r="812" spans="1:53" hidden="1" x14ac:dyDescent="0.3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  <c r="AB812" s="48"/>
      <c r="AC812" s="48"/>
      <c r="AD812" s="48"/>
      <c r="AE812" s="48"/>
      <c r="AF812" s="48"/>
      <c r="AG812" s="48"/>
      <c r="AH812" s="48"/>
      <c r="AI812" s="48"/>
      <c r="AJ812" s="48"/>
      <c r="AK812" s="48"/>
      <c r="AL812" s="48"/>
      <c r="AM812" s="48"/>
      <c r="AN812" s="48"/>
      <c r="AO812" s="48"/>
      <c r="AP812" s="48"/>
      <c r="AQ812" s="48"/>
      <c r="AR812" s="48"/>
      <c r="AS812" s="48"/>
      <c r="AT812" s="48"/>
      <c r="AU812" s="48"/>
      <c r="AV812" s="48"/>
      <c r="AW812" s="48"/>
      <c r="AX812" s="48"/>
      <c r="AY812" s="48"/>
      <c r="AZ812" s="48"/>
      <c r="BA812" s="48"/>
    </row>
    <row r="813" spans="1:53" hidden="1" x14ac:dyDescent="0.3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  <c r="AB813" s="48"/>
      <c r="AC813" s="48"/>
      <c r="AD813" s="48"/>
      <c r="AE813" s="48"/>
      <c r="AF813" s="48"/>
      <c r="AG813" s="48"/>
      <c r="AH813" s="48"/>
      <c r="AI813" s="48"/>
      <c r="AJ813" s="48"/>
      <c r="AK813" s="48"/>
      <c r="AL813" s="48"/>
      <c r="AM813" s="48"/>
      <c r="AN813" s="48"/>
      <c r="AO813" s="48"/>
      <c r="AP813" s="48"/>
      <c r="AQ813" s="48"/>
      <c r="AR813" s="48"/>
      <c r="AS813" s="48"/>
      <c r="AT813" s="48"/>
      <c r="AU813" s="48"/>
      <c r="AV813" s="48"/>
      <c r="AW813" s="48"/>
      <c r="AX813" s="48"/>
      <c r="AY813" s="48"/>
      <c r="AZ813" s="48"/>
      <c r="BA813" s="48"/>
    </row>
    <row r="814" spans="1:53" hidden="1" x14ac:dyDescent="0.3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  <c r="AB814" s="48"/>
      <c r="AC814" s="48"/>
      <c r="AD814" s="48"/>
      <c r="AE814" s="48"/>
      <c r="AF814" s="48"/>
      <c r="AG814" s="48"/>
      <c r="AH814" s="48"/>
      <c r="AI814" s="48"/>
      <c r="AJ814" s="48"/>
      <c r="AK814" s="48"/>
      <c r="AL814" s="48"/>
      <c r="AM814" s="48"/>
      <c r="AN814" s="48"/>
      <c r="AO814" s="48"/>
      <c r="AP814" s="48"/>
      <c r="AQ814" s="48"/>
      <c r="AR814" s="48"/>
      <c r="AS814" s="48"/>
      <c r="AT814" s="48"/>
      <c r="AU814" s="48"/>
      <c r="AV814" s="48"/>
      <c r="AW814" s="48"/>
      <c r="AX814" s="48"/>
      <c r="AY814" s="48"/>
      <c r="AZ814" s="48"/>
      <c r="BA814" s="48"/>
    </row>
    <row r="815" spans="1:53" hidden="1" x14ac:dyDescent="0.3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  <c r="AB815" s="48"/>
      <c r="AC815" s="48"/>
      <c r="AD815" s="48"/>
      <c r="AE815" s="48"/>
      <c r="AF815" s="48"/>
      <c r="AG815" s="48"/>
      <c r="AH815" s="48"/>
      <c r="AI815" s="48"/>
      <c r="AJ815" s="48"/>
      <c r="AK815" s="48"/>
      <c r="AL815" s="48"/>
      <c r="AM815" s="48"/>
      <c r="AN815" s="48"/>
      <c r="AO815" s="48"/>
      <c r="AP815" s="48"/>
      <c r="AQ815" s="48"/>
      <c r="AR815" s="48"/>
      <c r="AS815" s="48"/>
      <c r="AT815" s="48"/>
      <c r="AU815" s="48"/>
      <c r="AV815" s="48"/>
      <c r="AW815" s="48"/>
      <c r="AX815" s="48"/>
      <c r="AY815" s="48"/>
      <c r="AZ815" s="48"/>
      <c r="BA815" s="48"/>
    </row>
    <row r="816" spans="1:53" hidden="1" x14ac:dyDescent="0.3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  <c r="AB816" s="48"/>
      <c r="AC816" s="48"/>
      <c r="AD816" s="48"/>
      <c r="AE816" s="48"/>
      <c r="AF816" s="48"/>
      <c r="AG816" s="48"/>
      <c r="AH816" s="48"/>
      <c r="AI816" s="48"/>
      <c r="AJ816" s="48"/>
      <c r="AK816" s="48"/>
      <c r="AL816" s="48"/>
      <c r="AM816" s="48"/>
      <c r="AN816" s="48"/>
      <c r="AO816" s="48"/>
      <c r="AP816" s="48"/>
      <c r="AQ816" s="48"/>
      <c r="AR816" s="48"/>
      <c r="AS816" s="48"/>
      <c r="AT816" s="48"/>
      <c r="AU816" s="48"/>
      <c r="AV816" s="48"/>
      <c r="AW816" s="48"/>
      <c r="AX816" s="48"/>
      <c r="AY816" s="48"/>
      <c r="AZ816" s="48"/>
      <c r="BA816" s="48"/>
    </row>
    <row r="817" spans="1:53" hidden="1" x14ac:dyDescent="0.3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  <c r="AB817" s="48"/>
      <c r="AC817" s="48"/>
      <c r="AD817" s="48"/>
      <c r="AE817" s="48"/>
      <c r="AF817" s="48"/>
      <c r="AG817" s="48"/>
      <c r="AH817" s="48"/>
      <c r="AI817" s="48"/>
      <c r="AJ817" s="48"/>
      <c r="AK817" s="48"/>
      <c r="AL817" s="48"/>
      <c r="AM817" s="48"/>
      <c r="AN817" s="48"/>
      <c r="AO817" s="48"/>
      <c r="AP817" s="48"/>
      <c r="AQ817" s="48"/>
      <c r="AR817" s="48"/>
      <c r="AS817" s="48"/>
      <c r="AT817" s="48"/>
      <c r="AU817" s="48"/>
      <c r="AV817" s="48"/>
      <c r="AW817" s="48"/>
      <c r="AX817" s="48"/>
      <c r="AY817" s="48"/>
      <c r="AZ817" s="48"/>
      <c r="BA817" s="48"/>
    </row>
    <row r="818" spans="1:53" hidden="1" x14ac:dyDescent="0.3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  <c r="AB818" s="48"/>
      <c r="AC818" s="48"/>
      <c r="AD818" s="48"/>
      <c r="AE818" s="48"/>
      <c r="AF818" s="48"/>
      <c r="AG818" s="48"/>
      <c r="AH818" s="48"/>
      <c r="AI818" s="48"/>
      <c r="AJ818" s="48"/>
      <c r="AK818" s="48"/>
      <c r="AL818" s="48"/>
      <c r="AM818" s="48"/>
      <c r="AN818" s="48"/>
      <c r="AO818" s="48"/>
      <c r="AP818" s="48"/>
      <c r="AQ818" s="48"/>
      <c r="AR818" s="48"/>
      <c r="AS818" s="48"/>
      <c r="AT818" s="48"/>
      <c r="AU818" s="48"/>
      <c r="AV818" s="48"/>
      <c r="AW818" s="48"/>
      <c r="AX818" s="48"/>
      <c r="AY818" s="48"/>
      <c r="AZ818" s="48"/>
      <c r="BA818" s="48"/>
    </row>
    <row r="819" spans="1:53" hidden="1" x14ac:dyDescent="0.3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  <c r="AB819" s="48"/>
      <c r="AC819" s="48"/>
      <c r="AD819" s="48"/>
      <c r="AE819" s="48"/>
      <c r="AF819" s="48"/>
      <c r="AG819" s="48"/>
      <c r="AH819" s="48"/>
      <c r="AI819" s="48"/>
      <c r="AJ819" s="48"/>
      <c r="AK819" s="48"/>
      <c r="AL819" s="48"/>
      <c r="AM819" s="48"/>
      <c r="AN819" s="48"/>
      <c r="AO819" s="48"/>
      <c r="AP819" s="48"/>
      <c r="AQ819" s="48"/>
      <c r="AR819" s="48"/>
      <c r="AS819" s="48"/>
      <c r="AT819" s="48"/>
      <c r="AU819" s="48"/>
      <c r="AV819" s="48"/>
      <c r="AW819" s="48"/>
      <c r="AX819" s="48"/>
      <c r="AY819" s="48"/>
      <c r="AZ819" s="48"/>
      <c r="BA819" s="48"/>
    </row>
    <row r="820" spans="1:53" hidden="1" x14ac:dyDescent="0.3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  <c r="AB820" s="48"/>
      <c r="AC820" s="48"/>
      <c r="AD820" s="48"/>
      <c r="AE820" s="48"/>
      <c r="AF820" s="48"/>
      <c r="AG820" s="48"/>
      <c r="AH820" s="48"/>
      <c r="AI820" s="48"/>
      <c r="AJ820" s="48"/>
      <c r="AK820" s="48"/>
      <c r="AL820" s="48"/>
      <c r="AM820" s="48"/>
      <c r="AN820" s="48"/>
      <c r="AO820" s="48"/>
      <c r="AP820" s="48"/>
      <c r="AQ820" s="48"/>
      <c r="AR820" s="48"/>
      <c r="AS820" s="48"/>
      <c r="AT820" s="48"/>
      <c r="AU820" s="48"/>
      <c r="AV820" s="48"/>
      <c r="AW820" s="48"/>
      <c r="AX820" s="48"/>
      <c r="AY820" s="48"/>
      <c r="AZ820" s="48"/>
      <c r="BA820" s="48"/>
    </row>
    <row r="821" spans="1:53" hidden="1" x14ac:dyDescent="0.3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  <c r="AB821" s="48"/>
      <c r="AC821" s="48"/>
      <c r="AD821" s="48"/>
      <c r="AE821" s="48"/>
      <c r="AF821" s="48"/>
      <c r="AG821" s="48"/>
      <c r="AH821" s="48"/>
      <c r="AI821" s="48"/>
      <c r="AJ821" s="48"/>
      <c r="AK821" s="48"/>
      <c r="AL821" s="48"/>
      <c r="AM821" s="48"/>
      <c r="AN821" s="48"/>
      <c r="AO821" s="48"/>
      <c r="AP821" s="48"/>
      <c r="AQ821" s="48"/>
      <c r="AR821" s="48"/>
      <c r="AS821" s="48"/>
      <c r="AT821" s="48"/>
      <c r="AU821" s="48"/>
      <c r="AV821" s="48"/>
      <c r="AW821" s="48"/>
      <c r="AX821" s="48"/>
      <c r="AY821" s="48"/>
      <c r="AZ821" s="48"/>
      <c r="BA821" s="48"/>
    </row>
    <row r="822" spans="1:53" hidden="1" x14ac:dyDescent="0.3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  <c r="AB822" s="48"/>
      <c r="AC822" s="48"/>
      <c r="AD822" s="48"/>
      <c r="AE822" s="48"/>
      <c r="AF822" s="48"/>
      <c r="AG822" s="48"/>
      <c r="AH822" s="48"/>
      <c r="AI822" s="48"/>
      <c r="AJ822" s="48"/>
      <c r="AK822" s="48"/>
      <c r="AL822" s="48"/>
      <c r="AM822" s="48"/>
      <c r="AN822" s="48"/>
      <c r="AO822" s="48"/>
      <c r="AP822" s="48"/>
      <c r="AQ822" s="48"/>
      <c r="AR822" s="48"/>
      <c r="AS822" s="48"/>
      <c r="AT822" s="48"/>
      <c r="AU822" s="48"/>
      <c r="AV822" s="48"/>
      <c r="AW822" s="48"/>
      <c r="AX822" s="48"/>
      <c r="AY822" s="48"/>
      <c r="AZ822" s="48"/>
      <c r="BA822" s="48"/>
    </row>
    <row r="823" spans="1:53" hidden="1" x14ac:dyDescent="0.3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  <c r="AB823" s="48"/>
      <c r="AC823" s="48"/>
      <c r="AD823" s="48"/>
      <c r="AE823" s="48"/>
      <c r="AF823" s="48"/>
      <c r="AG823" s="48"/>
      <c r="AH823" s="48"/>
      <c r="AI823" s="48"/>
      <c r="AJ823" s="48"/>
      <c r="AK823" s="48"/>
      <c r="AL823" s="48"/>
      <c r="AM823" s="48"/>
      <c r="AN823" s="48"/>
      <c r="AO823" s="48"/>
      <c r="AP823" s="48"/>
      <c r="AQ823" s="48"/>
      <c r="AR823" s="48"/>
      <c r="AS823" s="48"/>
      <c r="AT823" s="48"/>
      <c r="AU823" s="48"/>
      <c r="AV823" s="48"/>
      <c r="AW823" s="48"/>
      <c r="AX823" s="48"/>
      <c r="AY823" s="48"/>
      <c r="AZ823" s="48"/>
      <c r="BA823" s="48"/>
    </row>
    <row r="824" spans="1:53" hidden="1" x14ac:dyDescent="0.3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  <c r="AB824" s="48"/>
      <c r="AC824" s="48"/>
      <c r="AD824" s="48"/>
      <c r="AE824" s="48"/>
      <c r="AF824" s="48"/>
      <c r="AG824" s="48"/>
      <c r="AH824" s="48"/>
      <c r="AI824" s="48"/>
      <c r="AJ824" s="48"/>
      <c r="AK824" s="48"/>
      <c r="AL824" s="48"/>
      <c r="AM824" s="48"/>
      <c r="AN824" s="48"/>
      <c r="AO824" s="48"/>
      <c r="AP824" s="48"/>
      <c r="AQ824" s="48"/>
      <c r="AR824" s="48"/>
      <c r="AS824" s="48"/>
      <c r="AT824" s="48"/>
      <c r="AU824" s="48"/>
      <c r="AV824" s="48"/>
      <c r="AW824" s="48"/>
      <c r="AX824" s="48"/>
      <c r="AY824" s="48"/>
      <c r="AZ824" s="48"/>
      <c r="BA824" s="48"/>
    </row>
    <row r="825" spans="1:53" hidden="1" x14ac:dyDescent="0.3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  <c r="AB825" s="48"/>
      <c r="AC825" s="48"/>
      <c r="AD825" s="48"/>
      <c r="AE825" s="48"/>
      <c r="AF825" s="48"/>
      <c r="AG825" s="48"/>
      <c r="AH825" s="48"/>
      <c r="AI825" s="48"/>
      <c r="AJ825" s="48"/>
      <c r="AK825" s="48"/>
      <c r="AL825" s="48"/>
      <c r="AM825" s="48"/>
      <c r="AN825" s="48"/>
      <c r="AO825" s="48"/>
      <c r="AP825" s="48"/>
      <c r="AQ825" s="48"/>
      <c r="AR825" s="48"/>
      <c r="AS825" s="48"/>
      <c r="AT825" s="48"/>
      <c r="AU825" s="48"/>
      <c r="AV825" s="48"/>
      <c r="AW825" s="48"/>
      <c r="AX825" s="48"/>
      <c r="AY825" s="48"/>
      <c r="AZ825" s="48"/>
      <c r="BA825" s="48"/>
    </row>
    <row r="826" spans="1:53" hidden="1" x14ac:dyDescent="0.3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  <c r="AB826" s="48"/>
      <c r="AC826" s="48"/>
      <c r="AD826" s="48"/>
      <c r="AE826" s="48"/>
      <c r="AF826" s="48"/>
      <c r="AG826" s="48"/>
      <c r="AH826" s="48"/>
      <c r="AI826" s="48"/>
      <c r="AJ826" s="48"/>
      <c r="AK826" s="48"/>
      <c r="AL826" s="48"/>
      <c r="AM826" s="48"/>
      <c r="AN826" s="48"/>
      <c r="AO826" s="48"/>
      <c r="AP826" s="48"/>
      <c r="AQ826" s="48"/>
      <c r="AR826" s="48"/>
      <c r="AS826" s="48"/>
      <c r="AT826" s="48"/>
      <c r="AU826" s="48"/>
      <c r="AV826" s="48"/>
      <c r="AW826" s="48"/>
      <c r="AX826" s="48"/>
      <c r="AY826" s="48"/>
      <c r="AZ826" s="48"/>
      <c r="BA826" s="48"/>
    </row>
    <row r="827" spans="1:53" hidden="1" x14ac:dyDescent="0.3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  <c r="AB827" s="48"/>
      <c r="AC827" s="48"/>
      <c r="AD827" s="48"/>
      <c r="AE827" s="48"/>
      <c r="AF827" s="48"/>
      <c r="AG827" s="48"/>
      <c r="AH827" s="48"/>
      <c r="AI827" s="48"/>
      <c r="AJ827" s="48"/>
      <c r="AK827" s="48"/>
      <c r="AL827" s="48"/>
      <c r="AM827" s="48"/>
      <c r="AN827" s="48"/>
      <c r="AO827" s="48"/>
      <c r="AP827" s="48"/>
      <c r="AQ827" s="48"/>
      <c r="AR827" s="48"/>
      <c r="AS827" s="48"/>
      <c r="AT827" s="48"/>
      <c r="AU827" s="48"/>
      <c r="AV827" s="48"/>
      <c r="AW827" s="48"/>
      <c r="AX827" s="48"/>
      <c r="AY827" s="48"/>
      <c r="AZ827" s="48"/>
      <c r="BA827" s="48"/>
    </row>
    <row r="828" spans="1:53" hidden="1" x14ac:dyDescent="0.3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  <c r="AB828" s="48"/>
      <c r="AC828" s="48"/>
      <c r="AD828" s="48"/>
      <c r="AE828" s="48"/>
      <c r="AF828" s="48"/>
      <c r="AG828" s="48"/>
      <c r="AH828" s="48"/>
      <c r="AI828" s="48"/>
      <c r="AJ828" s="48"/>
      <c r="AK828" s="48"/>
      <c r="AL828" s="48"/>
      <c r="AM828" s="48"/>
      <c r="AN828" s="48"/>
      <c r="AO828" s="48"/>
      <c r="AP828" s="48"/>
      <c r="AQ828" s="48"/>
      <c r="AR828" s="48"/>
      <c r="AS828" s="48"/>
      <c r="AT828" s="48"/>
      <c r="AU828" s="48"/>
      <c r="AV828" s="48"/>
      <c r="AW828" s="48"/>
      <c r="AX828" s="48"/>
      <c r="AY828" s="48"/>
      <c r="AZ828" s="48"/>
      <c r="BA828" s="48"/>
    </row>
    <row r="829" spans="1:53" hidden="1" x14ac:dyDescent="0.3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  <c r="AB829" s="48"/>
      <c r="AC829" s="48"/>
      <c r="AD829" s="48"/>
      <c r="AE829" s="48"/>
      <c r="AF829" s="48"/>
      <c r="AG829" s="48"/>
      <c r="AH829" s="48"/>
      <c r="AI829" s="48"/>
      <c r="AJ829" s="48"/>
      <c r="AK829" s="48"/>
      <c r="AL829" s="48"/>
      <c r="AM829" s="48"/>
      <c r="AN829" s="48"/>
      <c r="AO829" s="48"/>
      <c r="AP829" s="48"/>
      <c r="AQ829" s="48"/>
      <c r="AR829" s="48"/>
      <c r="AS829" s="48"/>
      <c r="AT829" s="48"/>
      <c r="AU829" s="48"/>
      <c r="AV829" s="48"/>
      <c r="AW829" s="48"/>
      <c r="AX829" s="48"/>
      <c r="AY829" s="48"/>
      <c r="AZ829" s="48"/>
      <c r="BA829" s="48"/>
    </row>
    <row r="830" spans="1:53" hidden="1" x14ac:dyDescent="0.3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  <c r="AB830" s="48"/>
      <c r="AC830" s="48"/>
      <c r="AD830" s="48"/>
      <c r="AE830" s="48"/>
      <c r="AF830" s="48"/>
      <c r="AG830" s="48"/>
      <c r="AH830" s="48"/>
      <c r="AI830" s="48"/>
      <c r="AJ830" s="48"/>
      <c r="AK830" s="48"/>
      <c r="AL830" s="48"/>
      <c r="AM830" s="48"/>
      <c r="AN830" s="48"/>
      <c r="AO830" s="48"/>
      <c r="AP830" s="48"/>
      <c r="AQ830" s="48"/>
      <c r="AR830" s="48"/>
      <c r="AS830" s="48"/>
      <c r="AT830" s="48"/>
      <c r="AU830" s="48"/>
      <c r="AV830" s="48"/>
      <c r="AW830" s="48"/>
      <c r="AX830" s="48"/>
      <c r="AY830" s="48"/>
      <c r="AZ830" s="48"/>
      <c r="BA830" s="48"/>
    </row>
    <row r="831" spans="1:53" hidden="1" x14ac:dyDescent="0.3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  <c r="AB831" s="48"/>
      <c r="AC831" s="48"/>
      <c r="AD831" s="48"/>
      <c r="AE831" s="48"/>
      <c r="AF831" s="48"/>
      <c r="AG831" s="48"/>
      <c r="AH831" s="48"/>
      <c r="AI831" s="48"/>
      <c r="AJ831" s="48"/>
      <c r="AK831" s="48"/>
      <c r="AL831" s="48"/>
      <c r="AM831" s="48"/>
      <c r="AN831" s="48"/>
      <c r="AO831" s="48"/>
      <c r="AP831" s="48"/>
      <c r="AQ831" s="48"/>
      <c r="AR831" s="48"/>
      <c r="AS831" s="48"/>
      <c r="AT831" s="48"/>
      <c r="AU831" s="48"/>
      <c r="AV831" s="48"/>
      <c r="AW831" s="48"/>
      <c r="AX831" s="48"/>
      <c r="AY831" s="48"/>
      <c r="AZ831" s="48"/>
      <c r="BA831" s="48"/>
    </row>
    <row r="832" spans="1:53" hidden="1" x14ac:dyDescent="0.3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  <c r="AB832" s="48"/>
      <c r="AC832" s="48"/>
      <c r="AD832" s="48"/>
      <c r="AE832" s="48"/>
      <c r="AF832" s="48"/>
      <c r="AG832" s="48"/>
      <c r="AH832" s="48"/>
      <c r="AI832" s="48"/>
      <c r="AJ832" s="48"/>
      <c r="AK832" s="48"/>
      <c r="AL832" s="48"/>
      <c r="AM832" s="48"/>
      <c r="AN832" s="48"/>
      <c r="AO832" s="48"/>
      <c r="AP832" s="48"/>
      <c r="AQ832" s="48"/>
      <c r="AR832" s="48"/>
      <c r="AS832" s="48"/>
      <c r="AT832" s="48"/>
      <c r="AU832" s="48"/>
      <c r="AV832" s="48"/>
      <c r="AW832" s="48"/>
      <c r="AX832" s="48"/>
      <c r="AY832" s="48"/>
      <c r="AZ832" s="48"/>
      <c r="BA832" s="48"/>
    </row>
    <row r="833" spans="1:53" hidden="1" x14ac:dyDescent="0.3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  <c r="AB833" s="48"/>
      <c r="AC833" s="48"/>
      <c r="AD833" s="48"/>
      <c r="AE833" s="48"/>
      <c r="AF833" s="48"/>
      <c r="AG833" s="48"/>
      <c r="AH833" s="48"/>
      <c r="AI833" s="48"/>
      <c r="AJ833" s="48"/>
      <c r="AK833" s="48"/>
      <c r="AL833" s="48"/>
      <c r="AM833" s="48"/>
      <c r="AN833" s="48"/>
      <c r="AO833" s="48"/>
      <c r="AP833" s="48"/>
      <c r="AQ833" s="48"/>
      <c r="AR833" s="48"/>
      <c r="AS833" s="48"/>
      <c r="AT833" s="48"/>
      <c r="AU833" s="48"/>
      <c r="AV833" s="48"/>
      <c r="AW833" s="48"/>
      <c r="AX833" s="48"/>
      <c r="AY833" s="48"/>
      <c r="AZ833" s="48"/>
      <c r="BA833" s="48"/>
    </row>
    <row r="834" spans="1:53" hidden="1" x14ac:dyDescent="0.3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  <c r="AB834" s="48"/>
      <c r="AC834" s="48"/>
      <c r="AD834" s="48"/>
      <c r="AE834" s="48"/>
      <c r="AF834" s="48"/>
      <c r="AG834" s="48"/>
      <c r="AH834" s="48"/>
      <c r="AI834" s="48"/>
      <c r="AJ834" s="48"/>
      <c r="AK834" s="48"/>
      <c r="AL834" s="48"/>
      <c r="AM834" s="48"/>
      <c r="AN834" s="48"/>
      <c r="AO834" s="48"/>
      <c r="AP834" s="48"/>
      <c r="AQ834" s="48"/>
      <c r="AR834" s="48"/>
      <c r="AS834" s="48"/>
      <c r="AT834" s="48"/>
      <c r="AU834" s="48"/>
      <c r="AV834" s="48"/>
      <c r="AW834" s="48"/>
      <c r="AX834" s="48"/>
      <c r="AY834" s="48"/>
      <c r="AZ834" s="48"/>
      <c r="BA834" s="48"/>
    </row>
    <row r="835" spans="1:53" hidden="1" x14ac:dyDescent="0.3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  <c r="AB835" s="48"/>
      <c r="AC835" s="48"/>
      <c r="AD835" s="48"/>
      <c r="AE835" s="48"/>
      <c r="AF835" s="48"/>
      <c r="AG835" s="48"/>
      <c r="AH835" s="48"/>
      <c r="AI835" s="48"/>
      <c r="AJ835" s="48"/>
      <c r="AK835" s="48"/>
      <c r="AL835" s="48"/>
      <c r="AM835" s="48"/>
      <c r="AN835" s="48"/>
      <c r="AO835" s="48"/>
      <c r="AP835" s="48"/>
      <c r="AQ835" s="48"/>
      <c r="AR835" s="48"/>
      <c r="AS835" s="48"/>
      <c r="AT835" s="48"/>
      <c r="AU835" s="48"/>
      <c r="AV835" s="48"/>
      <c r="AW835" s="48"/>
      <c r="AX835" s="48"/>
      <c r="AY835" s="48"/>
      <c r="AZ835" s="48"/>
      <c r="BA835" s="48"/>
    </row>
    <row r="836" spans="1:53" hidden="1" x14ac:dyDescent="0.3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  <c r="AB836" s="48"/>
      <c r="AC836" s="48"/>
      <c r="AD836" s="48"/>
      <c r="AE836" s="48"/>
      <c r="AF836" s="48"/>
      <c r="AG836" s="48"/>
      <c r="AH836" s="48"/>
      <c r="AI836" s="48"/>
      <c r="AJ836" s="48"/>
      <c r="AK836" s="48"/>
      <c r="AL836" s="48"/>
      <c r="AM836" s="48"/>
      <c r="AN836" s="48"/>
      <c r="AO836" s="48"/>
      <c r="AP836" s="48"/>
      <c r="AQ836" s="48"/>
      <c r="AR836" s="48"/>
      <c r="AS836" s="48"/>
      <c r="AT836" s="48"/>
      <c r="AU836" s="48"/>
      <c r="AV836" s="48"/>
      <c r="AW836" s="48"/>
      <c r="AX836" s="48"/>
      <c r="AY836" s="48"/>
      <c r="AZ836" s="48"/>
      <c r="BA836" s="48"/>
    </row>
    <row r="837" spans="1:53" hidden="1" x14ac:dyDescent="0.3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  <c r="AB837" s="48"/>
      <c r="AC837" s="48"/>
      <c r="AD837" s="48"/>
      <c r="AE837" s="48"/>
      <c r="AF837" s="48"/>
      <c r="AG837" s="48"/>
      <c r="AH837" s="48"/>
      <c r="AI837" s="48"/>
      <c r="AJ837" s="48"/>
      <c r="AK837" s="48"/>
      <c r="AL837" s="48"/>
      <c r="AM837" s="48"/>
      <c r="AN837" s="48"/>
      <c r="AO837" s="48"/>
      <c r="AP837" s="48"/>
      <c r="AQ837" s="48"/>
      <c r="AR837" s="48"/>
      <c r="AS837" s="48"/>
      <c r="AT837" s="48"/>
      <c r="AU837" s="48"/>
      <c r="AV837" s="48"/>
      <c r="AW837" s="48"/>
      <c r="AX837" s="48"/>
      <c r="AY837" s="48"/>
      <c r="AZ837" s="48"/>
      <c r="BA837" s="48"/>
    </row>
    <row r="838" spans="1:53" hidden="1" x14ac:dyDescent="0.3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  <c r="AB838" s="48"/>
      <c r="AC838" s="48"/>
      <c r="AD838" s="48"/>
      <c r="AE838" s="48"/>
      <c r="AF838" s="48"/>
      <c r="AG838" s="48"/>
      <c r="AH838" s="48"/>
      <c r="AI838" s="48"/>
      <c r="AJ838" s="48"/>
      <c r="AK838" s="48"/>
      <c r="AL838" s="48"/>
      <c r="AM838" s="48"/>
      <c r="AN838" s="48"/>
      <c r="AO838" s="48"/>
      <c r="AP838" s="48"/>
      <c r="AQ838" s="48"/>
      <c r="AR838" s="48"/>
      <c r="AS838" s="48"/>
      <c r="AT838" s="48"/>
      <c r="AU838" s="48"/>
      <c r="AV838" s="48"/>
      <c r="AW838" s="48"/>
      <c r="AX838" s="48"/>
      <c r="AY838" s="48"/>
      <c r="AZ838" s="48"/>
      <c r="BA838" s="48"/>
    </row>
    <row r="839" spans="1:53" hidden="1" x14ac:dyDescent="0.3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  <c r="AB839" s="48"/>
      <c r="AC839" s="48"/>
      <c r="AD839" s="48"/>
      <c r="AE839" s="48"/>
      <c r="AF839" s="48"/>
      <c r="AG839" s="48"/>
      <c r="AH839" s="48"/>
      <c r="AI839" s="48"/>
      <c r="AJ839" s="48"/>
      <c r="AK839" s="48"/>
      <c r="AL839" s="48"/>
      <c r="AM839" s="48"/>
      <c r="AN839" s="48"/>
      <c r="AO839" s="48"/>
      <c r="AP839" s="48"/>
      <c r="AQ839" s="48"/>
      <c r="AR839" s="48"/>
      <c r="AS839" s="48"/>
      <c r="AT839" s="48"/>
      <c r="AU839" s="48"/>
      <c r="AV839" s="48"/>
      <c r="AW839" s="48"/>
      <c r="AX839" s="48"/>
      <c r="AY839" s="48"/>
      <c r="AZ839" s="48"/>
      <c r="BA839" s="48"/>
    </row>
    <row r="840" spans="1:53" hidden="1" x14ac:dyDescent="0.3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  <c r="AB840" s="48"/>
      <c r="AC840" s="48"/>
      <c r="AD840" s="48"/>
      <c r="AE840" s="48"/>
      <c r="AF840" s="48"/>
      <c r="AG840" s="48"/>
      <c r="AH840" s="48"/>
      <c r="AI840" s="48"/>
      <c r="AJ840" s="48"/>
      <c r="AK840" s="48"/>
      <c r="AL840" s="48"/>
      <c r="AM840" s="48"/>
      <c r="AN840" s="48"/>
      <c r="AO840" s="48"/>
      <c r="AP840" s="48"/>
      <c r="AQ840" s="48"/>
      <c r="AR840" s="48"/>
      <c r="AS840" s="48"/>
      <c r="AT840" s="48"/>
      <c r="AU840" s="48"/>
      <c r="AV840" s="48"/>
      <c r="AW840" s="48"/>
      <c r="AX840" s="48"/>
      <c r="AY840" s="48"/>
      <c r="AZ840" s="48"/>
      <c r="BA840" s="48"/>
    </row>
    <row r="841" spans="1:53" hidden="1" x14ac:dyDescent="0.3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  <c r="AB841" s="48"/>
      <c r="AC841" s="48"/>
      <c r="AD841" s="48"/>
      <c r="AE841" s="48"/>
      <c r="AF841" s="48"/>
      <c r="AG841" s="48"/>
      <c r="AH841" s="48"/>
      <c r="AI841" s="48"/>
      <c r="AJ841" s="48"/>
      <c r="AK841" s="48"/>
      <c r="AL841" s="48"/>
      <c r="AM841" s="48"/>
      <c r="AN841" s="48"/>
      <c r="AO841" s="48"/>
      <c r="AP841" s="48"/>
      <c r="AQ841" s="48"/>
      <c r="AR841" s="48"/>
      <c r="AS841" s="48"/>
      <c r="AT841" s="48"/>
      <c r="AU841" s="48"/>
      <c r="AV841" s="48"/>
      <c r="AW841" s="48"/>
      <c r="AX841" s="48"/>
      <c r="AY841" s="48"/>
      <c r="AZ841" s="48"/>
      <c r="BA841" s="48"/>
    </row>
    <row r="842" spans="1:53" hidden="1" x14ac:dyDescent="0.3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  <c r="AB842" s="48"/>
      <c r="AC842" s="48"/>
      <c r="AD842" s="48"/>
      <c r="AE842" s="48"/>
      <c r="AF842" s="48"/>
      <c r="AG842" s="48"/>
      <c r="AH842" s="48"/>
      <c r="AI842" s="48"/>
      <c r="AJ842" s="48"/>
      <c r="AK842" s="48"/>
      <c r="AL842" s="48"/>
      <c r="AM842" s="48"/>
      <c r="AN842" s="48"/>
      <c r="AO842" s="48"/>
      <c r="AP842" s="48"/>
      <c r="AQ842" s="48"/>
      <c r="AR842" s="48"/>
      <c r="AS842" s="48"/>
      <c r="AT842" s="48"/>
      <c r="AU842" s="48"/>
      <c r="AV842" s="48"/>
      <c r="AW842" s="48"/>
      <c r="AX842" s="48"/>
      <c r="AY842" s="48"/>
      <c r="AZ842" s="48"/>
      <c r="BA842" s="48"/>
    </row>
    <row r="843" spans="1:53" hidden="1" x14ac:dyDescent="0.3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  <c r="AB843" s="48"/>
      <c r="AC843" s="48"/>
      <c r="AD843" s="48"/>
      <c r="AE843" s="48"/>
      <c r="AF843" s="48"/>
      <c r="AG843" s="48"/>
      <c r="AH843" s="48"/>
      <c r="AI843" s="48"/>
      <c r="AJ843" s="48"/>
      <c r="AK843" s="48"/>
      <c r="AL843" s="48"/>
      <c r="AM843" s="48"/>
      <c r="AN843" s="48"/>
      <c r="AO843" s="48"/>
      <c r="AP843" s="48"/>
      <c r="AQ843" s="48"/>
      <c r="AR843" s="48"/>
      <c r="AS843" s="48"/>
      <c r="AT843" s="48"/>
      <c r="AU843" s="48"/>
      <c r="AV843" s="48"/>
      <c r="AW843" s="48"/>
      <c r="AX843" s="48"/>
      <c r="AY843" s="48"/>
      <c r="AZ843" s="48"/>
      <c r="BA843" s="48"/>
    </row>
    <row r="844" spans="1:53" hidden="1" x14ac:dyDescent="0.3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  <c r="AB844" s="48"/>
      <c r="AC844" s="48"/>
      <c r="AD844" s="48"/>
      <c r="AE844" s="48"/>
      <c r="AF844" s="48"/>
      <c r="AG844" s="48"/>
      <c r="AH844" s="48"/>
      <c r="AI844" s="48"/>
      <c r="AJ844" s="48"/>
      <c r="AK844" s="48"/>
      <c r="AL844" s="48"/>
      <c r="AM844" s="48"/>
      <c r="AN844" s="48"/>
      <c r="AO844" s="48"/>
      <c r="AP844" s="48"/>
      <c r="AQ844" s="48"/>
      <c r="AR844" s="48"/>
      <c r="AS844" s="48"/>
      <c r="AT844" s="48"/>
      <c r="AU844" s="48"/>
      <c r="AV844" s="48"/>
      <c r="AW844" s="48"/>
      <c r="AX844" s="48"/>
      <c r="AY844" s="48"/>
      <c r="AZ844" s="48"/>
      <c r="BA844" s="48"/>
    </row>
    <row r="845" spans="1:53" hidden="1" x14ac:dyDescent="0.3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  <c r="AB845" s="48"/>
      <c r="AC845" s="48"/>
      <c r="AD845" s="48"/>
      <c r="AE845" s="48"/>
      <c r="AF845" s="48"/>
      <c r="AG845" s="48"/>
      <c r="AH845" s="48"/>
      <c r="AI845" s="48"/>
      <c r="AJ845" s="48"/>
      <c r="AK845" s="48"/>
      <c r="AL845" s="48"/>
      <c r="AM845" s="48"/>
      <c r="AN845" s="48"/>
      <c r="AO845" s="48"/>
      <c r="AP845" s="48"/>
      <c r="AQ845" s="48"/>
      <c r="AR845" s="48"/>
      <c r="AS845" s="48"/>
      <c r="AT845" s="48"/>
      <c r="AU845" s="48"/>
      <c r="AV845" s="48"/>
      <c r="AW845" s="48"/>
      <c r="AX845" s="48"/>
      <c r="AY845" s="48"/>
      <c r="AZ845" s="48"/>
      <c r="BA845" s="48"/>
    </row>
    <row r="846" spans="1:53" hidden="1" x14ac:dyDescent="0.3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  <c r="AB846" s="48"/>
      <c r="AC846" s="48"/>
      <c r="AD846" s="48"/>
      <c r="AE846" s="48"/>
      <c r="AF846" s="48"/>
      <c r="AG846" s="48"/>
      <c r="AH846" s="48"/>
      <c r="AI846" s="48"/>
      <c r="AJ846" s="48"/>
      <c r="AK846" s="48"/>
      <c r="AL846" s="48"/>
      <c r="AM846" s="48"/>
      <c r="AN846" s="48"/>
      <c r="AO846" s="48"/>
      <c r="AP846" s="48"/>
      <c r="AQ846" s="48"/>
      <c r="AR846" s="48"/>
      <c r="AS846" s="48"/>
      <c r="AT846" s="48"/>
      <c r="AU846" s="48"/>
      <c r="AV846" s="48"/>
      <c r="AW846" s="48"/>
      <c r="AX846" s="48"/>
      <c r="AY846" s="48"/>
      <c r="AZ846" s="48"/>
      <c r="BA846" s="48"/>
    </row>
    <row r="847" spans="1:53" hidden="1" x14ac:dyDescent="0.3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  <c r="AB847" s="48"/>
      <c r="AC847" s="48"/>
      <c r="AD847" s="48"/>
      <c r="AE847" s="48"/>
      <c r="AF847" s="48"/>
      <c r="AG847" s="48"/>
      <c r="AH847" s="48"/>
      <c r="AI847" s="48"/>
      <c r="AJ847" s="48"/>
      <c r="AK847" s="48"/>
      <c r="AL847" s="48"/>
      <c r="AM847" s="48"/>
      <c r="AN847" s="48"/>
      <c r="AO847" s="48"/>
      <c r="AP847" s="48"/>
      <c r="AQ847" s="48"/>
      <c r="AR847" s="48"/>
      <c r="AS847" s="48"/>
      <c r="AT847" s="48"/>
      <c r="AU847" s="48"/>
      <c r="AV847" s="48"/>
      <c r="AW847" s="48"/>
      <c r="AX847" s="48"/>
      <c r="AY847" s="48"/>
      <c r="AZ847" s="48"/>
      <c r="BA847" s="48"/>
    </row>
    <row r="848" spans="1:53" hidden="1" x14ac:dyDescent="0.3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  <c r="AB848" s="48"/>
      <c r="AC848" s="48"/>
      <c r="AD848" s="48"/>
      <c r="AE848" s="48"/>
      <c r="AF848" s="48"/>
      <c r="AG848" s="48"/>
      <c r="AH848" s="48"/>
      <c r="AI848" s="48"/>
      <c r="AJ848" s="48"/>
      <c r="AK848" s="48"/>
      <c r="AL848" s="48"/>
      <c r="AM848" s="48"/>
      <c r="AN848" s="48"/>
      <c r="AO848" s="48"/>
      <c r="AP848" s="48"/>
      <c r="AQ848" s="48"/>
      <c r="AR848" s="48"/>
      <c r="AS848" s="48"/>
      <c r="AT848" s="48"/>
      <c r="AU848" s="48"/>
      <c r="AV848" s="48"/>
      <c r="AW848" s="48"/>
      <c r="AX848" s="48"/>
      <c r="AY848" s="48"/>
      <c r="AZ848" s="48"/>
      <c r="BA848" s="48"/>
    </row>
    <row r="849" spans="1:53" hidden="1" x14ac:dyDescent="0.3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  <c r="AB849" s="48"/>
      <c r="AC849" s="48"/>
      <c r="AD849" s="48"/>
      <c r="AE849" s="48"/>
      <c r="AF849" s="48"/>
      <c r="AG849" s="48"/>
      <c r="AH849" s="48"/>
      <c r="AI849" s="48"/>
      <c r="AJ849" s="48"/>
      <c r="AK849" s="48"/>
      <c r="AL849" s="48"/>
      <c r="AM849" s="48"/>
      <c r="AN849" s="48"/>
      <c r="AO849" s="48"/>
      <c r="AP849" s="48"/>
      <c r="AQ849" s="48"/>
      <c r="AR849" s="48"/>
      <c r="AS849" s="48"/>
      <c r="AT849" s="48"/>
      <c r="AU849" s="48"/>
      <c r="AV849" s="48"/>
      <c r="AW849" s="48"/>
      <c r="AX849" s="48"/>
      <c r="AY849" s="48"/>
      <c r="AZ849" s="48"/>
      <c r="BA849" s="48"/>
    </row>
    <row r="850" spans="1:53" hidden="1" x14ac:dyDescent="0.3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  <c r="AB850" s="48"/>
      <c r="AC850" s="48"/>
      <c r="AD850" s="48"/>
      <c r="AE850" s="48"/>
      <c r="AF850" s="48"/>
      <c r="AG850" s="48"/>
      <c r="AH850" s="48"/>
      <c r="AI850" s="48"/>
      <c r="AJ850" s="48"/>
      <c r="AK850" s="48"/>
      <c r="AL850" s="48"/>
      <c r="AM850" s="48"/>
      <c r="AN850" s="48"/>
      <c r="AO850" s="48"/>
      <c r="AP850" s="48"/>
      <c r="AQ850" s="48"/>
      <c r="AR850" s="48"/>
      <c r="AS850" s="48"/>
      <c r="AT850" s="48"/>
      <c r="AU850" s="48"/>
      <c r="AV850" s="48"/>
      <c r="AW850" s="48"/>
      <c r="AX850" s="48"/>
      <c r="AY850" s="48"/>
      <c r="AZ850" s="48"/>
      <c r="BA850" s="48"/>
    </row>
    <row r="851" spans="1:53" hidden="1" x14ac:dyDescent="0.3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  <c r="AB851" s="48"/>
      <c r="AC851" s="48"/>
      <c r="AD851" s="48"/>
      <c r="AE851" s="48"/>
      <c r="AF851" s="48"/>
      <c r="AG851" s="48"/>
      <c r="AH851" s="48"/>
      <c r="AI851" s="48"/>
      <c r="AJ851" s="48"/>
      <c r="AK851" s="48"/>
      <c r="AL851" s="48"/>
      <c r="AM851" s="48"/>
      <c r="AN851" s="48"/>
      <c r="AO851" s="48"/>
      <c r="AP851" s="48"/>
      <c r="AQ851" s="48"/>
      <c r="AR851" s="48"/>
      <c r="AS851" s="48"/>
      <c r="AT851" s="48"/>
      <c r="AU851" s="48"/>
      <c r="AV851" s="48"/>
      <c r="AW851" s="48"/>
      <c r="AX851" s="48"/>
      <c r="AY851" s="48"/>
      <c r="AZ851" s="48"/>
      <c r="BA851" s="48"/>
    </row>
    <row r="852" spans="1:53" hidden="1" x14ac:dyDescent="0.3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  <c r="AB852" s="48"/>
      <c r="AC852" s="48"/>
      <c r="AD852" s="48"/>
      <c r="AE852" s="48"/>
      <c r="AF852" s="48"/>
      <c r="AG852" s="48"/>
      <c r="AH852" s="48"/>
      <c r="AI852" s="48"/>
      <c r="AJ852" s="48"/>
      <c r="AK852" s="48"/>
      <c r="AL852" s="48"/>
      <c r="AM852" s="48"/>
      <c r="AN852" s="48"/>
      <c r="AO852" s="48"/>
      <c r="AP852" s="48"/>
      <c r="AQ852" s="48"/>
      <c r="AR852" s="48"/>
      <c r="AS852" s="48"/>
      <c r="AT852" s="48"/>
      <c r="AU852" s="48"/>
      <c r="AV852" s="48"/>
      <c r="AW852" s="48"/>
      <c r="AX852" s="48"/>
      <c r="AY852" s="48"/>
      <c r="AZ852" s="48"/>
      <c r="BA852" s="48"/>
    </row>
    <row r="853" spans="1:53" hidden="1" x14ac:dyDescent="0.3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  <c r="AB853" s="48"/>
      <c r="AC853" s="48"/>
      <c r="AD853" s="48"/>
      <c r="AE853" s="48"/>
      <c r="AF853" s="48"/>
      <c r="AG853" s="48"/>
      <c r="AH853" s="48"/>
      <c r="AI853" s="48"/>
      <c r="AJ853" s="48"/>
      <c r="AK853" s="48"/>
      <c r="AL853" s="48"/>
      <c r="AM853" s="48"/>
      <c r="AN853" s="48"/>
      <c r="AO853" s="48"/>
      <c r="AP853" s="48"/>
      <c r="AQ853" s="48"/>
      <c r="AR853" s="48"/>
      <c r="AS853" s="48"/>
      <c r="AT853" s="48"/>
      <c r="AU853" s="48"/>
      <c r="AV853" s="48"/>
      <c r="AW853" s="48"/>
      <c r="AX853" s="48"/>
      <c r="AY853" s="48"/>
      <c r="AZ853" s="48"/>
      <c r="BA853" s="48"/>
    </row>
    <row r="854" spans="1:53" hidden="1" x14ac:dyDescent="0.3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  <c r="AB854" s="48"/>
      <c r="AC854" s="48"/>
      <c r="AD854" s="48"/>
      <c r="AE854" s="48"/>
      <c r="AF854" s="48"/>
      <c r="AG854" s="48"/>
      <c r="AH854" s="48"/>
      <c r="AI854" s="48"/>
      <c r="AJ854" s="48"/>
      <c r="AK854" s="48"/>
      <c r="AL854" s="48"/>
      <c r="AM854" s="48"/>
      <c r="AN854" s="48"/>
      <c r="AO854" s="48"/>
      <c r="AP854" s="48"/>
      <c r="AQ854" s="48"/>
      <c r="AR854" s="48"/>
      <c r="AS854" s="48"/>
      <c r="AT854" s="48"/>
      <c r="AU854" s="48"/>
      <c r="AV854" s="48"/>
      <c r="AW854" s="48"/>
      <c r="AX854" s="48"/>
      <c r="AY854" s="48"/>
      <c r="AZ854" s="48"/>
      <c r="BA854" s="48"/>
    </row>
    <row r="855" spans="1:53" hidden="1" x14ac:dyDescent="0.3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  <c r="AB855" s="48"/>
      <c r="AC855" s="48"/>
      <c r="AD855" s="48"/>
      <c r="AE855" s="48"/>
      <c r="AF855" s="48"/>
      <c r="AG855" s="48"/>
      <c r="AH855" s="48"/>
      <c r="AI855" s="48"/>
      <c r="AJ855" s="48"/>
      <c r="AK855" s="48"/>
      <c r="AL855" s="48"/>
      <c r="AM855" s="48"/>
      <c r="AN855" s="48"/>
      <c r="AO855" s="48"/>
      <c r="AP855" s="48"/>
      <c r="AQ855" s="48"/>
      <c r="AR855" s="48"/>
      <c r="AS855" s="48"/>
      <c r="AT855" s="48"/>
      <c r="AU855" s="48"/>
      <c r="AV855" s="48"/>
      <c r="AW855" s="48"/>
      <c r="AX855" s="48"/>
      <c r="AY855" s="48"/>
      <c r="AZ855" s="48"/>
      <c r="BA855" s="48"/>
    </row>
    <row r="856" spans="1:53" hidden="1" x14ac:dyDescent="0.3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  <c r="AB856" s="48"/>
      <c r="AC856" s="48"/>
      <c r="AD856" s="48"/>
      <c r="AE856" s="48"/>
      <c r="AF856" s="48"/>
      <c r="AG856" s="48"/>
      <c r="AH856" s="48"/>
      <c r="AI856" s="48"/>
      <c r="AJ856" s="48"/>
      <c r="AK856" s="48"/>
      <c r="AL856" s="48"/>
      <c r="AM856" s="48"/>
      <c r="AN856" s="48"/>
      <c r="AO856" s="48"/>
      <c r="AP856" s="48"/>
      <c r="AQ856" s="48"/>
      <c r="AR856" s="48"/>
      <c r="AS856" s="48"/>
      <c r="AT856" s="48"/>
      <c r="AU856" s="48"/>
      <c r="AV856" s="48"/>
      <c r="AW856" s="48"/>
      <c r="AX856" s="48"/>
      <c r="AY856" s="48"/>
      <c r="AZ856" s="48"/>
      <c r="BA856" s="48"/>
    </row>
    <row r="857" spans="1:53" hidden="1" x14ac:dyDescent="0.3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  <c r="AB857" s="48"/>
      <c r="AC857" s="48"/>
      <c r="AD857" s="48"/>
      <c r="AE857" s="48"/>
      <c r="AF857" s="48"/>
      <c r="AG857" s="48"/>
      <c r="AH857" s="48"/>
      <c r="AI857" s="48"/>
      <c r="AJ857" s="48"/>
      <c r="AK857" s="48"/>
      <c r="AL857" s="48"/>
      <c r="AM857" s="48"/>
      <c r="AN857" s="48"/>
      <c r="AO857" s="48"/>
      <c r="AP857" s="48"/>
      <c r="AQ857" s="48"/>
      <c r="AR857" s="48"/>
      <c r="AS857" s="48"/>
      <c r="AT857" s="48"/>
      <c r="AU857" s="48"/>
      <c r="AV857" s="48"/>
      <c r="AW857" s="48"/>
      <c r="AX857" s="48"/>
      <c r="AY857" s="48"/>
      <c r="AZ857" s="48"/>
      <c r="BA857" s="48"/>
    </row>
    <row r="858" spans="1:53" hidden="1" x14ac:dyDescent="0.3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  <c r="AB858" s="48"/>
      <c r="AC858" s="48"/>
      <c r="AD858" s="48"/>
      <c r="AE858" s="48"/>
      <c r="AF858" s="48"/>
      <c r="AG858" s="48"/>
      <c r="AH858" s="48"/>
      <c r="AI858" s="48"/>
      <c r="AJ858" s="48"/>
      <c r="AK858" s="48"/>
      <c r="AL858" s="48"/>
      <c r="AM858" s="48"/>
      <c r="AN858" s="48"/>
      <c r="AO858" s="48"/>
      <c r="AP858" s="48"/>
      <c r="AQ858" s="48"/>
      <c r="AR858" s="48"/>
      <c r="AS858" s="48"/>
      <c r="AT858" s="48"/>
      <c r="AU858" s="48"/>
      <c r="AV858" s="48"/>
      <c r="AW858" s="48"/>
      <c r="AX858" s="48"/>
      <c r="AY858" s="48"/>
      <c r="AZ858" s="48"/>
      <c r="BA858" s="48"/>
    </row>
    <row r="859" spans="1:53" hidden="1" x14ac:dyDescent="0.3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  <c r="AB859" s="48"/>
      <c r="AC859" s="48"/>
      <c r="AD859" s="48"/>
      <c r="AE859" s="48"/>
      <c r="AF859" s="48"/>
      <c r="AG859" s="48"/>
      <c r="AH859" s="48"/>
      <c r="AI859" s="48"/>
      <c r="AJ859" s="48"/>
      <c r="AK859" s="48"/>
      <c r="AL859" s="48"/>
      <c r="AM859" s="48"/>
      <c r="AN859" s="48"/>
      <c r="AO859" s="48"/>
      <c r="AP859" s="48"/>
      <c r="AQ859" s="48"/>
      <c r="AR859" s="48"/>
      <c r="AS859" s="48"/>
      <c r="AT859" s="48"/>
      <c r="AU859" s="48"/>
      <c r="AV859" s="48"/>
      <c r="AW859" s="48"/>
      <c r="AX859" s="48"/>
      <c r="AY859" s="48"/>
      <c r="AZ859" s="48"/>
      <c r="BA859" s="48"/>
    </row>
    <row r="860" spans="1:53" hidden="1" x14ac:dyDescent="0.3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  <c r="AB860" s="48"/>
      <c r="AC860" s="48"/>
      <c r="AD860" s="48"/>
      <c r="AE860" s="48"/>
      <c r="AF860" s="48"/>
      <c r="AG860" s="48"/>
      <c r="AH860" s="48"/>
      <c r="AI860" s="48"/>
      <c r="AJ860" s="48"/>
      <c r="AK860" s="48"/>
      <c r="AL860" s="48"/>
      <c r="AM860" s="48"/>
      <c r="AN860" s="48"/>
      <c r="AO860" s="48"/>
      <c r="AP860" s="48"/>
      <c r="AQ860" s="48"/>
      <c r="AR860" s="48"/>
      <c r="AS860" s="48"/>
      <c r="AT860" s="48"/>
      <c r="AU860" s="48"/>
      <c r="AV860" s="48"/>
      <c r="AW860" s="48"/>
      <c r="AX860" s="48"/>
      <c r="AY860" s="48"/>
      <c r="AZ860" s="48"/>
      <c r="BA860" s="48"/>
    </row>
    <row r="861" spans="1:53" hidden="1" x14ac:dyDescent="0.3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  <c r="AB861" s="48"/>
      <c r="AC861" s="48"/>
      <c r="AD861" s="48"/>
      <c r="AE861" s="48"/>
      <c r="AF861" s="48"/>
      <c r="AG861" s="48"/>
      <c r="AH861" s="48"/>
      <c r="AI861" s="48"/>
      <c r="AJ861" s="48"/>
      <c r="AK861" s="48"/>
      <c r="AL861" s="48"/>
      <c r="AM861" s="48"/>
      <c r="AN861" s="48"/>
      <c r="AO861" s="48"/>
      <c r="AP861" s="48"/>
      <c r="AQ861" s="48"/>
      <c r="AR861" s="48"/>
      <c r="AS861" s="48"/>
      <c r="AT861" s="48"/>
      <c r="AU861" s="48"/>
      <c r="AV861" s="48"/>
      <c r="AW861" s="48"/>
      <c r="AX861" s="48"/>
      <c r="AY861" s="48"/>
      <c r="AZ861" s="48"/>
      <c r="BA861" s="48"/>
    </row>
    <row r="862" spans="1:53" hidden="1" x14ac:dyDescent="0.3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  <c r="AB862" s="48"/>
      <c r="AC862" s="48"/>
      <c r="AD862" s="48"/>
      <c r="AE862" s="48"/>
      <c r="AF862" s="48"/>
      <c r="AG862" s="48"/>
      <c r="AH862" s="48"/>
      <c r="AI862" s="48"/>
      <c r="AJ862" s="48"/>
      <c r="AK862" s="48"/>
      <c r="AL862" s="48"/>
      <c r="AM862" s="48"/>
      <c r="AN862" s="48"/>
      <c r="AO862" s="48"/>
      <c r="AP862" s="48"/>
      <c r="AQ862" s="48"/>
      <c r="AR862" s="48"/>
      <c r="AS862" s="48"/>
      <c r="AT862" s="48"/>
      <c r="AU862" s="48"/>
      <c r="AV862" s="48"/>
      <c r="AW862" s="48"/>
      <c r="AX862" s="48"/>
      <c r="AY862" s="48"/>
      <c r="AZ862" s="48"/>
      <c r="BA862" s="48"/>
    </row>
    <row r="863" spans="1:53" hidden="1" x14ac:dyDescent="0.3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  <c r="AB863" s="48"/>
      <c r="AC863" s="48"/>
      <c r="AD863" s="48"/>
      <c r="AE863" s="48"/>
      <c r="AF863" s="48"/>
      <c r="AG863" s="48"/>
      <c r="AH863" s="48"/>
      <c r="AI863" s="48"/>
      <c r="AJ863" s="48"/>
      <c r="AK863" s="48"/>
      <c r="AL863" s="48"/>
      <c r="AM863" s="48"/>
      <c r="AN863" s="48"/>
      <c r="AO863" s="48"/>
      <c r="AP863" s="48"/>
      <c r="AQ863" s="48"/>
      <c r="AR863" s="48"/>
      <c r="AS863" s="48"/>
      <c r="AT863" s="48"/>
      <c r="AU863" s="48"/>
      <c r="AV863" s="48"/>
      <c r="AW863" s="48"/>
      <c r="AX863" s="48"/>
      <c r="AY863" s="48"/>
      <c r="AZ863" s="48"/>
      <c r="BA863" s="48"/>
    </row>
    <row r="864" spans="1:53" hidden="1" x14ac:dyDescent="0.3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  <c r="AB864" s="48"/>
      <c r="AC864" s="48"/>
      <c r="AD864" s="48"/>
      <c r="AE864" s="48"/>
      <c r="AF864" s="48"/>
      <c r="AG864" s="48"/>
      <c r="AH864" s="48"/>
      <c r="AI864" s="48"/>
      <c r="AJ864" s="48"/>
      <c r="AK864" s="48"/>
      <c r="AL864" s="48"/>
      <c r="AM864" s="48"/>
      <c r="AN864" s="48"/>
      <c r="AO864" s="48"/>
      <c r="AP864" s="48"/>
      <c r="AQ864" s="48"/>
      <c r="AR864" s="48"/>
      <c r="AS864" s="48"/>
      <c r="AT864" s="48"/>
      <c r="AU864" s="48"/>
      <c r="AV864" s="48"/>
      <c r="AW864" s="48"/>
      <c r="AX864" s="48"/>
      <c r="AY864" s="48"/>
      <c r="AZ864" s="48"/>
      <c r="BA864" s="48"/>
    </row>
    <row r="865" spans="1:53" hidden="1" x14ac:dyDescent="0.3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  <c r="AB865" s="48"/>
      <c r="AC865" s="48"/>
      <c r="AD865" s="48"/>
      <c r="AE865" s="48"/>
      <c r="AF865" s="48"/>
      <c r="AG865" s="48"/>
      <c r="AH865" s="48"/>
      <c r="AI865" s="48"/>
      <c r="AJ865" s="48"/>
      <c r="AK865" s="48"/>
      <c r="AL865" s="48"/>
      <c r="AM865" s="48"/>
      <c r="AN865" s="48"/>
      <c r="AO865" s="48"/>
      <c r="AP865" s="48"/>
      <c r="AQ865" s="48"/>
      <c r="AR865" s="48"/>
      <c r="AS865" s="48"/>
      <c r="AT865" s="48"/>
      <c r="AU865" s="48"/>
      <c r="AV865" s="48"/>
      <c r="AW865" s="48"/>
      <c r="AX865" s="48"/>
      <c r="AY865" s="48"/>
      <c r="AZ865" s="48"/>
      <c r="BA865" s="48"/>
    </row>
    <row r="866" spans="1:53" hidden="1" x14ac:dyDescent="0.3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  <c r="AB866" s="48"/>
      <c r="AC866" s="48"/>
      <c r="AD866" s="48"/>
      <c r="AE866" s="48"/>
      <c r="AF866" s="48"/>
      <c r="AG866" s="48"/>
      <c r="AH866" s="48"/>
      <c r="AI866" s="48"/>
      <c r="AJ866" s="48"/>
      <c r="AK866" s="48"/>
      <c r="AL866" s="48"/>
      <c r="AM866" s="48"/>
      <c r="AN866" s="48"/>
      <c r="AO866" s="48"/>
      <c r="AP866" s="48"/>
      <c r="AQ866" s="48"/>
      <c r="AR866" s="48"/>
      <c r="AS866" s="48"/>
      <c r="AT866" s="48"/>
      <c r="AU866" s="48"/>
      <c r="AV866" s="48"/>
      <c r="AW866" s="48"/>
      <c r="AX866" s="48"/>
      <c r="AY866" s="48"/>
      <c r="AZ866" s="48"/>
      <c r="BA866" s="48"/>
    </row>
    <row r="867" spans="1:53" hidden="1" x14ac:dyDescent="0.3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  <c r="AB867" s="48"/>
      <c r="AC867" s="48"/>
      <c r="AD867" s="48"/>
      <c r="AE867" s="48"/>
      <c r="AF867" s="48"/>
      <c r="AG867" s="48"/>
      <c r="AH867" s="48"/>
      <c r="AI867" s="48"/>
      <c r="AJ867" s="48"/>
      <c r="AK867" s="48"/>
      <c r="AL867" s="48"/>
      <c r="AM867" s="48"/>
      <c r="AN867" s="48"/>
      <c r="AO867" s="48"/>
      <c r="AP867" s="48"/>
      <c r="AQ867" s="48"/>
      <c r="AR867" s="48"/>
      <c r="AS867" s="48"/>
      <c r="AT867" s="48"/>
      <c r="AU867" s="48"/>
      <c r="AV867" s="48"/>
      <c r="AW867" s="48"/>
      <c r="AX867" s="48"/>
      <c r="AY867" s="48"/>
      <c r="AZ867" s="48"/>
      <c r="BA867" s="48"/>
    </row>
    <row r="868" spans="1:53" hidden="1" x14ac:dyDescent="0.3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  <c r="AB868" s="48"/>
      <c r="AC868" s="48"/>
      <c r="AD868" s="48"/>
      <c r="AE868" s="48"/>
      <c r="AF868" s="48"/>
      <c r="AG868" s="48"/>
      <c r="AH868" s="48"/>
      <c r="AI868" s="48"/>
      <c r="AJ868" s="48"/>
      <c r="AK868" s="48"/>
      <c r="AL868" s="48"/>
      <c r="AM868" s="48"/>
      <c r="AN868" s="48"/>
      <c r="AO868" s="48"/>
      <c r="AP868" s="48"/>
      <c r="AQ868" s="48"/>
      <c r="AR868" s="48"/>
      <c r="AS868" s="48"/>
      <c r="AT868" s="48"/>
      <c r="AU868" s="48"/>
      <c r="AV868" s="48"/>
      <c r="AW868" s="48"/>
      <c r="AX868" s="48"/>
      <c r="AY868" s="48"/>
      <c r="AZ868" s="48"/>
      <c r="BA868" s="48"/>
    </row>
    <row r="869" spans="1:53" hidden="1" x14ac:dyDescent="0.3">
      <c r="B869" s="48"/>
      <c r="C869" s="48"/>
      <c r="D869" s="48"/>
      <c r="E869" s="48"/>
      <c r="F869" s="48"/>
      <c r="G869" s="48"/>
      <c r="J869" s="48"/>
      <c r="K869" s="48"/>
      <c r="L869" s="48"/>
      <c r="M869" s="48"/>
      <c r="N869" s="48"/>
      <c r="O869" s="48"/>
      <c r="P869" s="48"/>
      <c r="Q869" s="48"/>
    </row>
    <row r="870" spans="1:53" hidden="1" x14ac:dyDescent="0.3">
      <c r="J870" s="48"/>
      <c r="K870" s="48"/>
      <c r="L870" s="48"/>
      <c r="M870" s="48"/>
      <c r="N870" s="48"/>
    </row>
    <row r="871" spans="1:53" hidden="1" x14ac:dyDescent="0.3">
      <c r="L871" s="48"/>
      <c r="M871" s="48"/>
      <c r="N871" s="48"/>
    </row>
  </sheetData>
  <dataConsolidate/>
  <phoneticPr fontId="6" type="noConversion"/>
  <conditionalFormatting sqref="J21:J25">
    <cfRule type="dataBar" priority="25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{BA9DF265-D112-48C9-A244-00D1E1180AD7}</x14:id>
        </ext>
      </extLst>
    </cfRule>
    <cfRule type="dataBar" priority="27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{4F109577-7BED-4F20-BB7E-9EBCD644FEDC}</x14:id>
        </ext>
      </extLst>
    </cfRule>
    <cfRule type="dataBar" priority="3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{154BF4F8-02C6-47B1-A46F-77B97DCAFFE2}</x14:id>
        </ext>
      </extLst>
    </cfRule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{1FE00134-C137-425E-8A41-E25AEEA060DF}</x14:id>
        </ext>
      </extLst>
    </cfRule>
  </conditionalFormatting>
  <conditionalFormatting sqref="H21:I2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{AB6AE427-ED5B-4BD8-A402-CDC52CE40468}</x14:id>
        </ext>
      </extLst>
    </cfRule>
  </conditionalFormatting>
  <conditionalFormatting sqref="Q21:Q25">
    <cfRule type="dataBar" priority="30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{BF8C082A-285B-448C-B51B-BAC3F4AFF739}</x14:id>
        </ext>
      </extLst>
    </cfRule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{A4D767DF-243A-4932-BE2F-DF1AD25F4270}</x14:id>
        </ext>
      </extLst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{BE7A4DB2-E641-4CB6-BD04-7CFB857890A7}</x14:id>
        </ext>
      </extLst>
    </cfRule>
    <cfRule type="dataBar" priority="33">
      <dataBar>
        <cfvo type="min"/>
        <cfvo type="max"/>
        <color rgb="FFF395BD"/>
      </dataBar>
      <extLst>
        <ext xmlns:x14="http://schemas.microsoft.com/office/spreadsheetml/2009/9/main" uri="{B025F937-C7B1-47D3-B67F-A62EFF666E3E}">
          <x14:id>{C76D38AB-5F2D-4898-B699-337C36FCE473}</x14:id>
        </ext>
      </extLst>
    </cfRule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{AEFA3C51-9DC2-49DB-A79C-DB0BDB096E94}</x14:id>
        </ext>
      </extLst>
    </cfRule>
  </conditionalFormatting>
  <conditionalFormatting sqref="I21:I25">
    <cfRule type="dataBar" priority="2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{469FE07A-05FD-43D7-8F09-5D14E09510DB}</x14:id>
        </ext>
      </extLst>
    </cfRule>
    <cfRule type="dataBar" priority="36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{B93EAF6D-CF4B-4EDF-93BE-F70EADD4AE60}</x14:id>
        </ext>
      </extLst>
    </cfRule>
  </conditionalFormatting>
  <conditionalFormatting sqref="H21:H25">
    <cfRule type="dataBar" priority="28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{7700C651-54DC-433F-820C-BF908488E882}</x14:id>
        </ext>
      </extLst>
    </cfRule>
    <cfRule type="dataBar" priority="35">
      <dataBar>
        <cfvo type="min"/>
        <cfvo type="max"/>
        <color rgb="FFFFFF66"/>
      </dataBar>
      <extLst>
        <ext xmlns:x14="http://schemas.microsoft.com/office/spreadsheetml/2009/9/main" uri="{B025F937-C7B1-47D3-B67F-A62EFF666E3E}">
          <x14:id>{739BA192-4F18-4E92-BD1D-211388CDC404}</x14:id>
        </ext>
      </extLst>
    </cfRule>
  </conditionalFormatting>
  <conditionalFormatting sqref="Q21:Q25 H21:H25 J21:J25">
    <cfRule type="dataBar" priority="29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{011896DA-0D8D-4DE4-B91C-A5704C3975B5}</x14:id>
        </ext>
      </extLst>
    </cfRule>
  </conditionalFormatting>
  <conditionalFormatting sqref="H36:H39">
    <cfRule type="dataBar" priority="7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{25170CD4-4795-4433-935E-E0EBAD4CE92B}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{5AFB205A-49E5-44E8-97AF-459ABA1FB23A}</x14:id>
        </ext>
      </extLst>
    </cfRule>
  </conditionalFormatting>
  <conditionalFormatting sqref="I36:I39">
    <cfRule type="dataBar" priority="6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{7BFB8EC2-671C-4995-A78B-3ECFE02D27CE}</x14:id>
        </ext>
      </extLst>
    </cfRule>
  </conditionalFormatting>
  <conditionalFormatting sqref="J36:J40">
    <cfRule type="dataBar" priority="2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{03C3306F-51D9-40C6-8335-2A4881B215DC}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{30DEF801-67DF-4BC0-9533-DDAF46A585C9}</x14:id>
        </ext>
      </extLst>
    </cfRule>
  </conditionalFormatting>
  <conditionalFormatting sqref="Q35:Q39">
    <cfRule type="dataBar" priority="1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{AED9DBE3-00E2-4798-9308-01DA67B10E13}</x14:id>
        </ext>
      </extLst>
    </cfRule>
  </conditionalFormatting>
  <dataValidations count="2">
    <dataValidation type="list" allowBlank="1" showInputMessage="1" showErrorMessage="1" sqref="C22" xr:uid="{70886D72-2B9E-4EAE-95DB-6E2724AAE0F2}">
      <formula1>INDIRECT("m3.Madereo_Maq.Disponible[[#Encabezados];[Skidder-Garra]:[NULO]]")</formula1>
    </dataValidation>
    <dataValidation type="list" allowBlank="1" showInputMessage="1" showErrorMessage="1" sqref="C24" xr:uid="{39553FA8-354B-413E-83C9-F358A6DB11E5}">
      <formula1>INDIRECT("m3.Carguío_Maq.Disponible[[#Encabezados];[Hidráulico 1]:[NULO]]")</formula1>
    </dataValidation>
  </dataValidation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9DF265-D112-48C9-A244-00D1E1180A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F109577-7BED-4F20-BB7E-9EBCD644FE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54BF4F8-02C6-47B1-A46F-77B97DCAFF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E00134-C137-425E-8A41-E25AEEA060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J21:J25</xm:sqref>
        </x14:conditionalFormatting>
        <x14:conditionalFormatting xmlns:xm="http://schemas.microsoft.com/office/excel/2006/main">
          <x14:cfRule type="dataBar" id="{AB6AE427-ED5B-4BD8-A402-CDC52CE404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H21:I25</xm:sqref>
        </x14:conditionalFormatting>
        <x14:conditionalFormatting xmlns:xm="http://schemas.microsoft.com/office/excel/2006/main">
          <x14:cfRule type="dataBar" id="{BF8C082A-285B-448C-B51B-BAC3F4AFF7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D767DF-243A-4932-BE2F-DF1AD25F427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E7A4DB2-E641-4CB6-BD04-7CFB857890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6D38AB-5F2D-4898-B699-337C36FCE4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EFA3C51-9DC2-49DB-A79C-DB0BDB096E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Q21:Q25</xm:sqref>
        </x14:conditionalFormatting>
        <x14:conditionalFormatting xmlns:xm="http://schemas.microsoft.com/office/excel/2006/main">
          <x14:cfRule type="dataBar" id="{469FE07A-05FD-43D7-8F09-5D14E09510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93EAF6D-CF4B-4EDF-93BE-F70EADD4AE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I21:I25</xm:sqref>
        </x14:conditionalFormatting>
        <x14:conditionalFormatting xmlns:xm="http://schemas.microsoft.com/office/excel/2006/main">
          <x14:cfRule type="dataBar" id="{7700C651-54DC-433F-820C-BF908488E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39BA192-4F18-4E92-BD1D-211388CDC4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H21:H25</xm:sqref>
        </x14:conditionalFormatting>
        <x14:conditionalFormatting xmlns:xm="http://schemas.microsoft.com/office/excel/2006/main">
          <x14:cfRule type="dataBar" id="{011896DA-0D8D-4DE4-B91C-A5704C3975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Q21:Q25 H21:H25 J21:J25</xm:sqref>
        </x14:conditionalFormatting>
        <x14:conditionalFormatting xmlns:xm="http://schemas.microsoft.com/office/excel/2006/main">
          <x14:cfRule type="dataBar" id="{25170CD4-4795-4433-935E-E0EBAD4CE9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AFB205A-49E5-44E8-97AF-459ABA1FB2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H36:H39</xm:sqref>
        </x14:conditionalFormatting>
        <x14:conditionalFormatting xmlns:xm="http://schemas.microsoft.com/office/excel/2006/main">
          <x14:cfRule type="dataBar" id="{7BFB8EC2-671C-4995-A78B-3ECFE02D27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I36:I39</xm:sqref>
        </x14:conditionalFormatting>
        <x14:conditionalFormatting xmlns:xm="http://schemas.microsoft.com/office/excel/2006/main">
          <x14:cfRule type="dataBar" id="{03C3306F-51D9-40C6-8335-2A4881B21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0DEF801-67DF-4BC0-9533-DDAF46A585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J36:J40</xm:sqref>
        </x14:conditionalFormatting>
        <x14:conditionalFormatting xmlns:xm="http://schemas.microsoft.com/office/excel/2006/main">
          <x14:cfRule type="dataBar" id="{AED9DBE3-00E2-4798-9308-01DA67B10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Q35:Q39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08F2644-A91A-4C67-8F46-26A77DE2EFD4}">
          <x14:formula1>
            <xm:f>'m3 Transporte'!$C$29:$D$29</xm:f>
          </x14:formula1>
          <xm:sqref>C25 C40</xm:sqref>
        </x14:dataValidation>
        <x14:dataValidation type="list" showInputMessage="1" showErrorMessage="1" xr:uid="{AF223E3C-7D92-4DE6-A6FC-51BC37C01970}">
          <x14:formula1>
            <xm:f>'m3 Volteo'!$C$24:$G$24</xm:f>
          </x14:formula1>
          <xm:sqref>C21</xm:sqref>
        </x14:dataValidation>
        <x14:dataValidation type="list" allowBlank="1" showInputMessage="1" showErrorMessage="1" xr:uid="{6C590A88-C5FA-4D1F-814D-9350A9F3D68E}">
          <x14:formula1>
            <xm:f>'m3 Volteo'!$C$24:$G$24</xm:f>
          </x14:formula1>
          <xm:sqref>C36</xm:sqref>
        </x14:dataValidation>
        <x14:dataValidation type="list" allowBlank="1" showInputMessage="1" showErrorMessage="1" xr:uid="{EE4513B9-1022-4286-B9A5-9785F48000C2}">
          <x14:formula1>
            <xm:f>'m3 Madereo'!$C$24:$G$24</xm:f>
          </x14:formula1>
          <xm:sqref>C37</xm:sqref>
        </x14:dataValidation>
        <x14:dataValidation type="list" showInputMessage="1" showErrorMessage="1" xr:uid="{90511B14-9C1F-41CD-BBF6-4C50849BAEDB}">
          <x14:formula1>
            <xm:f>'m3 Procesado'!$C$23:$E$23</xm:f>
          </x14:formula1>
          <xm:sqref>C23</xm:sqref>
        </x14:dataValidation>
        <x14:dataValidation type="list" allowBlank="1" showInputMessage="1" showErrorMessage="1" xr:uid="{2055B473-978E-49AE-8B19-1B8510638343}">
          <x14:formula1>
            <xm:f>'m3 Procesado'!$C$23:$E$23</xm:f>
          </x14:formula1>
          <xm:sqref>C38</xm:sqref>
        </x14:dataValidation>
        <x14:dataValidation type="list" allowBlank="1" showInputMessage="1" showErrorMessage="1" xr:uid="{DCB43C0C-B2EF-4E28-B8C8-F6867E210519}">
          <x14:formula1>
            <xm:f>'m3 Carguío'!$C$26:$E$26</xm:f>
          </x14:formula1>
          <xm:sqref>C39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357FD-1107-4FEF-9243-F24D784DD0DC}">
  <sheetPr codeName="Hoja4"/>
  <dimension ref="A1:AX194"/>
  <sheetViews>
    <sheetView showRowColHeaders="0" zoomScale="70" zoomScaleNormal="70" workbookViewId="0"/>
  </sheetViews>
  <sheetFormatPr baseColWidth="10" defaultColWidth="0" defaultRowHeight="14.4" zeroHeight="1" x14ac:dyDescent="0.3"/>
  <cols>
    <col min="1" max="1" width="10.88671875" style="48" customWidth="1"/>
    <col min="2" max="2" width="13.88671875" style="48" customWidth="1"/>
    <col min="3" max="3" width="21.88671875" customWidth="1"/>
    <col min="4" max="4" width="15.88671875" customWidth="1"/>
    <col min="5" max="5" width="16.109375" customWidth="1"/>
    <col min="6" max="6" width="21.88671875" bestFit="1" customWidth="1"/>
    <col min="7" max="7" width="25.88671875" bestFit="1" customWidth="1"/>
    <col min="8" max="8" width="19.5546875" bestFit="1" customWidth="1"/>
    <col min="9" max="9" width="14.109375" bestFit="1" customWidth="1"/>
    <col min="10" max="10" width="15.44140625" bestFit="1" customWidth="1"/>
    <col min="11" max="11" width="11.88671875" bestFit="1" customWidth="1"/>
    <col min="12" max="12" width="11.109375" bestFit="1" customWidth="1"/>
    <col min="13" max="13" width="21.33203125" bestFit="1" customWidth="1"/>
    <col min="14" max="14" width="13.5546875" bestFit="1" customWidth="1"/>
    <col min="15" max="15" width="12" bestFit="1" customWidth="1"/>
    <col min="16" max="16" width="12.44140625" customWidth="1"/>
    <col min="17" max="17" width="10.44140625" customWidth="1"/>
    <col min="18" max="18" width="12.109375" bestFit="1" customWidth="1"/>
    <col min="19" max="19" width="9.44140625" bestFit="1" customWidth="1"/>
    <col min="20" max="20" width="14.33203125" customWidth="1"/>
    <col min="21" max="21" width="10.88671875" customWidth="1"/>
    <col min="22" max="24" width="10.88671875" hidden="1" customWidth="1"/>
    <col min="25" max="25" width="28.88671875" hidden="1" customWidth="1"/>
    <col min="26" max="26" width="21.88671875" hidden="1" customWidth="1"/>
    <col min="27" max="27" width="11.44140625" hidden="1" customWidth="1"/>
    <col min="28" max="28" width="10.5546875" hidden="1" customWidth="1"/>
    <col min="29" max="29" width="11.33203125" hidden="1" customWidth="1"/>
    <col min="30" max="30" width="13.5546875" hidden="1" customWidth="1"/>
    <col min="31" max="33" width="12" hidden="1" customWidth="1"/>
    <col min="34" max="35" width="10.88671875" hidden="1" customWidth="1"/>
    <col min="36" max="36" width="34" hidden="1" customWidth="1"/>
    <col min="37" max="37" width="13.5546875" hidden="1" customWidth="1"/>
    <col min="38" max="40" width="12.44140625" hidden="1" customWidth="1"/>
    <col min="41" max="42" width="10.88671875" hidden="1" customWidth="1"/>
    <col min="43" max="43" width="10.44140625" hidden="1" customWidth="1"/>
    <col min="44" max="44" width="13.88671875" hidden="1" customWidth="1"/>
    <col min="45" max="45" width="13.44140625" hidden="1" customWidth="1"/>
    <col min="46" max="47" width="9.5546875" hidden="1" customWidth="1"/>
    <col min="48" max="48" width="11.44140625" hidden="1" customWidth="1"/>
    <col min="49" max="49" width="9.5546875" hidden="1" customWidth="1"/>
    <col min="50" max="50" width="8.109375" hidden="1" customWidth="1"/>
    <col min="51" max="16384" width="10.88671875" hidden="1"/>
  </cols>
  <sheetData>
    <row r="1" spans="2:50" x14ac:dyDescent="0.3"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</row>
    <row r="2" spans="2:50" x14ac:dyDescent="0.3">
      <c r="C2" s="48"/>
      <c r="D2" s="77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</row>
    <row r="3" spans="2:50" x14ac:dyDescent="0.3">
      <c r="C3" s="48"/>
      <c r="D3" s="316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Q3" s="49"/>
      <c r="AR3" s="49"/>
      <c r="AS3" s="49"/>
      <c r="AT3" s="49"/>
      <c r="AU3" s="49"/>
      <c r="AV3" s="49"/>
      <c r="AW3" s="49"/>
      <c r="AX3" s="49"/>
    </row>
    <row r="4" spans="2:50" ht="15" thickBot="1" x14ac:dyDescent="0.35"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107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107"/>
      <c r="AK4" s="48"/>
      <c r="AL4" s="48"/>
      <c r="AM4" s="48"/>
      <c r="AN4" s="48"/>
      <c r="AO4" s="48"/>
      <c r="AQ4" s="49"/>
      <c r="AR4" s="49"/>
      <c r="AS4" s="49"/>
      <c r="AT4" s="31"/>
      <c r="AU4" s="31"/>
      <c r="AV4" s="31"/>
      <c r="AW4" s="31"/>
      <c r="AX4" s="31"/>
    </row>
    <row r="5" spans="2:50" ht="16.2" x14ac:dyDescent="0.3">
      <c r="B5" s="503" t="s">
        <v>398</v>
      </c>
      <c r="C5" s="184" t="s">
        <v>381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107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107"/>
      <c r="AK5" s="48"/>
      <c r="AL5" s="48"/>
      <c r="AM5" s="48"/>
      <c r="AN5" s="48"/>
      <c r="AO5" s="48"/>
      <c r="AQ5" s="49"/>
      <c r="AR5" s="49"/>
      <c r="AS5" s="49"/>
      <c r="AT5" s="31"/>
      <c r="AU5" s="31"/>
      <c r="AV5" s="31"/>
      <c r="AW5" s="31"/>
      <c r="AX5" s="31"/>
    </row>
    <row r="6" spans="2:50" ht="15" thickBot="1" x14ac:dyDescent="0.35">
      <c r="B6" s="524">
        <v>21450</v>
      </c>
      <c r="C6" s="525" cm="1">
        <f t="array" ref="C6">m4.Parámetros[Costos Indirectos, $/hrpl]</f>
        <v>21771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107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107"/>
      <c r="AK6" s="48"/>
      <c r="AL6" s="48"/>
      <c r="AM6" s="48"/>
      <c r="AN6" s="48"/>
      <c r="AO6" s="48"/>
      <c r="AQ6" s="49"/>
      <c r="AR6" s="49"/>
      <c r="AS6" s="49"/>
      <c r="AT6" s="31"/>
      <c r="AU6" s="31"/>
      <c r="AV6" s="31"/>
      <c r="AW6" s="31"/>
      <c r="AX6" s="31"/>
    </row>
    <row r="7" spans="2:50" x14ac:dyDescent="0.3"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107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107"/>
      <c r="AK7" s="48"/>
      <c r="AL7" s="48"/>
      <c r="AM7" s="48"/>
      <c r="AN7" s="48"/>
      <c r="AO7" s="48"/>
      <c r="AQ7" s="49"/>
      <c r="AR7" s="49"/>
      <c r="AS7" s="49"/>
      <c r="AT7" s="31"/>
      <c r="AU7" s="31"/>
      <c r="AV7" s="31"/>
      <c r="AW7" s="31"/>
      <c r="AX7" s="31"/>
    </row>
    <row r="8" spans="2:50" x14ac:dyDescent="0.3"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107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107"/>
      <c r="AK8" s="48"/>
      <c r="AL8" s="48"/>
      <c r="AM8" s="48"/>
      <c r="AN8" s="48"/>
      <c r="AO8" s="48"/>
      <c r="AQ8" s="49"/>
      <c r="AR8" s="49"/>
      <c r="AS8" s="49"/>
      <c r="AT8" s="31"/>
      <c r="AU8" s="31"/>
      <c r="AV8" s="31"/>
      <c r="AW8" s="31"/>
      <c r="AX8" s="31"/>
    </row>
    <row r="9" spans="2:50" x14ac:dyDescent="0.3"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107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107"/>
      <c r="AK9" s="48"/>
      <c r="AL9" s="48"/>
      <c r="AM9" s="48"/>
      <c r="AN9" s="48"/>
      <c r="AO9" s="48"/>
      <c r="AQ9" s="49"/>
      <c r="AR9" s="49"/>
      <c r="AS9" s="49"/>
      <c r="AT9" s="31"/>
      <c r="AU9" s="31"/>
      <c r="AV9" s="31"/>
      <c r="AW9" s="31"/>
      <c r="AX9" s="31"/>
    </row>
    <row r="10" spans="2:50" x14ac:dyDescent="0.3"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107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107"/>
      <c r="AK10" s="48"/>
      <c r="AL10" s="48"/>
      <c r="AM10" s="48"/>
      <c r="AN10" s="48"/>
      <c r="AO10" s="48"/>
      <c r="AQ10" s="49"/>
      <c r="AR10" s="49"/>
      <c r="AS10" s="49"/>
      <c r="AT10" s="31"/>
      <c r="AU10" s="31"/>
      <c r="AV10" s="31"/>
      <c r="AW10" s="31"/>
      <c r="AX10" s="31"/>
    </row>
    <row r="11" spans="2:50" x14ac:dyDescent="0.3">
      <c r="C11" s="72"/>
      <c r="D11" s="55"/>
      <c r="E11" s="55"/>
      <c r="F11" s="55"/>
      <c r="G11" s="55"/>
      <c r="H11" s="55"/>
      <c r="I11" s="87"/>
      <c r="J11" s="87"/>
      <c r="K11" s="87"/>
      <c r="L11" s="87"/>
      <c r="M11" s="87"/>
      <c r="N11" s="55"/>
      <c r="O11" s="55"/>
      <c r="P11" s="316"/>
      <c r="Q11" s="316"/>
      <c r="R11" s="31"/>
      <c r="S11" s="316"/>
      <c r="T11" s="49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107"/>
      <c r="AK11" s="48"/>
      <c r="AL11" s="48"/>
      <c r="AM11" s="48"/>
      <c r="AN11" s="48"/>
      <c r="AO11" s="48"/>
    </row>
    <row r="12" spans="2:50" x14ac:dyDescent="0.3">
      <c r="C12" s="72"/>
      <c r="D12" s="55"/>
      <c r="E12" s="55"/>
      <c r="F12" s="55"/>
      <c r="G12" s="55"/>
      <c r="H12" s="55"/>
      <c r="I12" s="87"/>
      <c r="J12" s="87"/>
      <c r="K12" s="87"/>
      <c r="L12" s="87"/>
      <c r="M12" s="87"/>
      <c r="N12" s="55"/>
      <c r="O12" s="55"/>
      <c r="P12" s="316"/>
      <c r="Q12" s="316"/>
      <c r="R12" s="31"/>
      <c r="S12" s="316"/>
      <c r="T12" s="49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107"/>
      <c r="AK12" s="48"/>
      <c r="AL12" s="48"/>
      <c r="AM12" s="48"/>
      <c r="AN12" s="48"/>
      <c r="AO12" s="48"/>
    </row>
    <row r="13" spans="2:50" x14ac:dyDescent="0.3">
      <c r="C13" s="72"/>
      <c r="D13" s="55"/>
      <c r="E13" s="55"/>
      <c r="F13" s="55"/>
      <c r="G13" s="55"/>
      <c r="H13" s="55"/>
      <c r="I13" s="87"/>
      <c r="J13" s="87"/>
      <c r="K13" s="87"/>
      <c r="L13" s="87"/>
      <c r="M13" s="87"/>
      <c r="N13" s="55"/>
      <c r="O13" s="55"/>
      <c r="P13" s="316"/>
      <c r="Q13" s="316"/>
      <c r="R13" s="31"/>
      <c r="S13" s="316"/>
      <c r="T13" s="49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107"/>
      <c r="AK13" s="48"/>
      <c r="AL13" s="48"/>
      <c r="AM13" s="48"/>
      <c r="AN13" s="48"/>
      <c r="AO13" s="48"/>
    </row>
    <row r="14" spans="2:50" x14ac:dyDescent="0.3">
      <c r="C14" s="72"/>
      <c r="D14" s="55"/>
      <c r="E14" s="55"/>
      <c r="F14" s="55"/>
      <c r="G14" s="55"/>
      <c r="H14" s="55"/>
      <c r="I14" s="87"/>
      <c r="J14" s="87"/>
      <c r="K14" s="87"/>
      <c r="L14" s="87"/>
      <c r="M14" s="87"/>
      <c r="N14" s="55"/>
      <c r="O14" s="55"/>
      <c r="P14" s="316"/>
      <c r="Q14" s="316"/>
      <c r="R14" s="31"/>
      <c r="S14" s="316"/>
      <c r="T14" s="49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107"/>
      <c r="AK14" s="48"/>
      <c r="AL14" s="48"/>
      <c r="AM14" s="48"/>
      <c r="AN14" s="48"/>
      <c r="AO14" s="48"/>
    </row>
    <row r="15" spans="2:50" x14ac:dyDescent="0.3">
      <c r="C15" s="72"/>
      <c r="D15" s="55"/>
      <c r="E15" s="55"/>
      <c r="F15" s="55"/>
      <c r="G15" s="55"/>
      <c r="H15" s="55"/>
      <c r="I15" s="87"/>
      <c r="J15" s="87"/>
      <c r="K15" s="87"/>
      <c r="L15" s="87"/>
      <c r="M15" s="87"/>
      <c r="N15" s="55"/>
      <c r="O15" s="55"/>
      <c r="P15" s="316"/>
      <c r="Q15" s="316"/>
      <c r="R15" s="31"/>
      <c r="S15" s="316"/>
      <c r="T15" s="49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107"/>
      <c r="AK15" s="48"/>
      <c r="AL15" s="48"/>
      <c r="AM15" s="48"/>
      <c r="AN15" s="48"/>
      <c r="AO15" s="48"/>
    </row>
    <row r="16" spans="2:50" x14ac:dyDescent="0.3">
      <c r="C16" s="72"/>
      <c r="D16" s="55"/>
      <c r="E16" s="55"/>
      <c r="F16" s="55"/>
      <c r="G16" s="55"/>
      <c r="H16" s="55"/>
      <c r="I16" s="87"/>
      <c r="J16" s="87"/>
      <c r="K16" s="87"/>
      <c r="L16" s="87"/>
      <c r="M16" s="87"/>
      <c r="N16" s="55"/>
      <c r="O16" s="55"/>
      <c r="P16" s="316"/>
      <c r="Q16" s="316"/>
      <c r="R16" s="31"/>
      <c r="S16" s="316"/>
      <c r="T16" s="49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107"/>
      <c r="AK16" s="48"/>
      <c r="AL16" s="48"/>
      <c r="AM16" s="48"/>
      <c r="AN16" s="48"/>
      <c r="AO16" s="48"/>
    </row>
    <row r="17" spans="3:41" x14ac:dyDescent="0.3">
      <c r="C17" s="72"/>
      <c r="D17" s="55"/>
      <c r="E17" s="55"/>
      <c r="F17" s="55"/>
      <c r="G17" s="55"/>
      <c r="H17" s="55"/>
      <c r="I17" s="87"/>
      <c r="J17" s="87"/>
      <c r="K17" s="87"/>
      <c r="L17" s="87"/>
      <c r="M17" s="87"/>
      <c r="N17" s="55"/>
      <c r="O17" s="55"/>
      <c r="P17" s="316"/>
      <c r="Q17" s="316"/>
      <c r="R17" s="31"/>
      <c r="S17" s="316"/>
      <c r="T17" s="49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107"/>
      <c r="AK17" s="48"/>
      <c r="AL17" s="48"/>
      <c r="AM17" s="48"/>
      <c r="AN17" s="48"/>
      <c r="AO17" s="48"/>
    </row>
    <row r="18" spans="3:41" ht="16.8" thickBot="1" x14ac:dyDescent="0.35">
      <c r="C18" s="72" t="s">
        <v>3</v>
      </c>
      <c r="D18" s="474" t="s">
        <v>393</v>
      </c>
      <c r="E18" s="474" t="s">
        <v>394</v>
      </c>
      <c r="F18" s="474" t="s">
        <v>395</v>
      </c>
      <c r="G18" s="474" t="s">
        <v>396</v>
      </c>
      <c r="H18" s="474" t="s">
        <v>392</v>
      </c>
      <c r="I18" s="518" t="s">
        <v>401</v>
      </c>
      <c r="J18" s="87"/>
      <c r="K18" s="87"/>
      <c r="L18" s="87"/>
      <c r="M18" s="87"/>
      <c r="N18" s="55"/>
      <c r="O18" s="55"/>
      <c r="P18" s="316"/>
      <c r="Q18" s="316"/>
      <c r="R18" s="31"/>
      <c r="S18" s="316"/>
      <c r="T18" s="49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107"/>
      <c r="AK18" s="48"/>
      <c r="AL18" s="48"/>
      <c r="AM18" s="48"/>
      <c r="AN18" s="48"/>
      <c r="AO18" s="48"/>
    </row>
    <row r="19" spans="3:41" x14ac:dyDescent="0.3">
      <c r="C19" s="49" t="s">
        <v>0</v>
      </c>
      <c r="D19" s="31">
        <f>'m4 Análisis de sistema'!M21</f>
        <v>75042.450455555561</v>
      </c>
      <c r="E19" s="31">
        <f>'m4 Análisis de sistema'!N21</f>
        <v>21365.948135483035</v>
      </c>
      <c r="F19" s="31">
        <f>'m4 Análisis de sistema'!O21</f>
        <v>8000.0020000000004</v>
      </c>
      <c r="G19" s="31">
        <f>SUM(D19:F19)</f>
        <v>104408.4005910386</v>
      </c>
      <c r="H19" s="31">
        <f>G19*$I$37/$B$6</f>
        <v>2271.3813540026968</v>
      </c>
      <c r="I19" s="49" t="s">
        <v>399</v>
      </c>
      <c r="J19" s="49"/>
      <c r="K19" s="316"/>
      <c r="L19" s="316"/>
      <c r="M19" s="31"/>
      <c r="N19" s="316"/>
      <c r="O19" s="49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9"/>
      <c r="AL19" s="49"/>
      <c r="AM19" s="49"/>
      <c r="AN19" s="49"/>
      <c r="AO19" s="48"/>
    </row>
    <row r="20" spans="3:41" x14ac:dyDescent="0.3">
      <c r="C20" s="49" t="s">
        <v>1</v>
      </c>
      <c r="D20" s="31">
        <f>'m4 Análisis de sistema'!M22</f>
        <v>36157.470630555552</v>
      </c>
      <c r="E20" s="31">
        <f>'m4 Análisis de sistema'!N22</f>
        <v>38441.209374120066</v>
      </c>
      <c r="F20" s="31">
        <f>'m4 Análisis de sistema'!O22</f>
        <v>10666.670666666667</v>
      </c>
      <c r="G20" s="31">
        <f t="shared" ref="G20:G22" si="0">SUM(D20:F20)</f>
        <v>85265.350671342283</v>
      </c>
      <c r="H20" s="31">
        <f>G20*$I$37/$B$6</f>
        <v>1854.928593494908</v>
      </c>
      <c r="I20" s="49" t="s">
        <v>399</v>
      </c>
      <c r="J20" s="49"/>
      <c r="K20" s="316"/>
      <c r="L20" s="316"/>
      <c r="M20" s="31"/>
      <c r="N20" s="316"/>
      <c r="O20" s="49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</row>
    <row r="21" spans="3:41" ht="15.6" x14ac:dyDescent="0.3">
      <c r="C21" s="49" t="s">
        <v>16</v>
      </c>
      <c r="D21" s="31">
        <f>'m4 Análisis de sistema'!M23</f>
        <v>404.18901027777775</v>
      </c>
      <c r="E21" s="31">
        <f>'m4 Análisis de sistema'!N23</f>
        <v>1012.6852196888889</v>
      </c>
      <c r="F21" s="31">
        <f>'m4 Análisis de sistema'!O23</f>
        <v>10625</v>
      </c>
      <c r="G21" s="31">
        <f t="shared" si="0"/>
        <v>12041.874229966666</v>
      </c>
      <c r="H21" s="31">
        <f>G21*$I$37/$B$6</f>
        <v>261.96827495066015</v>
      </c>
      <c r="I21" s="49" t="s">
        <v>399</v>
      </c>
      <c r="J21" s="49"/>
      <c r="K21" s="316"/>
      <c r="L21" s="316"/>
      <c r="M21" s="31"/>
      <c r="N21" s="316"/>
      <c r="O21" s="49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505"/>
      <c r="AB21" s="505"/>
      <c r="AC21" s="505"/>
      <c r="AD21" s="505"/>
      <c r="AE21" s="505"/>
      <c r="AF21" s="505"/>
      <c r="AG21" s="369"/>
      <c r="AH21" s="48"/>
      <c r="AI21" s="48"/>
      <c r="AJ21" s="48"/>
      <c r="AK21" s="48"/>
      <c r="AL21" s="48"/>
      <c r="AM21" s="48"/>
      <c r="AN21" s="48"/>
    </row>
    <row r="22" spans="3:41" ht="15.6" x14ac:dyDescent="0.3">
      <c r="C22" s="49" t="s">
        <v>38</v>
      </c>
      <c r="D22" s="31">
        <f>'m4 Análisis de sistema'!M24</f>
        <v>50773.333333333336</v>
      </c>
      <c r="E22" s="31">
        <f>'m4 Análisis de sistema'!N24</f>
        <v>52456.664223010142</v>
      </c>
      <c r="F22" s="31">
        <f>'m4 Análisis de sistema'!O24</f>
        <v>10666.670666666667</v>
      </c>
      <c r="G22" s="31">
        <f t="shared" si="0"/>
        <v>113896.66822301014</v>
      </c>
      <c r="H22" s="31">
        <f>G22*$I$37/$B$6</f>
        <v>2477.796489748941</v>
      </c>
      <c r="I22" s="49" t="s">
        <v>399</v>
      </c>
      <c r="J22" s="49"/>
      <c r="K22" s="316"/>
      <c r="L22" s="316"/>
      <c r="M22" s="31"/>
      <c r="N22" s="316"/>
      <c r="O22" s="49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365"/>
      <c r="AB22" s="366"/>
      <c r="AC22" s="366"/>
      <c r="AD22" s="366"/>
      <c r="AE22" s="366"/>
      <c r="AF22" s="366"/>
      <c r="AG22" s="366"/>
      <c r="AH22" s="48"/>
      <c r="AI22" s="48"/>
      <c r="AJ22" s="48"/>
      <c r="AK22" s="48"/>
      <c r="AL22" s="48"/>
      <c r="AM22" s="48"/>
      <c r="AN22" s="48"/>
    </row>
    <row r="23" spans="3:41" ht="15.6" x14ac:dyDescent="0.3">
      <c r="C23" s="49" t="s">
        <v>39</v>
      </c>
      <c r="D23" s="31">
        <f>'m4 Análisis de sistema'!M25</f>
        <v>0</v>
      </c>
      <c r="E23" s="31">
        <f>'m4 Análisis de sistema'!N25</f>
        <v>66979.76971966897</v>
      </c>
      <c r="F23" s="31">
        <f>'m4 Análisis de sistema'!O25</f>
        <v>0</v>
      </c>
      <c r="G23" s="31">
        <f>'m4 Análisis de sistema'!P25</f>
        <v>66979.76971966897</v>
      </c>
      <c r="H23" s="31">
        <f>'m4 Análisis de sistema'!Q25</f>
        <v>1457.1242467070729</v>
      </c>
      <c r="I23" s="49" t="s">
        <v>399</v>
      </c>
      <c r="J23" s="49"/>
      <c r="K23" s="316"/>
      <c r="L23" s="316"/>
      <c r="M23" s="31"/>
      <c r="N23" s="316"/>
      <c r="O23" s="49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365"/>
      <c r="AB23" s="366"/>
      <c r="AC23" s="366"/>
      <c r="AD23" s="366"/>
      <c r="AE23" s="366"/>
      <c r="AF23" s="366"/>
      <c r="AG23" s="366"/>
      <c r="AH23" s="48"/>
      <c r="AI23" s="48"/>
      <c r="AJ23" s="48"/>
      <c r="AK23" s="48"/>
      <c r="AL23" s="48"/>
      <c r="AM23" s="48"/>
      <c r="AN23" s="48"/>
    </row>
    <row r="24" spans="3:41" ht="15.6" x14ac:dyDescent="0.3">
      <c r="C24" s="49" t="s">
        <v>0</v>
      </c>
      <c r="D24" s="31">
        <f>'m4 Análisis de sistema'!M35</f>
        <v>75042.450455555561</v>
      </c>
      <c r="E24" s="31">
        <f>'m4 Análisis de sistema'!N35</f>
        <v>23731.319784171043</v>
      </c>
      <c r="F24" s="31">
        <f>'m4 Análisis de sistema'!O35</f>
        <v>8000.0020000000004</v>
      </c>
      <c r="G24" s="31">
        <f>SUM(D24:F24)</f>
        <v>106773.77223972662</v>
      </c>
      <c r="H24" s="31">
        <f>(G24*$I$38)/$B$6</f>
        <v>2091.3151225948113</v>
      </c>
      <c r="I24" s="49" t="s">
        <v>400</v>
      </c>
      <c r="J24" s="49"/>
      <c r="K24" s="316"/>
      <c r="L24" s="316"/>
      <c r="M24" s="31"/>
      <c r="N24" s="316"/>
      <c r="O24" s="49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365"/>
      <c r="AB24" s="366"/>
      <c r="AC24" s="366"/>
      <c r="AD24" s="366"/>
      <c r="AE24" s="366"/>
      <c r="AF24" s="366"/>
      <c r="AG24" s="366"/>
      <c r="AH24" s="48"/>
      <c r="AI24" s="48"/>
      <c r="AJ24" s="48"/>
      <c r="AK24" s="48"/>
      <c r="AL24" s="48"/>
      <c r="AM24" s="48"/>
      <c r="AN24" s="48"/>
    </row>
    <row r="25" spans="3:41" x14ac:dyDescent="0.3">
      <c r="C25" s="49" t="s">
        <v>1</v>
      </c>
      <c r="D25" s="31">
        <f>'m4 Análisis de sistema'!M36</f>
        <v>53343.128222222222</v>
      </c>
      <c r="E25" s="31">
        <f>'m4 Análisis de sistema'!N36</f>
        <v>14874.095768964387</v>
      </c>
      <c r="F25" s="31">
        <f>'m4 Análisis de sistema'!O36</f>
        <v>10666.670666666667</v>
      </c>
      <c r="G25" s="31">
        <f>SUM(D25:F25)</f>
        <v>78883.894657853278</v>
      </c>
      <c r="H25" s="31">
        <f>(G25*$I$38)/$B$6</f>
        <v>1545.0524821465929</v>
      </c>
      <c r="I25" s="49" t="s">
        <v>400</v>
      </c>
      <c r="J25" s="87"/>
      <c r="K25" s="316"/>
      <c r="L25" s="316"/>
      <c r="M25" s="31"/>
      <c r="N25" s="316"/>
      <c r="O25" s="49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0"/>
      <c r="AB25" s="481"/>
      <c r="AC25" s="481"/>
      <c r="AD25" s="481"/>
      <c r="AE25" s="481"/>
      <c r="AF25" s="481"/>
      <c r="AG25" s="481"/>
      <c r="AH25" s="48"/>
      <c r="AI25" s="48"/>
      <c r="AJ25" s="48"/>
      <c r="AK25" s="48"/>
      <c r="AL25" s="48"/>
      <c r="AM25" s="48"/>
      <c r="AN25" s="48"/>
    </row>
    <row r="26" spans="3:41" ht="15.6" x14ac:dyDescent="0.3">
      <c r="C26" s="31" t="s">
        <v>16</v>
      </c>
      <c r="D26" s="31">
        <f>'m4 Análisis de sistema'!M37</f>
        <v>43003.133333333331</v>
      </c>
      <c r="E26" s="31">
        <f>'m4 Análisis de sistema'!N37</f>
        <v>31782.082137653339</v>
      </c>
      <c r="F26" s="31">
        <f>'m4 Análisis de sistema'!O37</f>
        <v>18461.699999999997</v>
      </c>
      <c r="G26" s="31">
        <f>SUM(D26:F26)</f>
        <v>93246.915470986671</v>
      </c>
      <c r="H26" s="31">
        <f>(G26*$I$38)/$B$6</f>
        <v>1826.37252921967</v>
      </c>
      <c r="I26" s="49" t="s">
        <v>400</v>
      </c>
      <c r="J26" s="49"/>
      <c r="K26" s="316"/>
      <c r="L26" s="316"/>
      <c r="M26" s="31"/>
      <c r="N26" s="316"/>
      <c r="O26" s="49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365"/>
      <c r="AB26" s="366"/>
      <c r="AC26" s="366"/>
      <c r="AD26" s="366"/>
      <c r="AE26" s="366"/>
      <c r="AF26" s="366"/>
      <c r="AG26" s="366"/>
      <c r="AH26" s="48"/>
      <c r="AI26" s="48"/>
      <c r="AJ26" s="48"/>
      <c r="AK26" s="48"/>
      <c r="AL26" s="48"/>
      <c r="AM26" s="48"/>
      <c r="AN26" s="48"/>
    </row>
    <row r="27" spans="3:41" ht="15.6" x14ac:dyDescent="0.3">
      <c r="C27" s="49" t="s">
        <v>38</v>
      </c>
      <c r="D27" s="31">
        <f>'m4 Análisis de sistema'!M38</f>
        <v>55407.260159999991</v>
      </c>
      <c r="E27" s="31">
        <f>'m4 Análisis de sistema'!N38</f>
        <v>54058.533396974344</v>
      </c>
      <c r="F27" s="31">
        <f>'m4 Análisis de sistema'!O38</f>
        <v>10666.670666666667</v>
      </c>
      <c r="G27" s="31">
        <f>SUM(D27:F27)</f>
        <v>120132.464223641</v>
      </c>
      <c r="H27" s="31">
        <f>(G27*$I$38)/$B$6</f>
        <v>2352.9639711652449</v>
      </c>
      <c r="I27" s="49" t="s">
        <v>400</v>
      </c>
      <c r="J27" s="49"/>
      <c r="K27" s="316"/>
      <c r="L27" s="316"/>
      <c r="M27" s="31"/>
      <c r="N27" s="316"/>
      <c r="O27" s="49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365"/>
      <c r="AB27" s="366"/>
      <c r="AC27" s="366"/>
      <c r="AD27" s="366"/>
      <c r="AE27" s="366"/>
      <c r="AF27" s="366"/>
      <c r="AG27" s="366"/>
      <c r="AH27" s="48"/>
      <c r="AI27" s="48"/>
      <c r="AJ27" s="48"/>
      <c r="AK27" s="48"/>
      <c r="AL27" s="48"/>
      <c r="AM27" s="48"/>
      <c r="AN27" s="48"/>
    </row>
    <row r="28" spans="3:41" ht="15.6" x14ac:dyDescent="0.3">
      <c r="C28" s="49" t="s">
        <v>39</v>
      </c>
      <c r="D28" s="31">
        <f>'m4 Análisis de sistema'!M39</f>
        <v>0</v>
      </c>
      <c r="E28" s="31">
        <f>'m4 Análisis de sistema'!N39</f>
        <v>74394.935539876315</v>
      </c>
      <c r="F28" s="31">
        <f>'m4 Análisis de sistema'!O39</f>
        <v>0</v>
      </c>
      <c r="G28" s="31">
        <f>'m4 Análisis de sistema'!P39</f>
        <v>74394.935539876315</v>
      </c>
      <c r="H28" s="31">
        <f>'m4 Análisis de sistema'!Q39</f>
        <v>1457.1242467070731</v>
      </c>
      <c r="I28" s="49" t="s">
        <v>400</v>
      </c>
      <c r="J28" s="49"/>
      <c r="K28" s="316"/>
      <c r="L28" s="316"/>
      <c r="M28" s="31"/>
      <c r="N28" s="316"/>
      <c r="O28" s="49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365"/>
      <c r="AB28" s="366"/>
      <c r="AC28" s="366"/>
      <c r="AD28" s="366"/>
      <c r="AE28" s="366"/>
      <c r="AF28" s="366"/>
      <c r="AG28" s="366"/>
      <c r="AH28" s="48"/>
      <c r="AI28" s="48"/>
      <c r="AJ28" s="48"/>
      <c r="AK28" s="48"/>
      <c r="AL28" s="48"/>
      <c r="AM28" s="48"/>
      <c r="AN28" s="48"/>
    </row>
    <row r="29" spans="3:41" ht="15.6" x14ac:dyDescent="0.3">
      <c r="C29" s="49"/>
      <c r="D29" s="31"/>
      <c r="E29" s="31"/>
      <c r="F29" s="31"/>
      <c r="G29" s="31"/>
      <c r="H29" s="31"/>
      <c r="I29" s="49"/>
      <c r="J29" s="49"/>
      <c r="K29" s="316"/>
      <c r="L29" s="316"/>
      <c r="M29" s="31"/>
      <c r="N29" s="316"/>
      <c r="O29" s="49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365"/>
      <c r="AB29" s="366"/>
      <c r="AC29" s="366"/>
      <c r="AD29" s="366"/>
      <c r="AE29" s="366"/>
      <c r="AF29" s="366"/>
      <c r="AG29" s="366"/>
      <c r="AH29" s="48"/>
      <c r="AI29" s="48"/>
      <c r="AJ29" s="48"/>
      <c r="AK29" s="48"/>
      <c r="AL29" s="48"/>
      <c r="AM29" s="48"/>
      <c r="AN29" s="48"/>
    </row>
    <row r="30" spans="3:41" ht="15.6" x14ac:dyDescent="0.3">
      <c r="C30" s="48"/>
      <c r="D30" s="48"/>
      <c r="E30" s="48"/>
      <c r="F30" s="48"/>
      <c r="G30" s="48"/>
      <c r="H30" s="48"/>
      <c r="I30" s="48"/>
      <c r="J30" s="87"/>
      <c r="K30" s="87"/>
      <c r="L30" s="87"/>
      <c r="M30" s="87"/>
      <c r="N30" s="87"/>
      <c r="O30" s="87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365"/>
      <c r="AB30" s="366"/>
      <c r="AC30" s="366"/>
      <c r="AD30" s="366"/>
      <c r="AE30" s="366"/>
      <c r="AF30" s="366"/>
      <c r="AG30" s="366"/>
      <c r="AH30" s="48"/>
      <c r="AI30" s="48"/>
      <c r="AJ30" s="48"/>
      <c r="AK30" s="48"/>
      <c r="AL30" s="48"/>
      <c r="AM30" s="48"/>
      <c r="AN30" s="48"/>
    </row>
    <row r="31" spans="3:41" ht="15.6" x14ac:dyDescent="0.3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316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9"/>
      <c r="Z31" s="49"/>
      <c r="AA31" s="365"/>
      <c r="AB31" s="366"/>
      <c r="AC31" s="366"/>
      <c r="AD31" s="366"/>
      <c r="AE31" s="366"/>
      <c r="AF31" s="366"/>
      <c r="AG31" s="366"/>
      <c r="AH31" s="48"/>
      <c r="AI31" s="48"/>
      <c r="AJ31" s="48"/>
      <c r="AK31" s="48"/>
      <c r="AL31" s="48"/>
      <c r="AM31" s="48"/>
      <c r="AN31" s="48"/>
    </row>
    <row r="32" spans="3:41" ht="15.6" x14ac:dyDescent="0.3">
      <c r="C32" s="48"/>
      <c r="D32" s="48"/>
      <c r="E32" s="48"/>
      <c r="F32" s="48"/>
      <c r="G32" s="48"/>
      <c r="H32" s="48"/>
      <c r="I32" s="48"/>
      <c r="J32" s="316"/>
      <c r="K32" s="48"/>
      <c r="L32" s="48"/>
      <c r="M32" s="31"/>
      <c r="N32" s="49"/>
      <c r="O32" s="49"/>
      <c r="P32" s="48"/>
      <c r="Q32" s="48"/>
      <c r="R32" s="48"/>
      <c r="S32" s="48"/>
      <c r="T32" s="48"/>
      <c r="U32" s="48"/>
      <c r="V32" s="48"/>
      <c r="W32" s="48"/>
      <c r="X32" s="48"/>
      <c r="Y32" s="49"/>
      <c r="Z32" s="49"/>
      <c r="AA32" s="365"/>
      <c r="AB32" s="366"/>
      <c r="AC32" s="366"/>
      <c r="AD32" s="366"/>
      <c r="AE32" s="366"/>
      <c r="AF32" s="366"/>
      <c r="AG32" s="366"/>
      <c r="AH32" s="48"/>
      <c r="AI32" s="48"/>
      <c r="AJ32" s="48"/>
      <c r="AK32" s="48"/>
      <c r="AL32" s="48"/>
      <c r="AM32" s="48"/>
      <c r="AN32" s="48"/>
    </row>
    <row r="33" spans="3:40" ht="15.6" x14ac:dyDescent="0.3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9"/>
      <c r="Z33" s="49"/>
      <c r="AA33" s="365"/>
      <c r="AB33" s="366"/>
      <c r="AC33" s="366"/>
      <c r="AD33" s="366"/>
      <c r="AE33" s="366"/>
      <c r="AF33" s="366"/>
      <c r="AG33" s="366"/>
      <c r="AH33" s="48"/>
      <c r="AI33" s="48"/>
      <c r="AJ33" s="48"/>
      <c r="AK33" s="48"/>
      <c r="AL33" s="48"/>
      <c r="AM33" s="48"/>
      <c r="AN33" s="48"/>
    </row>
    <row r="34" spans="3:40" ht="15.6" x14ac:dyDescent="0.3">
      <c r="C34" s="48"/>
      <c r="D34" s="48"/>
      <c r="E34" s="48"/>
      <c r="F34" s="48"/>
      <c r="G34" s="31"/>
      <c r="H34" s="31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365"/>
      <c r="AB34" s="366"/>
      <c r="AC34" s="366"/>
      <c r="AD34" s="366"/>
      <c r="AE34" s="366"/>
      <c r="AF34" s="366"/>
      <c r="AG34" s="366"/>
      <c r="AH34" s="48"/>
      <c r="AI34" s="48"/>
    </row>
    <row r="35" spans="3:40" x14ac:dyDescent="0.3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0"/>
      <c r="AB35" s="481"/>
      <c r="AC35" s="481"/>
      <c r="AD35" s="481"/>
      <c r="AE35" s="481"/>
      <c r="AF35" s="578"/>
      <c r="AG35" s="481"/>
      <c r="AH35" s="48"/>
      <c r="AI35" s="48"/>
    </row>
    <row r="36" spans="3:40" ht="15" thickBot="1" x14ac:dyDescent="0.35">
      <c r="C36" s="49"/>
      <c r="D36" s="131" t="s">
        <v>397</v>
      </c>
      <c r="E36" s="131" t="s">
        <v>374</v>
      </c>
      <c r="F36" s="131" t="s">
        <v>375</v>
      </c>
      <c r="G36" s="131" t="s">
        <v>402</v>
      </c>
      <c r="H36" s="131" t="s">
        <v>362</v>
      </c>
      <c r="I36" s="138" t="s">
        <v>354</v>
      </c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0"/>
      <c r="AB36" s="481"/>
      <c r="AC36" s="481"/>
      <c r="AD36" s="481"/>
      <c r="AE36" s="481"/>
      <c r="AF36" s="578"/>
      <c r="AG36" s="481"/>
      <c r="AH36" s="48"/>
      <c r="AI36" s="48"/>
    </row>
    <row r="37" spans="3:40" x14ac:dyDescent="0.3">
      <c r="C37" s="49" t="s">
        <v>399</v>
      </c>
      <c r="D37" s="232">
        <f>SUM(D19:D22)</f>
        <v>162377.44342972222</v>
      </c>
      <c r="E37" s="232">
        <f>SUM(E19:E22)</f>
        <v>113276.50695230212</v>
      </c>
      <c r="F37" s="232">
        <f>SUM(F19:F22)</f>
        <v>39958.343333333331</v>
      </c>
      <c r="G37" s="232">
        <f>C6</f>
        <v>21771</v>
      </c>
      <c r="H37" s="232">
        <f>SUM(D37:G37)</f>
        <v>337383.29371535766</v>
      </c>
      <c r="I37" s="31">
        <f>'m4 Análisis de sistema'!I29</f>
        <v>466.63994245248108</v>
      </c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3:40" x14ac:dyDescent="0.3">
      <c r="C38" s="49" t="s">
        <v>400</v>
      </c>
      <c r="D38" s="232">
        <f>SUM(D24:D27)</f>
        <v>226795.97217111109</v>
      </c>
      <c r="E38" s="232">
        <f>SUM(E24:E27)</f>
        <v>124446.03108776311</v>
      </c>
      <c r="F38" s="232">
        <f>SUM(F24:F27)</f>
        <v>47795.043333333328</v>
      </c>
      <c r="G38" s="232">
        <f>C6</f>
        <v>21771</v>
      </c>
      <c r="H38" s="232">
        <f>SUM(D38:G38)</f>
        <v>420808.04659220751</v>
      </c>
      <c r="I38" s="31">
        <f>'m4 Análisis de sistema'!I44</f>
        <v>420.12854316828577</v>
      </c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3:40" x14ac:dyDescent="0.3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3:40" x14ac:dyDescent="0.3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3:40" x14ac:dyDescent="0.3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3:40" x14ac:dyDescent="0.3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3:40" x14ac:dyDescent="0.3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3:40" x14ac:dyDescent="0.3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3:40" x14ac:dyDescent="0.3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3:40" x14ac:dyDescent="0.3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3:40" ht="15" thickBot="1" x14ac:dyDescent="0.35">
      <c r="C47" s="48"/>
      <c r="D47" s="131" t="s">
        <v>387</v>
      </c>
      <c r="E47" s="131" t="s">
        <v>388</v>
      </c>
      <c r="F47" s="131" t="s">
        <v>389</v>
      </c>
      <c r="G47" s="131" t="s">
        <v>403</v>
      </c>
      <c r="H47" s="131" t="s">
        <v>404</v>
      </c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3:40" x14ac:dyDescent="0.3">
      <c r="C48" s="49" t="s">
        <v>399</v>
      </c>
      <c r="D48" s="232">
        <f>D37*$I$37</f>
        <v>75771800.857626572</v>
      </c>
      <c r="E48" s="232">
        <f>E37*$I$37</f>
        <v>52859342.685440339</v>
      </c>
      <c r="F48" s="232">
        <f>F37*$I$37</f>
        <v>18646159.033563145</v>
      </c>
      <c r="G48" s="232">
        <f>'m1 Fac_oper'!$G$26*'m4 Comparac sistemas'!I37</f>
        <v>10159218.187132966</v>
      </c>
      <c r="H48" s="232">
        <f>(H37+m4.Parámetros[Costos Indirectos, $/hrpl])*I37</f>
        <v>167595738.95089599</v>
      </c>
      <c r="I48" s="182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</row>
    <row r="49" spans="3:35" x14ac:dyDescent="0.3">
      <c r="C49" s="49" t="s">
        <v>400</v>
      </c>
      <c r="D49" s="232">
        <f>D38*$I$38</f>
        <v>95283461.384683982</v>
      </c>
      <c r="E49" s="232">
        <f>E38*$I$38</f>
        <v>52283329.743977115</v>
      </c>
      <c r="F49" s="232">
        <f>F38*$I$38</f>
        <v>20080061.926298421</v>
      </c>
      <c r="G49" s="232">
        <f>'m1 Fac_oper'!$G$26*I38</f>
        <v>9146618.5133167487</v>
      </c>
      <c r="H49" s="232">
        <f>(H38+m4.Parámetros[Costos Indirectos, $/hrpl])*I38</f>
        <v>185940090.08159301</v>
      </c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</row>
    <row r="50" spans="3:35" x14ac:dyDescent="0.3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</row>
    <row r="51" spans="3:35" x14ac:dyDescent="0.3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</row>
    <row r="52" spans="3:35" x14ac:dyDescent="0.3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</row>
    <row r="53" spans="3:35" x14ac:dyDescent="0.3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</row>
    <row r="54" spans="3:35" x14ac:dyDescent="0.3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</row>
    <row r="55" spans="3:35" x14ac:dyDescent="0.3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</row>
    <row r="56" spans="3:35" x14ac:dyDescent="0.3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9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</row>
    <row r="57" spans="3:35" hidden="1" x14ac:dyDescent="0.3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</row>
    <row r="58" spans="3:35" hidden="1" x14ac:dyDescent="0.3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</row>
    <row r="59" spans="3:35" hidden="1" x14ac:dyDescent="0.3">
      <c r="C59" s="48"/>
      <c r="D59" s="48"/>
      <c r="E59" s="48"/>
      <c r="F59" s="48"/>
      <c r="G59" s="48"/>
      <c r="H59" s="48"/>
      <c r="I59" s="48"/>
      <c r="J59" s="316"/>
      <c r="K59" s="316"/>
      <c r="L59" s="316"/>
      <c r="M59" s="316"/>
      <c r="N59" s="316"/>
      <c r="O59" s="48"/>
      <c r="P59" s="49"/>
      <c r="Q59" s="49"/>
      <c r="R59" s="49"/>
      <c r="S59" s="31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</row>
    <row r="60" spans="3:35" hidden="1" x14ac:dyDescent="0.3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316"/>
      <c r="O60" s="31"/>
      <c r="P60" s="31"/>
      <c r="Q60" s="31"/>
      <c r="R60" s="31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3:35" hidden="1" x14ac:dyDescent="0.3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316"/>
      <c r="O61" s="31"/>
      <c r="P61" s="316"/>
      <c r="Q61" s="31"/>
      <c r="R61" s="31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3:35" hidden="1" x14ac:dyDescent="0.3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31"/>
      <c r="P62" s="316"/>
      <c r="Q62" s="31"/>
      <c r="R62" s="31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3:35" hidden="1" x14ac:dyDescent="0.3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31"/>
      <c r="P63" s="316"/>
      <c r="Q63" s="31"/>
      <c r="R63" s="31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3:35" hidden="1" x14ac:dyDescent="0.3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31"/>
      <c r="R64" s="31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3:35" hidden="1" x14ac:dyDescent="0.3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31"/>
      <c r="R65" s="31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3:35" hidden="1" x14ac:dyDescent="0.3">
      <c r="C66" s="48"/>
      <c r="D66" s="31"/>
      <c r="E66" s="31"/>
      <c r="F66" s="31"/>
      <c r="G66" s="31"/>
      <c r="H66" s="49"/>
      <c r="I66" s="48"/>
      <c r="J66" s="31"/>
      <c r="K66" s="333"/>
      <c r="L66" s="31"/>
      <c r="M66" s="31"/>
      <c r="N66" s="48"/>
      <c r="O66" s="48"/>
      <c r="P66" s="316"/>
      <c r="Q66" s="31"/>
      <c r="R66" s="31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3:35" hidden="1" x14ac:dyDescent="0.3">
      <c r="C67" s="48"/>
      <c r="D67" s="31"/>
      <c r="E67" s="31"/>
      <c r="F67" s="31"/>
      <c r="G67" s="31"/>
      <c r="H67" s="449"/>
      <c r="I67" s="48"/>
      <c r="J67" s="48"/>
      <c r="K67" s="48"/>
      <c r="L67" s="48"/>
      <c r="M67" s="48"/>
      <c r="N67" s="48"/>
      <c r="O67" s="48"/>
      <c r="P67" s="316"/>
      <c r="Q67" s="31"/>
      <c r="R67" s="31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3:35" hidden="1" x14ac:dyDescent="0.3">
      <c r="C68" s="48"/>
      <c r="D68" s="31"/>
      <c r="E68" s="31"/>
      <c r="F68" s="31"/>
      <c r="G68" s="31"/>
      <c r="H68" s="449"/>
      <c r="I68" s="48"/>
      <c r="J68" s="31"/>
      <c r="K68" s="48"/>
      <c r="L68" s="31"/>
      <c r="M68" s="31"/>
      <c r="N68" s="48"/>
      <c r="O68" s="48"/>
      <c r="P68" s="316"/>
      <c r="Q68" s="31"/>
      <c r="R68" s="31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3:35" hidden="1" x14ac:dyDescent="0.3">
      <c r="C69" s="48"/>
      <c r="D69" s="48"/>
      <c r="E69" s="48"/>
      <c r="F69" s="48"/>
      <c r="G69" s="48"/>
      <c r="H69" s="48"/>
      <c r="I69" s="48"/>
      <c r="J69" s="31"/>
      <c r="K69" s="48"/>
      <c r="L69" s="31"/>
      <c r="M69" s="31"/>
      <c r="N69" s="48"/>
      <c r="O69" s="48"/>
      <c r="P69" s="48"/>
      <c r="Q69" s="31"/>
      <c r="R69" s="31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3:35" hidden="1" x14ac:dyDescent="0.3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31"/>
      <c r="R70" s="31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</row>
    <row r="71" spans="3:35" hidden="1" x14ac:dyDescent="0.3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316"/>
      <c r="Q71" s="31"/>
      <c r="R71" s="31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</row>
    <row r="72" spans="3:35" hidden="1" x14ac:dyDescent="0.3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316"/>
      <c r="Q72" s="48"/>
      <c r="R72" s="31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</row>
    <row r="73" spans="3:35" hidden="1" x14ac:dyDescent="0.3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316"/>
      <c r="Q73" s="48"/>
      <c r="R73" s="31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</row>
    <row r="74" spans="3:35" hidden="1" x14ac:dyDescent="0.3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31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</row>
    <row r="75" spans="3:35" hidden="1" x14ac:dyDescent="0.3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31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</row>
    <row r="76" spans="3:35" hidden="1" x14ac:dyDescent="0.3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</row>
    <row r="77" spans="3:35" hidden="1" x14ac:dyDescent="0.3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</row>
    <row r="78" spans="3:35" hidden="1" x14ac:dyDescent="0.3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</row>
    <row r="79" spans="3:35" hidden="1" x14ac:dyDescent="0.3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</row>
    <row r="80" spans="3:35" hidden="1" x14ac:dyDescent="0.3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</row>
    <row r="81" spans="3:35" hidden="1" x14ac:dyDescent="0.3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</row>
    <row r="82" spans="3:35" hidden="1" x14ac:dyDescent="0.3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</row>
    <row r="83" spans="3:35" hidden="1" x14ac:dyDescent="0.3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</row>
    <row r="84" spans="3:35" hidden="1" x14ac:dyDescent="0.3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</row>
    <row r="85" spans="3:35" hidden="1" x14ac:dyDescent="0.3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</row>
    <row r="86" spans="3:35" hidden="1" x14ac:dyDescent="0.3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</row>
    <row r="87" spans="3:35" hidden="1" x14ac:dyDescent="0.3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</row>
    <row r="88" spans="3:35" hidden="1" x14ac:dyDescent="0.3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</row>
    <row r="89" spans="3:35" hidden="1" x14ac:dyDescent="0.3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</row>
    <row r="90" spans="3:35" hidden="1" x14ac:dyDescent="0.3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</row>
    <row r="91" spans="3:35" hidden="1" x14ac:dyDescent="0.3">
      <c r="C91" s="48"/>
      <c r="D91" s="107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</row>
    <row r="92" spans="3:35" hidden="1" x14ac:dyDescent="0.3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</row>
    <row r="93" spans="3:35" hidden="1" x14ac:dyDescent="0.3">
      <c r="C93" s="48"/>
      <c r="D93" s="107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</row>
    <row r="94" spans="3:35" hidden="1" x14ac:dyDescent="0.3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</row>
    <row r="95" spans="3:35" hidden="1" x14ac:dyDescent="0.3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</row>
    <row r="96" spans="3:35" hidden="1" x14ac:dyDescent="0.3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</row>
    <row r="97" spans="3:35" hidden="1" x14ac:dyDescent="0.3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</row>
    <row r="98" spans="3:35" hidden="1" x14ac:dyDescent="0.3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</row>
    <row r="99" spans="3:35" hidden="1" x14ac:dyDescent="0.3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</row>
    <row r="100" spans="3:35" hidden="1" x14ac:dyDescent="0.3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</row>
    <row r="101" spans="3:35" hidden="1" x14ac:dyDescent="0.3"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</row>
    <row r="102" spans="3:35" hidden="1" x14ac:dyDescent="0.3"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</row>
    <row r="103" spans="3:35" hidden="1" x14ac:dyDescent="0.3"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</row>
    <row r="104" spans="3:35" hidden="1" x14ac:dyDescent="0.3">
      <c r="C104" s="48"/>
      <c r="D104" s="48"/>
      <c r="E104" s="49"/>
      <c r="F104" s="49"/>
      <c r="G104" s="49"/>
      <c r="H104" s="67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</row>
    <row r="105" spans="3:35" hidden="1" x14ac:dyDescent="0.3">
      <c r="C105" s="48"/>
      <c r="D105" s="48"/>
      <c r="E105" s="49"/>
      <c r="F105" s="49"/>
      <c r="G105" s="49"/>
      <c r="H105" s="54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</row>
    <row r="106" spans="3:35" hidden="1" x14ac:dyDescent="0.3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</row>
    <row r="107" spans="3:35" hidden="1" x14ac:dyDescent="0.3"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</row>
    <row r="108" spans="3:35" hidden="1" x14ac:dyDescent="0.3"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</row>
    <row r="109" spans="3:35" hidden="1" x14ac:dyDescent="0.3"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</row>
    <row r="110" spans="3:35" hidden="1" x14ac:dyDescent="0.3"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</row>
    <row r="111" spans="3:35" hidden="1" x14ac:dyDescent="0.3"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</row>
    <row r="112" spans="3:35" hidden="1" x14ac:dyDescent="0.3"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</row>
    <row r="113" spans="3:35" hidden="1" x14ac:dyDescent="0.3"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</row>
    <row r="114" spans="3:35" hidden="1" x14ac:dyDescent="0.3"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</row>
    <row r="115" spans="3:35" hidden="1" x14ac:dyDescent="0.3"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</row>
    <row r="116" spans="3:35" hidden="1" x14ac:dyDescent="0.3"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</row>
    <row r="117" spans="3:35" hidden="1" x14ac:dyDescent="0.3"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</row>
    <row r="118" spans="3:35" hidden="1" x14ac:dyDescent="0.3"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</row>
    <row r="119" spans="3:35" hidden="1" x14ac:dyDescent="0.3"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</row>
    <row r="120" spans="3:35" hidden="1" x14ac:dyDescent="0.3"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</row>
    <row r="121" spans="3:35" hidden="1" x14ac:dyDescent="0.3"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</row>
    <row r="122" spans="3:35" hidden="1" x14ac:dyDescent="0.3"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</row>
    <row r="123" spans="3:35" hidden="1" x14ac:dyDescent="0.3"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</row>
    <row r="124" spans="3:35" hidden="1" x14ac:dyDescent="0.3"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</row>
    <row r="125" spans="3:35" hidden="1" x14ac:dyDescent="0.3"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</row>
    <row r="126" spans="3:35" hidden="1" x14ac:dyDescent="0.3"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</row>
    <row r="127" spans="3:35" hidden="1" x14ac:dyDescent="0.3"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</row>
    <row r="128" spans="3:35" hidden="1" x14ac:dyDescent="0.3"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</row>
    <row r="129" spans="3:28" hidden="1" x14ac:dyDescent="0.3"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</row>
    <row r="130" spans="3:28" hidden="1" x14ac:dyDescent="0.3"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</row>
    <row r="131" spans="3:28" hidden="1" x14ac:dyDescent="0.3"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</row>
    <row r="132" spans="3:28" hidden="1" x14ac:dyDescent="0.3"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</row>
    <row r="133" spans="3:28" hidden="1" x14ac:dyDescent="0.3"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</row>
    <row r="134" spans="3:28" hidden="1" x14ac:dyDescent="0.3"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</row>
    <row r="135" spans="3:28" hidden="1" x14ac:dyDescent="0.3"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</row>
    <row r="136" spans="3:28" hidden="1" x14ac:dyDescent="0.3"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</row>
    <row r="137" spans="3:28" hidden="1" x14ac:dyDescent="0.3"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</row>
    <row r="138" spans="3:28" hidden="1" x14ac:dyDescent="0.3"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</row>
    <row r="139" spans="3:28" hidden="1" x14ac:dyDescent="0.3"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</row>
    <row r="140" spans="3:28" hidden="1" x14ac:dyDescent="0.3"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</row>
    <row r="141" spans="3:28" hidden="1" x14ac:dyDescent="0.3"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</row>
    <row r="142" spans="3:28" hidden="1" x14ac:dyDescent="0.3"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</row>
    <row r="143" spans="3:28" hidden="1" x14ac:dyDescent="0.3"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</row>
    <row r="144" spans="3:28" hidden="1" x14ac:dyDescent="0.3"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</row>
    <row r="145" spans="3:28" hidden="1" x14ac:dyDescent="0.3"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</row>
    <row r="146" spans="3:28" hidden="1" x14ac:dyDescent="0.3"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</row>
    <row r="147" spans="3:28" hidden="1" x14ac:dyDescent="0.3"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</row>
    <row r="148" spans="3:28" hidden="1" x14ac:dyDescent="0.3"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</row>
    <row r="149" spans="3:28" hidden="1" x14ac:dyDescent="0.3"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</row>
    <row r="150" spans="3:28" hidden="1" x14ac:dyDescent="0.3"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</row>
    <row r="151" spans="3:28" hidden="1" x14ac:dyDescent="0.3"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</row>
    <row r="152" spans="3:28" hidden="1" x14ac:dyDescent="0.3"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</row>
    <row r="153" spans="3:28" hidden="1" x14ac:dyDescent="0.3"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</row>
    <row r="154" spans="3:28" hidden="1" x14ac:dyDescent="0.3"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</row>
    <row r="155" spans="3:28" hidden="1" x14ac:dyDescent="0.3"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</row>
    <row r="156" spans="3:28" hidden="1" x14ac:dyDescent="0.3"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</row>
    <row r="157" spans="3:28" hidden="1" x14ac:dyDescent="0.3"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</row>
    <row r="158" spans="3:28" hidden="1" x14ac:dyDescent="0.3"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</row>
    <row r="159" spans="3:28" hidden="1" x14ac:dyDescent="0.3"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</row>
    <row r="160" spans="3:28" hidden="1" x14ac:dyDescent="0.3"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</row>
    <row r="161" spans="3:28" hidden="1" x14ac:dyDescent="0.3"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</row>
    <row r="162" spans="3:28" hidden="1" x14ac:dyDescent="0.3"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</row>
    <row r="163" spans="3:28" hidden="1" x14ac:dyDescent="0.3"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</row>
    <row r="164" spans="3:28" hidden="1" x14ac:dyDescent="0.3"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</row>
    <row r="165" spans="3:28" hidden="1" x14ac:dyDescent="0.3"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</row>
    <row r="166" spans="3:28" hidden="1" x14ac:dyDescent="0.3"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</row>
    <row r="167" spans="3:28" hidden="1" x14ac:dyDescent="0.3"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</row>
    <row r="168" spans="3:28" hidden="1" x14ac:dyDescent="0.3"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</row>
    <row r="169" spans="3:28" hidden="1" x14ac:dyDescent="0.3"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</row>
    <row r="170" spans="3:28" hidden="1" x14ac:dyDescent="0.3"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</row>
    <row r="171" spans="3:28" hidden="1" x14ac:dyDescent="0.3"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</row>
    <row r="172" spans="3:28" hidden="1" x14ac:dyDescent="0.3"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</row>
    <row r="173" spans="3:28" hidden="1" x14ac:dyDescent="0.3"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</row>
    <row r="174" spans="3:28" hidden="1" x14ac:dyDescent="0.3"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</row>
    <row r="175" spans="3:28" hidden="1" x14ac:dyDescent="0.3"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</row>
    <row r="176" spans="3:28" hidden="1" x14ac:dyDescent="0.3"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</row>
    <row r="177" spans="3:28" hidden="1" x14ac:dyDescent="0.3"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</row>
    <row r="178" spans="3:28" hidden="1" x14ac:dyDescent="0.3"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</row>
    <row r="179" spans="3:28" hidden="1" x14ac:dyDescent="0.3"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</row>
    <row r="180" spans="3:28" hidden="1" x14ac:dyDescent="0.3"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</row>
    <row r="181" spans="3:28" hidden="1" x14ac:dyDescent="0.3"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</row>
    <row r="182" spans="3:28" hidden="1" x14ac:dyDescent="0.3"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</row>
    <row r="183" spans="3:28" hidden="1" x14ac:dyDescent="0.3"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</row>
    <row r="184" spans="3:28" hidden="1" x14ac:dyDescent="0.3"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</row>
    <row r="185" spans="3:28" hidden="1" x14ac:dyDescent="0.3"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</row>
    <row r="186" spans="3:28" hidden="1" x14ac:dyDescent="0.3"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</row>
    <row r="187" spans="3:28" hidden="1" x14ac:dyDescent="0.3"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</row>
    <row r="188" spans="3:28" hidden="1" x14ac:dyDescent="0.3"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</row>
    <row r="189" spans="3:28" hidden="1" x14ac:dyDescent="0.3"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</row>
    <row r="190" spans="3:28" hidden="1" x14ac:dyDescent="0.3"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</row>
    <row r="191" spans="3:28" hidden="1" x14ac:dyDescent="0.3"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</row>
    <row r="192" spans="3:28" hidden="1" x14ac:dyDescent="0.3"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</row>
    <row r="193" spans="3:28" hidden="1" x14ac:dyDescent="0.3"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</row>
    <row r="194" spans="3:28" x14ac:dyDescent="0.3"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</row>
  </sheetData>
  <phoneticPr fontId="6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8AE4-EC70-4C0A-8724-ABF4433D9493}">
  <sheetPr codeName="Hoja14"/>
  <dimension ref="B13:E65"/>
  <sheetViews>
    <sheetView zoomScale="40" zoomScaleNormal="40" workbookViewId="0">
      <selection activeCell="F23" sqref="F23"/>
    </sheetView>
  </sheetViews>
  <sheetFormatPr baseColWidth="10" defaultColWidth="11.44140625" defaultRowHeight="14.4" x14ac:dyDescent="0.3"/>
  <cols>
    <col min="1" max="1" width="24.88671875" style="48" customWidth="1"/>
    <col min="2" max="2" width="19.88671875" style="48" bestFit="1" customWidth="1"/>
    <col min="3" max="3" width="41.33203125" style="48" bestFit="1" customWidth="1"/>
    <col min="4" max="4" width="16.44140625" style="48" bestFit="1" customWidth="1"/>
    <col min="5" max="5" width="169.44140625" style="48" bestFit="1" customWidth="1"/>
    <col min="6" max="6" width="139.5546875" style="48" bestFit="1" customWidth="1"/>
    <col min="7" max="7" width="163.44140625" style="48" bestFit="1" customWidth="1"/>
    <col min="8" max="16384" width="11.44140625" style="48"/>
  </cols>
  <sheetData>
    <row r="13" spans="2:5" x14ac:dyDescent="0.3">
      <c r="B13" s="452" t="s">
        <v>249</v>
      </c>
      <c r="C13" s="452" t="s">
        <v>248</v>
      </c>
      <c r="D13" s="452" t="s">
        <v>103</v>
      </c>
      <c r="E13" s="453" t="s">
        <v>29</v>
      </c>
    </row>
    <row r="14" spans="2:5" x14ac:dyDescent="0.3">
      <c r="B14" s="450" t="s">
        <v>225</v>
      </c>
      <c r="C14" s="450" t="s">
        <v>177</v>
      </c>
      <c r="D14" s="450">
        <v>2009</v>
      </c>
      <c r="E14" s="451" t="s">
        <v>247</v>
      </c>
    </row>
    <row r="15" spans="2:5" x14ac:dyDescent="0.3">
      <c r="B15" s="198" t="s">
        <v>246</v>
      </c>
      <c r="C15" s="198" t="s">
        <v>245</v>
      </c>
      <c r="D15" s="198">
        <v>1980</v>
      </c>
      <c r="E15" s="199" t="s">
        <v>244</v>
      </c>
    </row>
    <row r="16" spans="2:5" x14ac:dyDescent="0.3">
      <c r="B16" s="196" t="s">
        <v>197</v>
      </c>
      <c r="C16" s="196" t="s">
        <v>180</v>
      </c>
      <c r="D16" s="196">
        <v>2011</v>
      </c>
      <c r="E16" s="201" t="s">
        <v>243</v>
      </c>
    </row>
    <row r="17" spans="2:5" x14ac:dyDescent="0.3">
      <c r="B17" s="198" t="s">
        <v>225</v>
      </c>
      <c r="C17" s="198" t="s">
        <v>242</v>
      </c>
      <c r="D17" s="198">
        <v>2007</v>
      </c>
      <c r="E17" s="199" t="s">
        <v>241</v>
      </c>
    </row>
    <row r="18" spans="2:5" x14ac:dyDescent="0.3">
      <c r="B18" s="196" t="s">
        <v>197</v>
      </c>
      <c r="C18" s="200" t="s">
        <v>190</v>
      </c>
      <c r="D18" s="196">
        <v>2002</v>
      </c>
      <c r="E18" s="195"/>
    </row>
    <row r="19" spans="2:5" x14ac:dyDescent="0.3">
      <c r="B19" s="198" t="s">
        <v>225</v>
      </c>
      <c r="C19" s="198" t="s">
        <v>240</v>
      </c>
      <c r="D19" s="198">
        <v>2007</v>
      </c>
      <c r="E19" s="199" t="s">
        <v>239</v>
      </c>
    </row>
    <row r="20" spans="2:5" x14ac:dyDescent="0.3">
      <c r="B20" s="196" t="s">
        <v>225</v>
      </c>
      <c r="C20" s="196" t="s">
        <v>235</v>
      </c>
      <c r="D20" s="196">
        <v>2010</v>
      </c>
      <c r="E20" s="195" t="s">
        <v>238</v>
      </c>
    </row>
    <row r="21" spans="2:5" x14ac:dyDescent="0.3">
      <c r="B21" s="198" t="s">
        <v>197</v>
      </c>
      <c r="C21" s="198" t="s">
        <v>193</v>
      </c>
      <c r="D21" s="198">
        <v>2004</v>
      </c>
      <c r="E21" s="197"/>
    </row>
    <row r="22" spans="2:5" x14ac:dyDescent="0.3">
      <c r="B22" s="196" t="s">
        <v>197</v>
      </c>
      <c r="C22" s="196" t="s">
        <v>237</v>
      </c>
      <c r="D22" s="196">
        <v>2017</v>
      </c>
      <c r="E22" s="195" t="s">
        <v>236</v>
      </c>
    </row>
    <row r="23" spans="2:5" x14ac:dyDescent="0.3">
      <c r="B23" s="198" t="s">
        <v>225</v>
      </c>
      <c r="C23" s="198" t="s">
        <v>235</v>
      </c>
      <c r="D23" s="198">
        <v>2010</v>
      </c>
      <c r="E23" s="197" t="s">
        <v>234</v>
      </c>
    </row>
    <row r="24" spans="2:5" x14ac:dyDescent="0.3">
      <c r="B24" s="196" t="s">
        <v>225</v>
      </c>
      <c r="C24" s="196" t="s">
        <v>233</v>
      </c>
      <c r="D24" s="196">
        <v>2005</v>
      </c>
      <c r="E24" s="195" t="s">
        <v>232</v>
      </c>
    </row>
    <row r="25" spans="2:5" x14ac:dyDescent="0.3">
      <c r="B25" s="198" t="s">
        <v>197</v>
      </c>
      <c r="C25" s="198" t="s">
        <v>231</v>
      </c>
      <c r="D25" s="198">
        <v>2013</v>
      </c>
      <c r="E25" s="197" t="s">
        <v>230</v>
      </c>
    </row>
    <row r="26" spans="2:5" x14ac:dyDescent="0.3">
      <c r="B26" s="196" t="s">
        <v>225</v>
      </c>
      <c r="C26" s="196" t="s">
        <v>229</v>
      </c>
      <c r="D26" s="196">
        <v>2007</v>
      </c>
      <c r="E26" s="195" t="s">
        <v>228</v>
      </c>
    </row>
    <row r="27" spans="2:5" x14ac:dyDescent="0.3">
      <c r="B27" s="198" t="s">
        <v>197</v>
      </c>
      <c r="C27" s="198" t="s">
        <v>227</v>
      </c>
      <c r="D27" s="198">
        <v>2016</v>
      </c>
      <c r="E27" s="197" t="s">
        <v>226</v>
      </c>
    </row>
    <row r="28" spans="2:5" x14ac:dyDescent="0.3">
      <c r="B28" s="196" t="s">
        <v>225</v>
      </c>
      <c r="C28" s="196" t="s">
        <v>224</v>
      </c>
      <c r="D28" s="196">
        <v>2010</v>
      </c>
      <c r="E28" s="195" t="s">
        <v>223</v>
      </c>
    </row>
    <row r="29" spans="2:5" x14ac:dyDescent="0.3">
      <c r="B29" s="198" t="s">
        <v>197</v>
      </c>
      <c r="C29" s="198" t="s">
        <v>222</v>
      </c>
      <c r="D29" s="198">
        <v>2006</v>
      </c>
      <c r="E29" s="197" t="s">
        <v>52</v>
      </c>
    </row>
    <row r="30" spans="2:5" x14ac:dyDescent="0.3">
      <c r="B30" s="196" t="s">
        <v>197</v>
      </c>
      <c r="C30" s="196" t="s">
        <v>194</v>
      </c>
      <c r="D30" s="196">
        <v>2013</v>
      </c>
      <c r="E30" s="195" t="s">
        <v>221</v>
      </c>
    </row>
    <row r="31" spans="2:5" x14ac:dyDescent="0.3">
      <c r="B31" s="198" t="s">
        <v>197</v>
      </c>
      <c r="C31" s="198" t="s">
        <v>220</v>
      </c>
      <c r="D31" s="198">
        <v>1997</v>
      </c>
      <c r="E31" s="197" t="s">
        <v>219</v>
      </c>
    </row>
    <row r="32" spans="2:5" x14ac:dyDescent="0.3">
      <c r="B32" s="196" t="s">
        <v>197</v>
      </c>
      <c r="C32" s="196" t="s">
        <v>310</v>
      </c>
      <c r="D32" s="196">
        <v>2012</v>
      </c>
      <c r="E32" s="195" t="s">
        <v>218</v>
      </c>
    </row>
    <row r="33" spans="2:5" x14ac:dyDescent="0.3">
      <c r="B33" s="196" t="s">
        <v>197</v>
      </c>
      <c r="C33" s="196" t="s">
        <v>217</v>
      </c>
      <c r="D33" s="196">
        <v>2011</v>
      </c>
      <c r="E33" s="195" t="s">
        <v>216</v>
      </c>
    </row>
    <row r="34" spans="2:5" x14ac:dyDescent="0.3">
      <c r="B34" s="198" t="s">
        <v>197</v>
      </c>
      <c r="C34" s="198" t="s">
        <v>215</v>
      </c>
      <c r="D34" s="198">
        <v>1997</v>
      </c>
      <c r="E34" s="197" t="s">
        <v>106</v>
      </c>
    </row>
    <row r="35" spans="2:5" x14ac:dyDescent="0.3">
      <c r="B35" s="196" t="s">
        <v>197</v>
      </c>
      <c r="C35" s="196" t="s">
        <v>214</v>
      </c>
      <c r="D35" s="196">
        <v>2020</v>
      </c>
      <c r="E35" s="195" t="s">
        <v>199</v>
      </c>
    </row>
    <row r="36" spans="2:5" x14ac:dyDescent="0.3">
      <c r="B36" s="198" t="s">
        <v>197</v>
      </c>
      <c r="C36" s="198" t="s">
        <v>209</v>
      </c>
      <c r="D36" s="198">
        <v>2020</v>
      </c>
      <c r="E36" s="197" t="s">
        <v>199</v>
      </c>
    </row>
    <row r="37" spans="2:5" x14ac:dyDescent="0.3">
      <c r="B37" s="196" t="s">
        <v>197</v>
      </c>
      <c r="C37" s="196" t="s">
        <v>211</v>
      </c>
      <c r="D37" s="196">
        <v>2020</v>
      </c>
      <c r="E37" s="195" t="s">
        <v>199</v>
      </c>
    </row>
    <row r="38" spans="2:5" x14ac:dyDescent="0.3">
      <c r="B38" s="198" t="s">
        <v>197</v>
      </c>
      <c r="C38" s="198" t="s">
        <v>214</v>
      </c>
      <c r="D38" s="198">
        <v>2020</v>
      </c>
      <c r="E38" s="197" t="s">
        <v>199</v>
      </c>
    </row>
    <row r="39" spans="2:5" x14ac:dyDescent="0.3">
      <c r="B39" s="196" t="s">
        <v>197</v>
      </c>
      <c r="C39" s="196" t="s">
        <v>213</v>
      </c>
      <c r="D39" s="196">
        <v>2020</v>
      </c>
      <c r="E39" s="195" t="s">
        <v>199</v>
      </c>
    </row>
    <row r="40" spans="2:5" x14ac:dyDescent="0.3">
      <c r="B40" s="198" t="s">
        <v>197</v>
      </c>
      <c r="C40" s="198" t="s">
        <v>212</v>
      </c>
      <c r="D40" s="198">
        <v>2020</v>
      </c>
      <c r="E40" s="197" t="s">
        <v>199</v>
      </c>
    </row>
    <row r="41" spans="2:5" x14ac:dyDescent="0.3">
      <c r="B41" s="196" t="s">
        <v>197</v>
      </c>
      <c r="C41" s="196" t="s">
        <v>211</v>
      </c>
      <c r="D41" s="196">
        <v>2020</v>
      </c>
      <c r="E41" s="195" t="s">
        <v>199</v>
      </c>
    </row>
    <row r="42" spans="2:5" x14ac:dyDescent="0.3">
      <c r="B42" s="198" t="s">
        <v>197</v>
      </c>
      <c r="C42" s="198" t="s">
        <v>210</v>
      </c>
      <c r="D42" s="198">
        <v>2020</v>
      </c>
      <c r="E42" s="197" t="s">
        <v>199</v>
      </c>
    </row>
    <row r="43" spans="2:5" x14ac:dyDescent="0.3">
      <c r="B43" s="196" t="s">
        <v>197</v>
      </c>
      <c r="C43" s="196" t="s">
        <v>209</v>
      </c>
      <c r="D43" s="196">
        <v>2020</v>
      </c>
      <c r="E43" s="195" t="s">
        <v>199</v>
      </c>
    </row>
    <row r="44" spans="2:5" x14ac:dyDescent="0.3">
      <c r="B44" s="198" t="s">
        <v>197</v>
      </c>
      <c r="C44" s="198" t="s">
        <v>201</v>
      </c>
      <c r="D44" s="198">
        <v>2020</v>
      </c>
      <c r="E44" s="197" t="s">
        <v>199</v>
      </c>
    </row>
    <row r="45" spans="2:5" x14ac:dyDescent="0.3">
      <c r="B45" s="196" t="s">
        <v>197</v>
      </c>
      <c r="C45" s="196" t="s">
        <v>208</v>
      </c>
      <c r="D45" s="196">
        <v>2020</v>
      </c>
      <c r="E45" s="195" t="s">
        <v>199</v>
      </c>
    </row>
    <row r="46" spans="2:5" x14ac:dyDescent="0.3">
      <c r="B46" s="198" t="s">
        <v>197</v>
      </c>
      <c r="C46" s="198" t="s">
        <v>207</v>
      </c>
      <c r="D46" s="198">
        <v>2020</v>
      </c>
      <c r="E46" s="197" t="s">
        <v>199</v>
      </c>
    </row>
    <row r="47" spans="2:5" x14ac:dyDescent="0.3">
      <c r="B47" s="196" t="s">
        <v>197</v>
      </c>
      <c r="C47" s="196" t="s">
        <v>201</v>
      </c>
      <c r="D47" s="196">
        <v>2020</v>
      </c>
      <c r="E47" s="195" t="s">
        <v>199</v>
      </c>
    </row>
    <row r="48" spans="2:5" x14ac:dyDescent="0.3">
      <c r="B48" s="198" t="s">
        <v>197</v>
      </c>
      <c r="C48" s="198" t="s">
        <v>202</v>
      </c>
      <c r="D48" s="198">
        <v>2020</v>
      </c>
      <c r="E48" s="197" t="s">
        <v>199</v>
      </c>
    </row>
    <row r="49" spans="2:5" x14ac:dyDescent="0.3">
      <c r="B49" s="196" t="s">
        <v>197</v>
      </c>
      <c r="C49" s="196" t="s">
        <v>203</v>
      </c>
      <c r="D49" s="196">
        <v>2020</v>
      </c>
      <c r="E49" s="195" t="s">
        <v>199</v>
      </c>
    </row>
    <row r="50" spans="2:5" x14ac:dyDescent="0.3">
      <c r="B50" s="198" t="s">
        <v>197</v>
      </c>
      <c r="C50" s="198" t="s">
        <v>206</v>
      </c>
      <c r="D50" s="198">
        <v>2020</v>
      </c>
      <c r="E50" s="197" t="s">
        <v>199</v>
      </c>
    </row>
    <row r="51" spans="2:5" x14ac:dyDescent="0.3">
      <c r="B51" s="196" t="s">
        <v>197</v>
      </c>
      <c r="C51" s="196" t="s">
        <v>201</v>
      </c>
      <c r="D51" s="196">
        <v>2020</v>
      </c>
      <c r="E51" s="195" t="s">
        <v>199</v>
      </c>
    </row>
    <row r="52" spans="2:5" x14ac:dyDescent="0.3">
      <c r="B52" s="198" t="s">
        <v>197</v>
      </c>
      <c r="C52" s="198" t="s">
        <v>205</v>
      </c>
      <c r="D52" s="198">
        <v>2020</v>
      </c>
      <c r="E52" s="197" t="s">
        <v>199</v>
      </c>
    </row>
    <row r="53" spans="2:5" x14ac:dyDescent="0.3">
      <c r="B53" s="196" t="s">
        <v>197</v>
      </c>
      <c r="C53" s="196" t="s">
        <v>204</v>
      </c>
      <c r="D53" s="196">
        <v>2020</v>
      </c>
      <c r="E53" s="195" t="s">
        <v>199</v>
      </c>
    </row>
    <row r="54" spans="2:5" x14ac:dyDescent="0.3">
      <c r="B54" s="198" t="s">
        <v>197</v>
      </c>
      <c r="C54" s="198" t="s">
        <v>202</v>
      </c>
      <c r="D54" s="198">
        <v>2020</v>
      </c>
      <c r="E54" s="197" t="s">
        <v>199</v>
      </c>
    </row>
    <row r="55" spans="2:5" x14ac:dyDescent="0.3">
      <c r="B55" s="196" t="s">
        <v>197</v>
      </c>
      <c r="C55" s="196" t="s">
        <v>203</v>
      </c>
      <c r="D55" s="196">
        <v>2020</v>
      </c>
      <c r="E55" s="195" t="s">
        <v>199</v>
      </c>
    </row>
    <row r="56" spans="2:5" x14ac:dyDescent="0.3">
      <c r="B56" s="198" t="s">
        <v>197</v>
      </c>
      <c r="C56" s="198" t="s">
        <v>202</v>
      </c>
      <c r="D56" s="198">
        <v>2020</v>
      </c>
      <c r="E56" s="197" t="s">
        <v>199</v>
      </c>
    </row>
    <row r="57" spans="2:5" x14ac:dyDescent="0.3">
      <c r="B57" s="196" t="s">
        <v>197</v>
      </c>
      <c r="C57" s="196" t="s">
        <v>202</v>
      </c>
      <c r="D57" s="196">
        <v>2020</v>
      </c>
      <c r="E57" s="195" t="s">
        <v>199</v>
      </c>
    </row>
    <row r="58" spans="2:5" x14ac:dyDescent="0.3">
      <c r="B58" s="198" t="s">
        <v>197</v>
      </c>
      <c r="C58" s="198" t="s">
        <v>202</v>
      </c>
      <c r="D58" s="198">
        <v>2020</v>
      </c>
      <c r="E58" s="197" t="s">
        <v>199</v>
      </c>
    </row>
    <row r="59" spans="2:5" x14ac:dyDescent="0.3">
      <c r="B59" s="196" t="s">
        <v>197</v>
      </c>
      <c r="C59" s="196" t="s">
        <v>202</v>
      </c>
      <c r="D59" s="196">
        <v>2020</v>
      </c>
      <c r="E59" s="195" t="s">
        <v>199</v>
      </c>
    </row>
    <row r="60" spans="2:5" x14ac:dyDescent="0.3">
      <c r="B60" s="198" t="s">
        <v>197</v>
      </c>
      <c r="C60" s="198" t="s">
        <v>201</v>
      </c>
      <c r="D60" s="198">
        <v>2020</v>
      </c>
      <c r="E60" s="197" t="s">
        <v>199</v>
      </c>
    </row>
    <row r="61" spans="2:5" x14ac:dyDescent="0.3">
      <c r="B61" s="196" t="s">
        <v>197</v>
      </c>
      <c r="C61" s="196" t="s">
        <v>200</v>
      </c>
      <c r="D61" s="196">
        <v>2020</v>
      </c>
      <c r="E61" s="195" t="s">
        <v>199</v>
      </c>
    </row>
    <row r="62" spans="2:5" x14ac:dyDescent="0.3">
      <c r="B62" s="198" t="s">
        <v>197</v>
      </c>
      <c r="C62" s="198" t="s">
        <v>198</v>
      </c>
      <c r="D62" s="198">
        <v>2018</v>
      </c>
      <c r="E62" s="197" t="s">
        <v>195</v>
      </c>
    </row>
    <row r="63" spans="2:5" x14ac:dyDescent="0.3">
      <c r="B63" s="196" t="s">
        <v>197</v>
      </c>
      <c r="C63" s="196" t="s">
        <v>196</v>
      </c>
      <c r="D63" s="196">
        <v>2018</v>
      </c>
      <c r="E63" s="195" t="s">
        <v>195</v>
      </c>
    </row>
    <row r="64" spans="2:5" x14ac:dyDescent="0.3">
      <c r="B64" s="48" t="s">
        <v>197</v>
      </c>
      <c r="C64" s="48" t="s">
        <v>315</v>
      </c>
      <c r="D64" s="48">
        <v>2013</v>
      </c>
      <c r="E64" s="48" t="s">
        <v>316</v>
      </c>
    </row>
    <row r="65" spans="2:5" x14ac:dyDescent="0.3">
      <c r="B65" s="48" t="s">
        <v>319</v>
      </c>
      <c r="C65" s="48" t="s">
        <v>320</v>
      </c>
      <c r="D65" s="48">
        <v>2010</v>
      </c>
      <c r="E65" s="48" t="s">
        <v>321</v>
      </c>
    </row>
  </sheetData>
  <dataValidations count="1">
    <dataValidation type="list" showInputMessage="1" showErrorMessage="1" sqref="B14:B63" xr:uid="{93DA2784-B14E-49DE-A748-E1D563D4406C}">
      <formula1>"Artículo,Revista,Tesis"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B5A8-3EC5-492E-901F-D10BDC5BAB7E}">
  <sheetPr codeName="Hoja2"/>
  <dimension ref="A1:AV174"/>
  <sheetViews>
    <sheetView showGridLines="0" tabSelected="1" zoomScale="85" zoomScaleNormal="85" workbookViewId="0"/>
  </sheetViews>
  <sheetFormatPr baseColWidth="10" defaultColWidth="0" defaultRowHeight="14.4" zeroHeight="1" x14ac:dyDescent="0.3"/>
  <cols>
    <col min="1" max="1" width="30.5546875" style="14" customWidth="1"/>
    <col min="2" max="2" width="54" style="14" bestFit="1" customWidth="1"/>
    <col min="3" max="3" width="22.5546875" style="14" customWidth="1"/>
    <col min="4" max="4" width="18.88671875" style="14" customWidth="1"/>
    <col min="5" max="5" width="11.109375" style="14" customWidth="1"/>
    <col min="6" max="6" width="51.88671875" style="14" bestFit="1" customWidth="1"/>
    <col min="7" max="7" width="29.5546875" style="14" bestFit="1" customWidth="1"/>
    <col min="8" max="8" width="19.44140625" style="14" bestFit="1" customWidth="1"/>
    <col min="9" max="9" width="27.109375" style="14" customWidth="1"/>
    <col min="10" max="10" width="18.109375" style="14" hidden="1" customWidth="1"/>
    <col min="11" max="11" width="24.109375" style="14" hidden="1" customWidth="1"/>
    <col min="12" max="12" width="17" style="14" hidden="1" customWidth="1"/>
    <col min="13" max="13" width="48.5546875" style="14" hidden="1" customWidth="1"/>
    <col min="14" max="14" width="17.88671875" style="14" hidden="1" customWidth="1"/>
    <col min="15" max="15" width="22.109375" style="14" hidden="1" customWidth="1"/>
    <col min="16" max="16" width="20.88671875" style="14" hidden="1" customWidth="1"/>
    <col min="17" max="17" width="19.109375" style="14" hidden="1" customWidth="1"/>
    <col min="18" max="18" width="51.5546875" style="14" hidden="1" customWidth="1"/>
    <col min="19" max="19" width="32.88671875" style="14" hidden="1" customWidth="1"/>
    <col min="20" max="20" width="51.5546875" style="14" hidden="1" customWidth="1"/>
    <col min="21" max="21" width="51.88671875" style="14" hidden="1" customWidth="1"/>
    <col min="22" max="23" width="17.88671875" style="14" hidden="1" customWidth="1"/>
    <col min="24" max="24" width="12.44140625" style="14" hidden="1" customWidth="1"/>
    <col min="25" max="25" width="14.88671875" style="14" hidden="1" customWidth="1"/>
    <col min="26" max="26" width="13.88671875" style="14" hidden="1" customWidth="1"/>
    <col min="27" max="27" width="46.88671875" style="14" hidden="1" customWidth="1"/>
    <col min="28" max="28" width="8.88671875" style="14" hidden="1" customWidth="1"/>
    <col min="29" max="30" width="11.44140625" style="14" hidden="1" customWidth="1"/>
    <col min="31" max="31" width="73.88671875" style="14" hidden="1" customWidth="1"/>
    <col min="32" max="32" width="9.88671875" style="14" hidden="1" customWidth="1"/>
    <col min="33" max="48" width="0" style="14" hidden="1" customWidth="1"/>
    <col min="49" max="16384" width="11.44140625" style="14" hidden="1"/>
  </cols>
  <sheetData>
    <row r="1" spans="1:48" s="1" customFormat="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</row>
    <row r="2" spans="1:48" s="1" customFormat="1" x14ac:dyDescent="0.3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48" s="1" customFormat="1" x14ac:dyDescent="0.3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48" s="1" customFormat="1" x14ac:dyDescent="0.3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5"/>
      <c r="Y4" s="5"/>
      <c r="Z4" s="14"/>
      <c r="AA4" s="14"/>
      <c r="AB4" s="14"/>
      <c r="AC4" s="14"/>
      <c r="AD4" s="14"/>
      <c r="AE4" s="14"/>
      <c r="AF4" s="14"/>
      <c r="AG4" s="14"/>
      <c r="AH4" s="5"/>
      <c r="AI4" s="5"/>
      <c r="AJ4" s="5"/>
      <c r="AK4" s="5"/>
      <c r="AL4" s="5"/>
      <c r="AM4" s="5"/>
    </row>
    <row r="5" spans="1:48" s="1" customFormat="1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5"/>
      <c r="Y5" s="5"/>
      <c r="Z5" s="14"/>
      <c r="AA5" s="14"/>
      <c r="AB5" s="14"/>
      <c r="AC5" s="14"/>
      <c r="AD5" s="14"/>
      <c r="AE5" s="14"/>
      <c r="AF5" s="14"/>
      <c r="AG5" s="14"/>
      <c r="AH5" s="5"/>
      <c r="AI5" s="5"/>
      <c r="AJ5" s="5"/>
      <c r="AK5" s="5"/>
      <c r="AL5" s="5"/>
      <c r="AM5" s="5"/>
    </row>
    <row r="6" spans="1:48" s="1" customFormat="1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37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5"/>
      <c r="Y6" s="5"/>
      <c r="Z6" s="14"/>
      <c r="AA6" s="14"/>
      <c r="AB6" s="14"/>
      <c r="AC6" s="14"/>
      <c r="AD6" s="14"/>
      <c r="AE6" s="14"/>
      <c r="AF6" s="14"/>
      <c r="AG6" s="14"/>
      <c r="AH6" s="5"/>
      <c r="AI6" s="5"/>
      <c r="AJ6" s="5"/>
      <c r="AK6" s="5"/>
      <c r="AL6" s="5"/>
      <c r="AM6" s="5"/>
    </row>
    <row r="7" spans="1:48" s="1" customFormat="1" x14ac:dyDescent="0.3">
      <c r="A7" s="14"/>
      <c r="B7" s="14"/>
      <c r="C7" s="14"/>
      <c r="D7" s="14"/>
      <c r="E7" s="14"/>
      <c r="F7" s="14"/>
      <c r="G7" s="14"/>
      <c r="H7" s="30"/>
      <c r="I7" s="30"/>
      <c r="J7" s="30"/>
      <c r="K7" s="30"/>
      <c r="L7" s="37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5"/>
      <c r="Y7" s="5"/>
      <c r="Z7" s="14"/>
      <c r="AA7" s="14"/>
      <c r="AB7" s="14"/>
      <c r="AC7" s="14"/>
      <c r="AD7" s="14"/>
      <c r="AE7" s="14"/>
      <c r="AF7" s="14"/>
      <c r="AG7" s="14"/>
      <c r="AH7" s="5"/>
      <c r="AI7" s="5"/>
      <c r="AJ7" s="5"/>
      <c r="AK7" s="5"/>
      <c r="AL7" s="5"/>
      <c r="AM7" s="5"/>
    </row>
    <row r="8" spans="1:48" s="1" customFormat="1" x14ac:dyDescent="0.3">
      <c r="A8" s="14"/>
      <c r="B8" s="14"/>
      <c r="C8" s="14"/>
      <c r="D8" s="14"/>
      <c r="E8" s="14"/>
      <c r="F8" s="14"/>
      <c r="G8" s="14"/>
      <c r="H8" s="37"/>
      <c r="I8" s="37"/>
      <c r="J8" s="37"/>
      <c r="K8" s="144"/>
      <c r="L8" s="37"/>
      <c r="M8" s="14"/>
      <c r="N8" s="14"/>
      <c r="O8" s="156"/>
      <c r="P8" s="14"/>
      <c r="Q8" s="14"/>
      <c r="R8" s="14"/>
      <c r="S8" s="14"/>
      <c r="T8" s="14"/>
      <c r="U8" s="14"/>
      <c r="V8" s="14"/>
      <c r="W8" s="14"/>
      <c r="X8" s="5"/>
      <c r="Y8" s="5"/>
      <c r="Z8" s="14"/>
      <c r="AA8" s="14"/>
      <c r="AB8" s="14"/>
      <c r="AC8" s="14"/>
      <c r="AD8" s="14"/>
      <c r="AE8" s="14"/>
      <c r="AF8" s="14"/>
      <c r="AG8" s="14"/>
      <c r="AH8" s="5"/>
      <c r="AI8" s="5"/>
      <c r="AJ8" s="5"/>
      <c r="AK8" s="5"/>
      <c r="AL8" s="5"/>
      <c r="AM8" s="5"/>
    </row>
    <row r="9" spans="1:48" s="1" customFormat="1" x14ac:dyDescent="0.3">
      <c r="A9" s="14"/>
      <c r="B9" s="14"/>
      <c r="C9" s="14"/>
      <c r="D9" s="14"/>
      <c r="E9" s="14"/>
      <c r="F9" s="14"/>
      <c r="G9" s="14"/>
      <c r="H9" s="15"/>
      <c r="I9" s="15"/>
      <c r="J9" s="15"/>
      <c r="K9" s="144"/>
      <c r="L9" s="37"/>
      <c r="M9" s="14"/>
      <c r="N9" s="14"/>
      <c r="O9" s="23"/>
      <c r="P9" s="14"/>
      <c r="Q9" s="14"/>
      <c r="R9" s="14"/>
      <c r="S9" s="14"/>
      <c r="T9" s="14"/>
      <c r="U9" s="14"/>
      <c r="V9" s="14"/>
      <c r="W9" s="14"/>
      <c r="X9" s="5"/>
      <c r="Y9" s="5"/>
      <c r="Z9" s="14"/>
      <c r="AA9" s="14"/>
      <c r="AB9" s="14"/>
      <c r="AC9" s="14"/>
      <c r="AD9" s="14"/>
      <c r="AE9" s="14"/>
      <c r="AF9" s="14"/>
      <c r="AG9" s="14"/>
      <c r="AH9" s="5"/>
      <c r="AI9" s="5"/>
      <c r="AJ9" s="5"/>
      <c r="AK9" s="5"/>
      <c r="AL9" s="5"/>
      <c r="AM9" s="5"/>
    </row>
    <row r="10" spans="1:48" s="1" customFormat="1" x14ac:dyDescent="0.3">
      <c r="A10" s="14"/>
      <c r="B10" s="14"/>
      <c r="C10" s="14"/>
      <c r="D10" s="14"/>
      <c r="E10" s="14"/>
      <c r="F10" s="14"/>
      <c r="G10" s="14"/>
      <c r="H10" s="37"/>
      <c r="I10" s="37"/>
      <c r="J10" s="30"/>
      <c r="K10" s="144"/>
      <c r="L10" s="37"/>
      <c r="M10" s="14"/>
      <c r="N10" s="14"/>
      <c r="O10" s="157"/>
      <c r="P10" s="14"/>
      <c r="Q10" s="14"/>
      <c r="R10" s="14"/>
      <c r="S10" s="14"/>
      <c r="T10" s="14"/>
      <c r="U10" s="14"/>
      <c r="V10" s="14"/>
      <c r="W10" s="14"/>
      <c r="X10" s="5"/>
      <c r="Y10" s="5"/>
      <c r="Z10" s="14"/>
      <c r="AA10" s="14"/>
      <c r="AB10" s="14"/>
      <c r="AC10" s="14"/>
      <c r="AD10" s="14"/>
      <c r="AE10" s="14"/>
      <c r="AF10" s="14"/>
      <c r="AG10" s="14"/>
      <c r="AH10" s="5"/>
      <c r="AI10" s="5"/>
      <c r="AJ10" s="5"/>
      <c r="AK10" s="5"/>
      <c r="AL10" s="5"/>
      <c r="AM10" s="5"/>
    </row>
    <row r="11" spans="1:48" s="1" customFormat="1" x14ac:dyDescent="0.3">
      <c r="A11" s="14"/>
      <c r="B11" s="14"/>
      <c r="C11" s="14"/>
      <c r="D11" s="14"/>
      <c r="E11" s="14"/>
      <c r="F11" s="14"/>
      <c r="G11" s="14"/>
      <c r="H11" s="37"/>
      <c r="I11" s="37"/>
      <c r="J11" s="37"/>
      <c r="K11" s="155"/>
      <c r="L11" s="37"/>
      <c r="M11" s="14"/>
      <c r="N11" s="14"/>
      <c r="O11" s="23"/>
      <c r="P11" s="14"/>
      <c r="Q11" s="14"/>
      <c r="R11" s="14"/>
      <c r="S11" s="14"/>
      <c r="T11" s="14"/>
      <c r="U11" s="14"/>
      <c r="V11" s="14"/>
      <c r="W11" s="14"/>
      <c r="X11" s="5"/>
      <c r="Y11" s="5"/>
      <c r="Z11" s="14"/>
      <c r="AA11" s="14"/>
      <c r="AB11" s="14"/>
      <c r="AC11" s="14"/>
      <c r="AD11" s="14"/>
      <c r="AE11" s="14"/>
      <c r="AF11" s="14"/>
      <c r="AG11" s="14"/>
      <c r="AH11" s="5"/>
      <c r="AI11" s="5"/>
      <c r="AJ11" s="5"/>
      <c r="AK11" s="5"/>
      <c r="AL11" s="5"/>
      <c r="AM11" s="5"/>
    </row>
    <row r="12" spans="1:48" s="1" customFormat="1" x14ac:dyDescent="0.3">
      <c r="A12" s="14"/>
      <c r="B12" s="14"/>
      <c r="C12" s="14"/>
      <c r="D12" s="14"/>
      <c r="E12" s="14"/>
      <c r="F12" s="14"/>
      <c r="G12" s="14"/>
      <c r="H12" s="37"/>
      <c r="I12" s="37"/>
      <c r="J12" s="37"/>
      <c r="K12" s="155"/>
      <c r="L12" s="37"/>
      <c r="M12" s="14"/>
      <c r="N12" s="14"/>
      <c r="O12" s="23"/>
      <c r="P12" s="14"/>
      <c r="Q12" s="14"/>
      <c r="R12" s="14"/>
      <c r="S12" s="14"/>
      <c r="T12" s="14"/>
      <c r="U12" s="14"/>
      <c r="V12" s="14"/>
      <c r="W12" s="14"/>
      <c r="X12" s="5"/>
      <c r="Y12" s="5"/>
      <c r="Z12" s="14"/>
      <c r="AA12" s="14"/>
      <c r="AB12" s="14"/>
      <c r="AC12" s="14"/>
      <c r="AD12" s="14"/>
      <c r="AE12" s="14"/>
      <c r="AF12" s="14"/>
      <c r="AG12" s="14"/>
      <c r="AH12" s="5"/>
      <c r="AI12" s="5"/>
      <c r="AJ12" s="5"/>
      <c r="AK12" s="5"/>
      <c r="AL12" s="5"/>
      <c r="AM12" s="5"/>
    </row>
    <row r="13" spans="1:48" s="1" customFormat="1" x14ac:dyDescent="0.3">
      <c r="A13" s="14"/>
      <c r="B13" s="8"/>
      <c r="C13" s="8"/>
      <c r="D13" s="9"/>
      <c r="E13" s="14"/>
      <c r="F13" s="14"/>
      <c r="G13" s="7"/>
      <c r="H13" s="37"/>
      <c r="I13" s="30"/>
      <c r="J13" s="30"/>
      <c r="K13" s="144"/>
      <c r="L13" s="37"/>
      <c r="M13" s="14"/>
      <c r="N13" s="14"/>
      <c r="O13" s="23"/>
      <c r="P13" s="14"/>
      <c r="Q13" s="14"/>
      <c r="R13" s="14"/>
      <c r="S13" s="14"/>
      <c r="T13" s="14"/>
      <c r="U13" s="14"/>
      <c r="V13" s="14"/>
      <c r="W13" s="14"/>
      <c r="X13" s="20"/>
      <c r="Y13" s="20"/>
      <c r="Z13" s="14"/>
      <c r="AA13" s="14"/>
      <c r="AB13" s="14"/>
      <c r="AC13" s="14"/>
      <c r="AD13" s="14"/>
      <c r="AE13" s="14"/>
      <c r="AF13" s="14"/>
      <c r="AG13" s="14"/>
      <c r="AH13" s="5"/>
      <c r="AI13" s="5"/>
      <c r="AJ13" s="5"/>
      <c r="AK13" s="5"/>
      <c r="AL13" s="5"/>
      <c r="AM13" s="5"/>
    </row>
    <row r="14" spans="1:48" s="1" customFormat="1" x14ac:dyDescent="0.3">
      <c r="A14" s="14"/>
      <c r="B14" s="14"/>
      <c r="C14" s="14"/>
      <c r="D14" s="14"/>
      <c r="E14" s="14"/>
      <c r="F14" s="14"/>
      <c r="G14" s="14"/>
      <c r="H14" s="37"/>
      <c r="I14" s="37"/>
      <c r="J14" s="37"/>
      <c r="K14" s="156"/>
      <c r="L14" s="156"/>
      <c r="M14" s="156"/>
      <c r="N14" s="14"/>
      <c r="O14" s="23"/>
      <c r="P14" s="14"/>
      <c r="Q14" s="14"/>
      <c r="R14" s="14"/>
      <c r="S14" s="14"/>
      <c r="T14" s="14"/>
      <c r="U14" s="14"/>
      <c r="V14" s="14"/>
      <c r="W14" s="14"/>
      <c r="X14" s="36"/>
      <c r="Y14" s="36"/>
      <c r="Z14" s="14"/>
      <c r="AA14" s="14"/>
      <c r="AB14" s="14"/>
      <c r="AC14" s="14"/>
      <c r="AD14" s="14"/>
      <c r="AE14" s="14"/>
      <c r="AF14" s="14"/>
      <c r="AG14" s="14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</row>
    <row r="15" spans="1:48" s="1" customFormat="1" x14ac:dyDescent="0.3">
      <c r="A15" s="14"/>
      <c r="B15" s="14"/>
      <c r="C15" s="14"/>
      <c r="D15" s="14"/>
      <c r="E15" s="14"/>
      <c r="F15" s="14"/>
      <c r="G15" s="14"/>
      <c r="H15" s="30"/>
      <c r="I15" s="30"/>
      <c r="J15" s="37"/>
      <c r="K15" s="23"/>
      <c r="L15" s="23"/>
      <c r="M15" s="23"/>
      <c r="N15" s="14"/>
      <c r="O15" s="23"/>
      <c r="P15" s="14"/>
      <c r="Q15" s="14"/>
      <c r="R15" s="14"/>
      <c r="S15" s="14"/>
      <c r="T15" s="14"/>
      <c r="U15" s="14"/>
      <c r="V15" s="14"/>
      <c r="W15" s="14"/>
      <c r="X15" s="34"/>
      <c r="Y15" s="32"/>
      <c r="Z15" s="14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</row>
    <row r="16" spans="1:48" s="1" customFormat="1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23"/>
      <c r="L16" s="23"/>
      <c r="M16" s="15"/>
      <c r="N16" s="14"/>
      <c r="O16" s="23"/>
      <c r="P16" s="14"/>
      <c r="Q16" s="14"/>
      <c r="R16" s="14"/>
      <c r="S16" s="14"/>
      <c r="T16" s="14"/>
      <c r="U16" s="14"/>
      <c r="V16" s="14"/>
      <c r="W16" s="14"/>
      <c r="X16" s="2"/>
      <c r="Y16" s="33"/>
      <c r="Z16" s="14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</row>
    <row r="17" spans="1:48" s="1" customFormat="1" ht="24" thickBot="1" x14ac:dyDescent="0.5">
      <c r="A17" s="14"/>
      <c r="B17" s="203" t="s">
        <v>110</v>
      </c>
      <c r="C17" s="203" t="s">
        <v>123</v>
      </c>
      <c r="D17" s="203" t="s">
        <v>41</v>
      </c>
      <c r="E17" s="14"/>
      <c r="F17" s="203" t="s">
        <v>110</v>
      </c>
      <c r="G17" s="203" t="s">
        <v>123</v>
      </c>
      <c r="H17" s="203" t="s">
        <v>41</v>
      </c>
      <c r="I17" s="14"/>
      <c r="J17" s="14"/>
      <c r="K17" s="23"/>
      <c r="L17" s="23"/>
      <c r="M17" s="23"/>
      <c r="N17" s="14"/>
      <c r="O17" s="15"/>
      <c r="P17" s="14"/>
      <c r="Q17" s="14"/>
      <c r="R17" s="14"/>
      <c r="S17" s="14"/>
      <c r="T17" s="14"/>
      <c r="U17" s="14"/>
      <c r="V17" s="14"/>
      <c r="W17" s="14"/>
      <c r="X17" s="34"/>
      <c r="Y17" s="32"/>
      <c r="Z17" s="14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</row>
    <row r="18" spans="1:48" s="1" customFormat="1" ht="15" thickBot="1" x14ac:dyDescent="0.35">
      <c r="A18" s="14"/>
      <c r="B18" s="14"/>
      <c r="C18" s="14"/>
      <c r="D18" s="14"/>
      <c r="E18" s="153"/>
      <c r="F18" s="14"/>
      <c r="G18" s="14"/>
      <c r="H18" s="14"/>
      <c r="I18" s="14"/>
      <c r="J18" s="14"/>
      <c r="K18" s="23"/>
      <c r="L18" s="23"/>
      <c r="M18" s="23"/>
      <c r="N18" s="14"/>
      <c r="O18" s="23"/>
      <c r="P18" s="14"/>
      <c r="Q18" s="14"/>
      <c r="R18" s="14"/>
      <c r="S18" s="14"/>
      <c r="T18" s="14"/>
      <c r="U18" s="14"/>
      <c r="V18" s="14"/>
      <c r="W18" s="14"/>
      <c r="X18" s="2"/>
      <c r="Y18" s="33"/>
      <c r="Z18" s="14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</row>
    <row r="19" spans="1:48" s="1" customFormat="1" ht="23.4" x14ac:dyDescent="0.45">
      <c r="A19" s="14"/>
      <c r="B19" s="166" t="s">
        <v>131</v>
      </c>
      <c r="C19" s="577">
        <v>395</v>
      </c>
      <c r="D19" s="166" t="s">
        <v>5</v>
      </c>
      <c r="E19" s="14"/>
      <c r="F19" s="173" t="s">
        <v>160</v>
      </c>
      <c r="G19" s="170">
        <v>20</v>
      </c>
      <c r="H19" s="169" t="s">
        <v>46</v>
      </c>
      <c r="I19" s="14"/>
      <c r="J19" s="14"/>
      <c r="K19" s="23"/>
      <c r="L19" s="15"/>
      <c r="M19" s="23"/>
      <c r="N19" s="14"/>
      <c r="O19" s="23"/>
      <c r="P19" s="14"/>
      <c r="Q19" s="14"/>
      <c r="R19" s="14"/>
      <c r="S19" s="14"/>
      <c r="T19" s="14"/>
      <c r="U19" s="14"/>
      <c r="V19" s="14"/>
      <c r="W19" s="14"/>
      <c r="X19" s="34"/>
      <c r="Y19" s="32"/>
      <c r="Z19" s="14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</row>
    <row r="20" spans="1:48" s="1" customFormat="1" ht="23.4" x14ac:dyDescent="0.45">
      <c r="A20" s="14"/>
      <c r="B20" s="166" t="s">
        <v>132</v>
      </c>
      <c r="C20" s="171">
        <v>426.44299999999998</v>
      </c>
      <c r="D20" s="166" t="s">
        <v>124</v>
      </c>
      <c r="E20" s="14"/>
      <c r="F20" s="173" t="s">
        <v>161</v>
      </c>
      <c r="G20" s="171">
        <v>100</v>
      </c>
      <c r="H20" s="169" t="s">
        <v>15</v>
      </c>
      <c r="I20" s="14"/>
      <c r="J20" s="14"/>
      <c r="K20" s="23"/>
      <c r="L20" s="23"/>
      <c r="M20" s="23"/>
      <c r="N20" s="14"/>
      <c r="O20" s="156"/>
      <c r="P20" s="14"/>
      <c r="Q20" s="14"/>
      <c r="R20" s="14"/>
      <c r="S20" s="14"/>
      <c r="T20" s="14"/>
      <c r="U20" s="14"/>
      <c r="V20" s="14"/>
      <c r="W20" s="14"/>
      <c r="X20" s="2"/>
      <c r="Y20" s="33"/>
      <c r="Z20" s="14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</row>
    <row r="21" spans="1:48" s="1" customFormat="1" ht="24" thickBot="1" x14ac:dyDescent="0.5">
      <c r="A21" s="14"/>
      <c r="B21" s="166" t="s">
        <v>133</v>
      </c>
      <c r="C21" s="172">
        <v>22</v>
      </c>
      <c r="D21" s="166" t="s">
        <v>15</v>
      </c>
      <c r="E21" s="14"/>
      <c r="F21" s="173" t="s">
        <v>162</v>
      </c>
      <c r="G21" s="172">
        <v>50.3</v>
      </c>
      <c r="H21" s="169" t="s">
        <v>159</v>
      </c>
      <c r="I21" s="14"/>
      <c r="J21" s="14"/>
      <c r="K21" s="23"/>
      <c r="L21" s="23"/>
      <c r="M21" s="23"/>
      <c r="N21" s="14"/>
      <c r="O21" s="23"/>
      <c r="P21" s="14"/>
      <c r="Q21" s="14"/>
      <c r="R21" s="14"/>
      <c r="S21" s="14"/>
      <c r="T21" s="14"/>
      <c r="U21" s="14"/>
      <c r="V21" s="14"/>
      <c r="W21" s="14"/>
      <c r="X21" s="35"/>
      <c r="Y21" s="35"/>
      <c r="Z21" s="14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</row>
    <row r="22" spans="1:48" s="1" customFormat="1" ht="24" thickBot="1" x14ac:dyDescent="0.5">
      <c r="A22" s="14"/>
      <c r="B22" s="204" t="s">
        <v>125</v>
      </c>
      <c r="C22" s="167">
        <f>SQRT(10000/C19)</f>
        <v>5.0315460542662764</v>
      </c>
      <c r="D22" s="166" t="s">
        <v>15</v>
      </c>
      <c r="E22" s="14"/>
      <c r="F22" s="14"/>
      <c r="G22" s="14"/>
      <c r="H22" s="14"/>
      <c r="I22" s="14"/>
      <c r="J22" s="37"/>
      <c r="K22" s="23"/>
      <c r="L22" s="23"/>
      <c r="M22" s="15"/>
      <c r="N22" s="14"/>
      <c r="O22" s="23"/>
      <c r="P22" s="14"/>
      <c r="Q22" s="14"/>
      <c r="R22" s="14"/>
      <c r="S22" s="14"/>
      <c r="T22" s="14"/>
      <c r="U22" s="14"/>
      <c r="V22" s="14"/>
      <c r="W22" s="14"/>
      <c r="X22" s="35"/>
      <c r="Y22" s="35"/>
      <c r="Z22" s="14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</row>
    <row r="23" spans="1:48" s="1" customFormat="1" ht="26.4" x14ac:dyDescent="0.45">
      <c r="A23" s="14"/>
      <c r="B23" s="166" t="s">
        <v>134</v>
      </c>
      <c r="C23" s="170">
        <v>1.08</v>
      </c>
      <c r="D23" s="166" t="s">
        <v>147</v>
      </c>
      <c r="E23" s="14"/>
      <c r="F23" s="14"/>
      <c r="G23" s="14"/>
      <c r="H23" s="14"/>
      <c r="I23" s="14"/>
      <c r="J23" s="37"/>
      <c r="K23" s="21"/>
      <c r="L23" s="21"/>
      <c r="M23" s="23"/>
      <c r="N23" s="14"/>
      <c r="O23" s="23"/>
      <c r="P23" s="14"/>
      <c r="Q23" s="14"/>
      <c r="R23" s="14"/>
      <c r="S23" s="14"/>
      <c r="T23" s="14"/>
      <c r="U23" s="14"/>
      <c r="V23" s="14"/>
      <c r="W23" s="14"/>
      <c r="X23" s="35"/>
      <c r="Y23" s="35"/>
      <c r="Z23" s="14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</row>
    <row r="24" spans="1:48" s="1" customFormat="1" ht="23.4" x14ac:dyDescent="0.45">
      <c r="A24" s="14"/>
      <c r="B24" s="166" t="s">
        <v>135</v>
      </c>
      <c r="C24" s="171">
        <v>35</v>
      </c>
      <c r="D24" s="166" t="s">
        <v>31</v>
      </c>
      <c r="E24" s="14"/>
      <c r="F24" s="14"/>
      <c r="G24" s="14"/>
      <c r="H24" s="14"/>
      <c r="I24" s="14"/>
      <c r="J24" s="37"/>
      <c r="K24" s="21"/>
      <c r="L24" s="21"/>
      <c r="M24" s="23"/>
      <c r="N24" s="14"/>
      <c r="O24" s="157"/>
      <c r="P24" s="14"/>
      <c r="Q24" s="14"/>
      <c r="R24" s="14"/>
      <c r="S24" s="14"/>
      <c r="T24" s="14"/>
      <c r="U24" s="14"/>
      <c r="V24" s="14"/>
      <c r="W24" s="14"/>
      <c r="X24" s="35"/>
      <c r="Y24" s="35"/>
      <c r="Z24" s="14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</row>
    <row r="25" spans="1:48" s="1" customFormat="1" ht="27" thickBot="1" x14ac:dyDescent="0.5">
      <c r="A25" s="14"/>
      <c r="B25" s="166" t="s">
        <v>155</v>
      </c>
      <c r="C25" s="172">
        <v>426.44299999999998</v>
      </c>
      <c r="D25" s="166" t="s">
        <v>350</v>
      </c>
      <c r="E25" s="14"/>
      <c r="F25" s="14"/>
      <c r="G25" s="14"/>
      <c r="H25" s="14"/>
      <c r="I25" s="14"/>
      <c r="J25" s="37"/>
      <c r="K25" s="14"/>
      <c r="L25" s="14"/>
      <c r="M25" s="14"/>
      <c r="N25" s="14"/>
      <c r="O25" s="23"/>
      <c r="P25" s="14"/>
      <c r="Q25" s="14"/>
      <c r="R25" s="14"/>
      <c r="S25" s="14"/>
      <c r="T25" s="14"/>
      <c r="U25" s="14"/>
      <c r="V25" s="14"/>
      <c r="W25" s="14"/>
      <c r="X25" s="4"/>
      <c r="Y25" s="4"/>
      <c r="Z25" s="14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</row>
    <row r="26" spans="1:48" s="1" customFormat="1" ht="23.1" customHeight="1" thickBot="1" x14ac:dyDescent="0.5">
      <c r="A26" s="14"/>
      <c r="B26" s="204" t="s">
        <v>386</v>
      </c>
      <c r="C26" s="575">
        <f>G21*C25</f>
        <v>21450.082899999998</v>
      </c>
      <c r="D26" s="166" t="s">
        <v>147</v>
      </c>
      <c r="E26" s="14"/>
      <c r="F26" s="14"/>
      <c r="G26" s="14"/>
      <c r="H26" s="14"/>
      <c r="I26" s="14"/>
      <c r="J26" s="143"/>
      <c r="K26" s="14"/>
      <c r="L26" s="14"/>
      <c r="M26" s="14"/>
      <c r="N26" s="14"/>
      <c r="O26" s="23"/>
      <c r="P26" s="14"/>
      <c r="Q26" s="14"/>
      <c r="R26" s="14"/>
      <c r="S26" s="14"/>
      <c r="T26" s="14"/>
      <c r="U26" s="14"/>
      <c r="V26" s="14"/>
      <c r="W26" s="14"/>
      <c r="X26" s="20"/>
      <c r="Y26" s="20"/>
      <c r="Z26" s="14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1:48" s="1" customFormat="1" ht="23.1" customHeight="1" thickBot="1" x14ac:dyDescent="0.5">
      <c r="A27" s="14"/>
      <c r="B27" s="166" t="s">
        <v>136</v>
      </c>
      <c r="C27" s="576">
        <v>1.0745</v>
      </c>
      <c r="D27" s="166" t="s">
        <v>147</v>
      </c>
      <c r="E27" s="14"/>
      <c r="F27" s="14"/>
      <c r="G27" s="14"/>
      <c r="H27" s="14"/>
      <c r="I27" s="14"/>
      <c r="J27" s="143"/>
      <c r="K27" s="14"/>
      <c r="L27" s="14"/>
      <c r="M27" s="14"/>
      <c r="N27" s="14"/>
      <c r="O27" s="23"/>
      <c r="P27" s="14"/>
      <c r="Q27" s="14"/>
      <c r="R27" s="14"/>
      <c r="S27" s="14"/>
      <c r="T27" s="14"/>
      <c r="U27" s="14"/>
      <c r="V27" s="14"/>
      <c r="W27" s="14"/>
      <c r="X27" s="20"/>
      <c r="Y27" s="20"/>
      <c r="Z27" s="14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1:48" s="1" customFormat="1" ht="22.5" customHeight="1" x14ac:dyDescent="0.3">
      <c r="A28" s="14"/>
      <c r="B28" s="14"/>
      <c r="C28" s="14"/>
      <c r="D28" s="14"/>
      <c r="E28" s="14"/>
      <c r="F28" s="14"/>
      <c r="G28" s="14"/>
      <c r="H28" s="14"/>
      <c r="I28" s="14"/>
      <c r="J28" s="37"/>
      <c r="K28" s="14"/>
      <c r="L28" s="14"/>
      <c r="M28" s="14"/>
      <c r="N28" s="14"/>
      <c r="O28" s="23"/>
      <c r="P28" s="14"/>
      <c r="Q28" s="14"/>
      <c r="R28" s="14"/>
      <c r="S28" s="14"/>
      <c r="T28" s="14"/>
      <c r="U28" s="14"/>
      <c r="V28" s="14"/>
      <c r="W28" s="14"/>
      <c r="X28" s="20"/>
      <c r="Y28" s="20"/>
      <c r="Z28" s="14"/>
      <c r="AH28" s="5"/>
      <c r="AI28" s="5"/>
      <c r="AJ28" s="5"/>
      <c r="AK28" s="5"/>
      <c r="AL28" s="5"/>
      <c r="AM28" s="5"/>
    </row>
    <row r="29" spans="1:48" s="1" customFormat="1" x14ac:dyDescent="0.3">
      <c r="A29" s="14"/>
      <c r="B29" s="14"/>
      <c r="C29" s="14"/>
      <c r="D29" s="14"/>
      <c r="E29" s="14"/>
      <c r="F29" s="14"/>
      <c r="G29" s="14"/>
      <c r="H29" s="14"/>
      <c r="I29" s="14"/>
      <c r="J29" s="37"/>
      <c r="K29" s="14"/>
      <c r="L29" s="14"/>
      <c r="M29" s="14"/>
      <c r="N29" s="14"/>
      <c r="O29" s="23"/>
      <c r="P29" s="14"/>
      <c r="Q29" s="14"/>
      <c r="R29" s="14"/>
      <c r="S29" s="14"/>
      <c r="T29" s="14"/>
      <c r="U29" s="14"/>
      <c r="V29" s="14"/>
      <c r="W29" s="14"/>
      <c r="X29" s="20"/>
      <c r="Y29" s="20"/>
      <c r="Z29" s="14"/>
      <c r="AH29" s="5"/>
      <c r="AI29" s="5"/>
      <c r="AJ29" s="5"/>
      <c r="AK29" s="5"/>
      <c r="AL29" s="5"/>
      <c r="AM29" s="5"/>
    </row>
    <row r="30" spans="1:48" s="1" customFormat="1" x14ac:dyDescent="0.3">
      <c r="A30" s="14"/>
      <c r="B30" s="14"/>
      <c r="C30" s="14"/>
      <c r="D30" s="14"/>
      <c r="E30" s="14"/>
      <c r="F30" s="14"/>
      <c r="G30" s="14"/>
      <c r="H30" s="14"/>
      <c r="I30" s="14"/>
      <c r="J30" s="37"/>
      <c r="K30" s="14"/>
      <c r="L30" s="14"/>
      <c r="M30" s="14"/>
      <c r="N30" s="14"/>
      <c r="O30" s="23"/>
      <c r="P30" s="14"/>
      <c r="Q30" s="14"/>
      <c r="R30" s="14"/>
      <c r="S30" s="14"/>
      <c r="T30" s="14"/>
      <c r="U30" s="14"/>
      <c r="V30" s="14"/>
      <c r="W30" s="14"/>
      <c r="X30" s="5"/>
      <c r="Y30" s="5"/>
      <c r="Z30" s="14"/>
      <c r="AH30" s="5"/>
      <c r="AI30" s="5"/>
      <c r="AJ30" s="5"/>
      <c r="AK30" s="5"/>
      <c r="AL30" s="5"/>
      <c r="AM30" s="5"/>
    </row>
    <row r="31" spans="1:48" s="1" customFormat="1" x14ac:dyDescent="0.3">
      <c r="A31" s="14"/>
      <c r="B31" s="14"/>
      <c r="C31" s="14"/>
      <c r="D31" s="14"/>
      <c r="E31" s="158"/>
      <c r="F31" s="14"/>
      <c r="G31" s="14"/>
      <c r="H31" s="14"/>
      <c r="I31" s="14"/>
      <c r="J31" s="30"/>
      <c r="K31" s="14"/>
      <c r="L31" s="14"/>
      <c r="M31" s="14"/>
      <c r="N31" s="14"/>
      <c r="O31" s="23"/>
      <c r="P31" s="14"/>
      <c r="Q31" s="14"/>
      <c r="R31" s="14"/>
      <c r="S31" s="14"/>
      <c r="T31" s="14"/>
      <c r="U31" s="14"/>
      <c r="V31" s="14"/>
      <c r="W31" s="14"/>
      <c r="X31" s="5"/>
      <c r="Y31" s="5"/>
      <c r="Z31" s="14"/>
      <c r="AH31" s="5"/>
      <c r="AI31" s="5"/>
      <c r="AJ31" s="5"/>
      <c r="AK31" s="5"/>
      <c r="AL31" s="5"/>
      <c r="AM31" s="5"/>
    </row>
    <row r="32" spans="1:48" s="1" customFormat="1" x14ac:dyDescent="0.3">
      <c r="A32" s="14"/>
      <c r="B32" s="14"/>
      <c r="C32" s="14"/>
      <c r="D32" s="14"/>
      <c r="E32" s="154"/>
      <c r="F32" s="14"/>
      <c r="G32" s="14"/>
      <c r="H32" s="14"/>
      <c r="I32" s="14"/>
      <c r="J32" s="37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H32" s="5"/>
      <c r="AI32" s="5"/>
      <c r="AJ32" s="5"/>
      <c r="AK32" s="5"/>
      <c r="AL32" s="5"/>
      <c r="AM32" s="5"/>
    </row>
    <row r="33" spans="1:39" s="1" customFormat="1" ht="23.4" hidden="1" x14ac:dyDescent="0.45">
      <c r="A33" s="14"/>
      <c r="B33" s="169"/>
      <c r="C33" s="166"/>
      <c r="D33" s="166"/>
      <c r="E33" s="14"/>
      <c r="F33" s="14"/>
      <c r="G33" s="14"/>
      <c r="H33" s="14"/>
      <c r="I33" s="14"/>
      <c r="J33" s="37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H33" s="14"/>
      <c r="AI33" s="5"/>
      <c r="AJ33" s="5"/>
      <c r="AK33" s="5"/>
      <c r="AL33" s="5"/>
      <c r="AM33" s="5"/>
    </row>
    <row r="34" spans="1:39" s="1" customFormat="1" hidden="1" x14ac:dyDescent="0.3">
      <c r="A34" s="14"/>
      <c r="B34" s="14"/>
      <c r="C34" s="14"/>
      <c r="D34" s="14"/>
      <c r="E34" s="14"/>
      <c r="F34" s="14"/>
      <c r="G34" s="14"/>
      <c r="H34" s="14"/>
      <c r="I34" s="14"/>
      <c r="J34" s="30"/>
      <c r="K34" s="14"/>
      <c r="L34" s="14"/>
      <c r="M34" s="14"/>
      <c r="N34" s="14"/>
      <c r="O34" s="14"/>
      <c r="P34" s="14"/>
      <c r="Q34" s="30"/>
      <c r="R34" s="14"/>
      <c r="S34" s="14"/>
      <c r="T34" s="14"/>
      <c r="U34" s="14"/>
      <c r="V34" s="14"/>
      <c r="W34" s="14"/>
      <c r="X34" s="14"/>
      <c r="Y34" s="14"/>
      <c r="Z34" s="14"/>
      <c r="AH34" s="14"/>
      <c r="AI34" s="5"/>
      <c r="AJ34" s="5"/>
      <c r="AK34" s="5"/>
      <c r="AL34" s="5"/>
    </row>
    <row r="35" spans="1:39" s="1" customFormat="1" hidden="1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6"/>
      <c r="R35" s="14"/>
      <c r="S35" s="14"/>
      <c r="T35" s="14"/>
      <c r="U35" s="14"/>
      <c r="V35" s="14"/>
      <c r="W35" s="14"/>
      <c r="X35" s="14"/>
      <c r="Y35" s="14"/>
      <c r="Z35" s="14"/>
      <c r="AH35" s="14"/>
      <c r="AI35" s="5"/>
      <c r="AJ35" s="5"/>
      <c r="AK35" s="5"/>
      <c r="AL35" s="5"/>
    </row>
    <row r="36" spans="1:39" s="1" customFormat="1" hidden="1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6"/>
      <c r="R36" s="14"/>
      <c r="S36" s="14"/>
      <c r="T36" s="14"/>
      <c r="U36" s="14"/>
      <c r="V36" s="14"/>
      <c r="W36" s="14"/>
      <c r="X36" s="14"/>
      <c r="Y36" s="14"/>
      <c r="Z36" s="14"/>
      <c r="AH36" s="14"/>
      <c r="AI36" s="5"/>
      <c r="AJ36" s="5"/>
      <c r="AK36" s="5"/>
      <c r="AL36" s="5"/>
    </row>
    <row r="37" spans="1:39" ht="23.4" hidden="1" x14ac:dyDescent="0.45">
      <c r="B37" s="169"/>
      <c r="C37" s="169"/>
      <c r="D37" s="169"/>
      <c r="J37" s="159"/>
      <c r="N37" s="23"/>
      <c r="Q37" s="15"/>
      <c r="AI37" s="5"/>
      <c r="AJ37" s="5"/>
      <c r="AK37" s="5"/>
      <c r="AL37" s="5"/>
    </row>
    <row r="38" spans="1:39" hidden="1" x14ac:dyDescent="0.3">
      <c r="C38" s="21"/>
      <c r="D38" s="21"/>
      <c r="J38" s="99"/>
      <c r="N38" s="23"/>
      <c r="Q38" s="15"/>
      <c r="AA38" s="44"/>
      <c r="AB38" s="23"/>
      <c r="AC38" s="43"/>
      <c r="AD38" s="44"/>
      <c r="AE38" s="23"/>
      <c r="AF38" s="43"/>
      <c r="AG38" s="5"/>
      <c r="AI38" s="5"/>
      <c r="AJ38" s="5"/>
      <c r="AK38" s="5"/>
      <c r="AL38" s="5"/>
    </row>
    <row r="39" spans="1:39" hidden="1" x14ac:dyDescent="0.3">
      <c r="N39" s="23"/>
      <c r="Q39" s="15"/>
      <c r="AI39" s="5"/>
      <c r="AJ39" s="5"/>
      <c r="AK39" s="5"/>
      <c r="AL39" s="5"/>
    </row>
    <row r="40" spans="1:39" hidden="1" x14ac:dyDescent="0.3">
      <c r="N40" s="23"/>
      <c r="Q40" s="6"/>
      <c r="AI40" s="5"/>
      <c r="AJ40" s="5"/>
      <c r="AK40" s="5"/>
      <c r="AL40" s="5"/>
    </row>
    <row r="41" spans="1:39" hidden="1" x14ac:dyDescent="0.3">
      <c r="B41" s="9"/>
      <c r="C41" s="9"/>
      <c r="D41" s="9"/>
      <c r="Q41" s="6"/>
      <c r="AI41" s="5"/>
      <c r="AJ41" s="5"/>
      <c r="AK41" s="5"/>
      <c r="AL41" s="5"/>
    </row>
    <row r="42" spans="1:39" hidden="1" x14ac:dyDescent="0.3">
      <c r="B42" s="9"/>
      <c r="C42" s="9"/>
      <c r="D42" s="9"/>
      <c r="E42" s="9"/>
      <c r="K42" s="93"/>
      <c r="L42" s="156"/>
      <c r="M42" s="156"/>
      <c r="N42" s="156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</row>
    <row r="43" spans="1:39" hidden="1" x14ac:dyDescent="0.3">
      <c r="B43" s="13"/>
      <c r="C43" s="9"/>
      <c r="D43" s="9"/>
      <c r="E43" s="9"/>
      <c r="K43" s="93"/>
      <c r="L43" s="156"/>
      <c r="M43" s="23"/>
      <c r="N43" s="23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</row>
    <row r="44" spans="1:39" hidden="1" x14ac:dyDescent="0.3">
      <c r="B44" s="10"/>
      <c r="C44" s="10"/>
      <c r="D44" s="10"/>
      <c r="E44" s="10"/>
      <c r="K44" s="93"/>
      <c r="L44" s="23"/>
      <c r="M44" s="23"/>
      <c r="N44" s="23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idden="1" x14ac:dyDescent="0.3">
      <c r="B45" s="95"/>
      <c r="C45" s="101"/>
      <c r="D45" s="92"/>
      <c r="E45" s="93"/>
      <c r="K45" s="93"/>
      <c r="L45" s="23"/>
      <c r="M45" s="23"/>
      <c r="N45" s="23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idden="1" x14ac:dyDescent="0.3">
      <c r="B46" s="38"/>
      <c r="C46" s="31"/>
      <c r="D46" s="92"/>
      <c r="E46" s="93"/>
      <c r="K46" s="95"/>
      <c r="L46" s="23"/>
      <c r="M46" s="23"/>
      <c r="N46" s="1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idden="1" x14ac:dyDescent="0.3">
      <c r="B47" s="38"/>
      <c r="C47" s="31"/>
      <c r="D47" s="92"/>
      <c r="E47" s="93"/>
      <c r="L47" s="23"/>
      <c r="M47" s="23"/>
      <c r="N47" s="23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idden="1" x14ac:dyDescent="0.3">
      <c r="B48" s="38"/>
      <c r="C48" s="31"/>
      <c r="D48" s="92"/>
      <c r="E48" s="93"/>
      <c r="L48" s="23"/>
      <c r="M48" s="15"/>
      <c r="N48" s="23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2:39" hidden="1" x14ac:dyDescent="0.3">
      <c r="B49" s="38"/>
      <c r="C49" s="31"/>
      <c r="D49" s="92"/>
      <c r="E49" s="93"/>
      <c r="L49" s="23"/>
      <c r="M49" s="23"/>
      <c r="N49" s="23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2:39" ht="15" hidden="1" customHeight="1" x14ac:dyDescent="0.3">
      <c r="B50" s="38"/>
      <c r="C50" s="31"/>
      <c r="D50" s="92"/>
      <c r="E50" s="93"/>
      <c r="L50" s="23"/>
      <c r="M50" s="23"/>
      <c r="N50" s="23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2:39" hidden="1" x14ac:dyDescent="0.3">
      <c r="B51" s="38"/>
      <c r="C51" s="31"/>
      <c r="D51" s="92"/>
      <c r="E51" s="93"/>
      <c r="L51" s="23"/>
      <c r="M51" s="23"/>
      <c r="N51" s="23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2:39" hidden="1" x14ac:dyDescent="0.3">
      <c r="B52" s="38"/>
      <c r="C52" s="31"/>
      <c r="D52" s="92"/>
      <c r="E52" s="93"/>
      <c r="L52" s="156"/>
      <c r="M52" s="23"/>
      <c r="N52" s="23"/>
      <c r="W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2:39" hidden="1" x14ac:dyDescent="0.3">
      <c r="B53" s="38"/>
      <c r="C53" s="31"/>
      <c r="D53" s="92"/>
      <c r="E53" s="93"/>
      <c r="K53" s="2"/>
      <c r="L53" s="168"/>
      <c r="M53" s="168"/>
      <c r="N53" s="17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2:39" hidden="1" x14ac:dyDescent="0.3">
      <c r="B54" s="4"/>
      <c r="C54" s="87"/>
      <c r="D54" s="95"/>
      <c r="E54" s="95"/>
      <c r="J54" s="2"/>
      <c r="K54" s="2"/>
      <c r="L54" s="23"/>
      <c r="M54" s="23"/>
      <c r="N54" s="23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2:39" hidden="1" x14ac:dyDescent="0.3">
      <c r="B55" s="10"/>
      <c r="C55" s="19"/>
      <c r="D55" s="10"/>
      <c r="E55" s="12"/>
      <c r="F55" s="11"/>
      <c r="G55" s="17"/>
      <c r="H55" s="17"/>
      <c r="I55" s="4"/>
      <c r="J55" s="4"/>
      <c r="K55" s="4"/>
      <c r="L55" s="168"/>
      <c r="M55" s="168"/>
      <c r="N55" s="17"/>
      <c r="W55" s="20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2:39" hidden="1" x14ac:dyDescent="0.3">
      <c r="B56" s="5"/>
      <c r="C56" s="5"/>
      <c r="D56" s="5"/>
      <c r="E56" s="5"/>
      <c r="F56" s="5"/>
      <c r="G56" s="17"/>
      <c r="H56" s="17"/>
      <c r="I56" s="23"/>
      <c r="J56" s="24"/>
      <c r="K56" s="23"/>
      <c r="L56" s="168"/>
      <c r="M56" s="168"/>
      <c r="N56" s="17"/>
      <c r="W56" s="36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2:39" hidden="1" x14ac:dyDescent="0.3">
      <c r="D57" s="5"/>
      <c r="E57" s="5"/>
      <c r="F57" s="5"/>
      <c r="G57" s="17"/>
      <c r="H57" s="4"/>
      <c r="I57" s="17"/>
      <c r="J57" s="18"/>
      <c r="K57" s="20"/>
      <c r="L57" s="20"/>
      <c r="M57" s="20"/>
      <c r="W57" s="34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2:39" hidden="1" x14ac:dyDescent="0.3">
      <c r="B58" s="161"/>
      <c r="C58" s="15"/>
      <c r="G58" s="21"/>
      <c r="H58" s="23"/>
      <c r="I58" s="17"/>
      <c r="J58" s="18"/>
      <c r="K58" s="15"/>
      <c r="L58" s="15"/>
      <c r="M58" s="15"/>
      <c r="Q58" s="5"/>
      <c r="W58" s="2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2:39" hidden="1" x14ac:dyDescent="0.3">
      <c r="B59" s="90"/>
      <c r="C59" s="161"/>
      <c r="D59" s="162"/>
      <c r="E59" s="162"/>
      <c r="F59" s="162"/>
      <c r="G59" s="162"/>
      <c r="H59" s="162"/>
      <c r="I59" s="91"/>
      <c r="J59" s="91"/>
      <c r="K59" s="91"/>
      <c r="L59" s="91"/>
      <c r="M59" s="91"/>
      <c r="Q59" s="5"/>
      <c r="W59" s="34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</row>
    <row r="60" spans="2:39" hidden="1" x14ac:dyDescent="0.3">
      <c r="B60" s="163"/>
      <c r="C60" s="12"/>
      <c r="D60" s="10"/>
      <c r="E60" s="10"/>
      <c r="F60" s="10"/>
      <c r="G60" s="10"/>
      <c r="H60" s="10"/>
      <c r="I60" s="10"/>
      <c r="J60" s="10"/>
      <c r="K60" s="10"/>
      <c r="L60" s="10"/>
      <c r="M60" s="10"/>
      <c r="Q60" s="5"/>
      <c r="W60" s="2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</row>
    <row r="61" spans="2:39" hidden="1" x14ac:dyDescent="0.3">
      <c r="B61" s="94"/>
      <c r="C61" s="22"/>
      <c r="D61" s="17"/>
      <c r="E61" s="22"/>
      <c r="F61" s="17"/>
      <c r="G61" s="22"/>
      <c r="H61" s="100"/>
      <c r="I61" s="101"/>
      <c r="J61" s="100"/>
      <c r="K61" s="94"/>
      <c r="L61" s="97"/>
      <c r="M61" s="164"/>
      <c r="P61" s="5"/>
      <c r="Q61" s="5"/>
      <c r="W61" s="34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</row>
    <row r="62" spans="2:39" hidden="1" x14ac:dyDescent="0.3">
      <c r="B62" s="94"/>
      <c r="C62" s="22"/>
      <c r="D62" s="17"/>
      <c r="E62" s="22"/>
      <c r="F62" s="17"/>
      <c r="G62" s="22"/>
      <c r="H62" s="100"/>
      <c r="I62" s="101"/>
      <c r="J62" s="100"/>
      <c r="K62" s="94"/>
      <c r="L62" s="97"/>
      <c r="M62" s="164"/>
      <c r="P62" s="5"/>
      <c r="Q62" s="5"/>
      <c r="W62" s="2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</row>
    <row r="63" spans="2:39" hidden="1" x14ac:dyDescent="0.3">
      <c r="B63" s="94"/>
      <c r="C63" s="22"/>
      <c r="D63" s="17"/>
      <c r="E63" s="22"/>
      <c r="F63" s="17"/>
      <c r="G63" s="22"/>
      <c r="H63" s="100"/>
      <c r="I63" s="101"/>
      <c r="J63" s="100"/>
      <c r="K63" s="94"/>
      <c r="L63" s="97"/>
      <c r="M63" s="164"/>
      <c r="P63" s="5"/>
      <c r="Q63" s="5"/>
      <c r="W63" s="3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</row>
    <row r="64" spans="2:39" hidden="1" x14ac:dyDescent="0.3">
      <c r="B64" s="95"/>
      <c r="C64" s="22"/>
      <c r="D64" s="17"/>
      <c r="E64" s="22"/>
      <c r="F64" s="17"/>
      <c r="G64" s="22"/>
      <c r="H64" s="100"/>
      <c r="I64" s="101"/>
      <c r="J64" s="100"/>
      <c r="K64" s="94"/>
      <c r="L64" s="97"/>
      <c r="M64" s="164"/>
      <c r="P64" s="5"/>
      <c r="Q64" s="5"/>
      <c r="W64" s="3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</row>
    <row r="65" spans="2:39" hidden="1" x14ac:dyDescent="0.3">
      <c r="B65" s="95"/>
      <c r="C65" s="22"/>
      <c r="D65" s="17"/>
      <c r="E65" s="22"/>
      <c r="F65" s="17"/>
      <c r="G65" s="22"/>
      <c r="H65" s="100"/>
      <c r="I65" s="101"/>
      <c r="J65" s="100"/>
      <c r="K65" s="94"/>
      <c r="L65" s="97"/>
      <c r="M65" s="164"/>
      <c r="P65" s="5"/>
      <c r="Q65" s="5"/>
      <c r="W65" s="3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</row>
    <row r="66" spans="2:39" hidden="1" x14ac:dyDescent="0.3">
      <c r="B66" s="95"/>
      <c r="C66" s="22"/>
      <c r="D66" s="17"/>
      <c r="E66" s="22"/>
      <c r="F66" s="17"/>
      <c r="G66" s="22"/>
      <c r="H66" s="100"/>
      <c r="I66" s="101"/>
      <c r="J66" s="100"/>
      <c r="K66" s="94"/>
      <c r="L66" s="97"/>
      <c r="M66" s="164"/>
      <c r="P66" s="5"/>
      <c r="Q66" s="5"/>
      <c r="W66" s="3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</row>
    <row r="67" spans="2:39" hidden="1" x14ac:dyDescent="0.3">
      <c r="B67" s="95"/>
      <c r="C67" s="22"/>
      <c r="D67" s="17"/>
      <c r="E67" s="22"/>
      <c r="F67" s="17"/>
      <c r="G67" s="22"/>
      <c r="H67" s="100"/>
      <c r="I67" s="101"/>
      <c r="J67" s="100"/>
      <c r="K67" s="94"/>
      <c r="L67" s="97"/>
      <c r="M67" s="164"/>
      <c r="P67" s="5"/>
      <c r="Q67" s="5"/>
      <c r="W67" s="4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</row>
    <row r="68" spans="2:39" hidden="1" x14ac:dyDescent="0.3">
      <c r="B68" s="95"/>
      <c r="C68" s="22"/>
      <c r="D68" s="17"/>
      <c r="E68" s="22"/>
      <c r="F68" s="17"/>
      <c r="G68" s="22"/>
      <c r="H68" s="100"/>
      <c r="I68" s="101"/>
      <c r="J68" s="100"/>
      <c r="K68" s="94"/>
      <c r="L68" s="97"/>
      <c r="M68" s="164"/>
      <c r="P68" s="5"/>
      <c r="Q68" s="5"/>
      <c r="W68" s="20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</row>
    <row r="69" spans="2:39" hidden="1" x14ac:dyDescent="0.3">
      <c r="B69" s="95"/>
      <c r="C69" s="22"/>
      <c r="D69" s="17"/>
      <c r="E69" s="22"/>
      <c r="F69" s="17"/>
      <c r="G69" s="22"/>
      <c r="H69" s="100"/>
      <c r="I69" s="101"/>
      <c r="J69" s="100"/>
      <c r="K69" s="94"/>
      <c r="L69" s="97"/>
      <c r="M69" s="164"/>
      <c r="P69" s="5"/>
      <c r="Q69" s="5"/>
      <c r="S69" s="20"/>
      <c r="W69" s="20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</row>
    <row r="70" spans="2:39" hidden="1" x14ac:dyDescent="0.3">
      <c r="B70" s="95"/>
      <c r="C70" s="94"/>
      <c r="D70" s="96"/>
      <c r="E70" s="94"/>
      <c r="F70" s="96"/>
      <c r="G70" s="94"/>
      <c r="H70" s="96"/>
      <c r="I70" s="94"/>
      <c r="J70" s="96"/>
      <c r="K70" s="94"/>
      <c r="L70" s="97"/>
      <c r="M70" s="48"/>
      <c r="P70" s="5"/>
      <c r="Q70" s="5"/>
      <c r="U70" s="15"/>
      <c r="V70" s="20"/>
      <c r="W70" s="20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</row>
    <row r="71" spans="2:39" hidden="1" x14ac:dyDescent="0.3">
      <c r="B71" s="102"/>
      <c r="C71" s="98"/>
      <c r="D71" s="98"/>
      <c r="E71" s="98"/>
      <c r="F71" s="98"/>
      <c r="G71" s="98"/>
      <c r="H71" s="98"/>
      <c r="I71" s="98"/>
      <c r="J71" s="98"/>
      <c r="K71" s="98"/>
      <c r="L71" s="99"/>
      <c r="M71" s="30"/>
      <c r="P71" s="5"/>
      <c r="Q71" s="5"/>
      <c r="U71" s="30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</row>
    <row r="72" spans="2:39" hidden="1" x14ac:dyDescent="0.3">
      <c r="B72" s="6"/>
      <c r="C72" s="15"/>
      <c r="D72" s="15"/>
      <c r="E72" s="15"/>
      <c r="F72" s="15"/>
      <c r="G72" s="15"/>
      <c r="H72" s="15"/>
      <c r="I72" s="15"/>
      <c r="J72" s="15"/>
      <c r="K72" s="15"/>
      <c r="L72" s="15"/>
      <c r="P72" s="5"/>
      <c r="Q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</row>
    <row r="73" spans="2:39" hidden="1" x14ac:dyDescent="0.3">
      <c r="P73" s="5"/>
      <c r="Q73" s="5"/>
      <c r="U73" s="20"/>
      <c r="V73" s="20"/>
      <c r="W73" s="20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</row>
    <row r="74" spans="2:39" hidden="1" x14ac:dyDescent="0.3">
      <c r="P74" s="5"/>
      <c r="Q74" s="5"/>
      <c r="R74" s="15"/>
      <c r="S74" s="15"/>
      <c r="T74" s="15"/>
      <c r="U74" s="15"/>
      <c r="V74" s="15"/>
      <c r="W74" s="1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</row>
    <row r="75" spans="2:39" hidden="1" x14ac:dyDescent="0.3">
      <c r="P75" s="5"/>
      <c r="Q75" s="2"/>
      <c r="R75" s="2"/>
      <c r="S75" s="2"/>
      <c r="T75" s="2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</row>
    <row r="76" spans="2:39" hidden="1" x14ac:dyDescent="0.3">
      <c r="P76" s="5"/>
      <c r="Q76" s="37"/>
      <c r="R76" s="37"/>
      <c r="S76" s="37"/>
      <c r="T76" s="37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</row>
    <row r="77" spans="2:39" hidden="1" x14ac:dyDescent="0.3">
      <c r="P77" s="5"/>
      <c r="Q77" s="37"/>
      <c r="R77" s="37"/>
      <c r="S77" s="37"/>
      <c r="T77" s="37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</row>
    <row r="78" spans="2:39" hidden="1" x14ac:dyDescent="0.3">
      <c r="P78" s="5"/>
      <c r="Q78" s="15"/>
      <c r="R78" s="15"/>
      <c r="S78" s="15"/>
      <c r="T78" s="30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</row>
    <row r="79" spans="2:39" hidden="1" x14ac:dyDescent="0.3">
      <c r="I79" s="5"/>
      <c r="J79" s="5"/>
      <c r="N79" s="5"/>
      <c r="O79" s="5"/>
      <c r="P79" s="5"/>
      <c r="Q79" s="30"/>
      <c r="R79" s="30"/>
      <c r="S79" s="30"/>
      <c r="T79" s="30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</row>
    <row r="80" spans="2:39" hidden="1" x14ac:dyDescent="0.3">
      <c r="I80" s="5"/>
      <c r="J80" s="5"/>
      <c r="N80" s="5"/>
      <c r="O80" s="5"/>
      <c r="P80" s="5"/>
      <c r="Q80" s="37"/>
      <c r="R80" s="37"/>
      <c r="S80" s="37"/>
      <c r="T80" s="37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</row>
    <row r="81" spans="4:39" hidden="1" x14ac:dyDescent="0.3">
      <c r="G81" s="5"/>
      <c r="H81" s="5"/>
      <c r="I81" s="5"/>
      <c r="J81" s="5"/>
      <c r="N81" s="5"/>
      <c r="O81" s="5"/>
      <c r="P81" s="5"/>
      <c r="Q81" s="30"/>
      <c r="R81" s="30"/>
      <c r="S81" s="30"/>
      <c r="T81" s="30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</row>
    <row r="82" spans="4:39" hidden="1" x14ac:dyDescent="0.3">
      <c r="N82" s="5"/>
      <c r="O82" s="5"/>
      <c r="P82" s="5"/>
      <c r="Q82" s="30"/>
      <c r="R82" s="30"/>
      <c r="S82" s="30"/>
      <c r="T82" s="30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</row>
    <row r="83" spans="4:39" hidden="1" x14ac:dyDescent="0.3">
      <c r="N83" s="5"/>
      <c r="O83" s="5"/>
      <c r="P83" s="5"/>
      <c r="Q83" s="37"/>
      <c r="R83" s="30"/>
      <c r="S83" s="30"/>
      <c r="T83" s="30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</row>
    <row r="84" spans="4:39" hidden="1" x14ac:dyDescent="0.3">
      <c r="N84" s="5"/>
      <c r="O84" s="5"/>
      <c r="P84" s="5"/>
      <c r="Q84" s="37"/>
      <c r="R84" s="37"/>
      <c r="S84" s="37"/>
      <c r="T84" s="37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4:39" hidden="1" x14ac:dyDescent="0.3">
      <c r="K85" s="5"/>
      <c r="L85" s="5"/>
      <c r="M85" s="5"/>
      <c r="N85" s="5"/>
      <c r="O85" s="5"/>
      <c r="P85" s="5"/>
      <c r="Q85" s="30"/>
      <c r="R85" s="30"/>
      <c r="S85" s="30"/>
      <c r="T85" s="30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</row>
    <row r="86" spans="4:39" hidden="1" x14ac:dyDescent="0.3">
      <c r="K86" s="5"/>
      <c r="L86" s="5"/>
      <c r="M86" s="5"/>
      <c r="N86" s="5"/>
      <c r="O86" s="5"/>
      <c r="P86" s="5"/>
      <c r="Q86" s="30"/>
      <c r="R86" s="30"/>
      <c r="S86" s="30"/>
      <c r="T86" s="37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</row>
    <row r="87" spans="4:39" hidden="1" x14ac:dyDescent="0.3">
      <c r="K87" s="5"/>
      <c r="L87" s="5"/>
      <c r="M87" s="5"/>
      <c r="N87" s="5"/>
      <c r="O87" s="5"/>
      <c r="P87" s="5"/>
      <c r="Q87" s="30"/>
      <c r="R87" s="37"/>
      <c r="S87" s="30"/>
      <c r="T87" s="30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</row>
    <row r="88" spans="4:39" hidden="1" x14ac:dyDescent="0.3">
      <c r="K88" s="5"/>
      <c r="L88" s="5"/>
      <c r="M88" s="5"/>
      <c r="N88" s="5"/>
      <c r="O88" s="5"/>
      <c r="P88" s="5"/>
      <c r="Q88" s="37"/>
      <c r="R88" s="37"/>
      <c r="S88" s="37"/>
      <c r="T88" s="144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</row>
    <row r="89" spans="4:39" hidden="1" x14ac:dyDescent="0.3">
      <c r="K89" s="5"/>
      <c r="L89" s="5"/>
      <c r="M89" s="5"/>
      <c r="N89" s="5"/>
      <c r="O89" s="5"/>
      <c r="P89" s="5"/>
      <c r="Q89" s="30"/>
      <c r="R89" s="30"/>
      <c r="S89" s="37"/>
      <c r="T89" s="37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</row>
    <row r="90" spans="4:39" hidden="1" x14ac:dyDescent="0.3">
      <c r="K90" s="5"/>
      <c r="L90" s="5"/>
      <c r="M90" s="5"/>
      <c r="N90" s="5"/>
      <c r="O90" s="5"/>
      <c r="P90" s="5"/>
      <c r="Q90" s="5"/>
      <c r="R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</row>
    <row r="91" spans="4:39" hidden="1" x14ac:dyDescent="0.3">
      <c r="F91" s="5"/>
      <c r="G91" s="5"/>
      <c r="H91" s="5"/>
      <c r="I91" s="5"/>
      <c r="K91" s="5"/>
      <c r="L91" s="5"/>
      <c r="M91" s="5"/>
      <c r="N91" s="5"/>
      <c r="O91" s="5"/>
      <c r="P91" s="5"/>
      <c r="Q91" s="5"/>
      <c r="R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</row>
    <row r="92" spans="4:39" hidden="1" x14ac:dyDescent="0.3">
      <c r="D92" s="4"/>
      <c r="E92" s="4"/>
      <c r="F92" s="4"/>
      <c r="G92" s="16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</row>
    <row r="93" spans="4:39" hidden="1" x14ac:dyDescent="0.3"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</row>
    <row r="94" spans="4:39" hidden="1" x14ac:dyDescent="0.3"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</row>
    <row r="95" spans="4:39" hidden="1" x14ac:dyDescent="0.3">
      <c r="K95" s="5"/>
      <c r="L95" s="5"/>
      <c r="M95" s="5"/>
      <c r="N95" s="5"/>
      <c r="O95" s="5"/>
      <c r="P95" s="5"/>
      <c r="Q95" s="30"/>
      <c r="R95" s="30"/>
      <c r="S95" s="30"/>
      <c r="T95" s="30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</row>
    <row r="96" spans="4:39" hidden="1" x14ac:dyDescent="0.3">
      <c r="K96" s="5"/>
      <c r="L96" s="5"/>
      <c r="M96" s="5"/>
      <c r="N96" s="5"/>
      <c r="O96" s="5"/>
      <c r="P96" s="5"/>
      <c r="Q96" s="30"/>
      <c r="R96" s="30"/>
      <c r="S96" s="30"/>
      <c r="T96" s="30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</row>
    <row r="97" spans="2:39" hidden="1" x14ac:dyDescent="0.3">
      <c r="K97" s="5"/>
      <c r="L97" s="5"/>
      <c r="M97" s="5"/>
      <c r="N97" s="5"/>
      <c r="O97" s="5"/>
      <c r="P97" s="5"/>
      <c r="Q97" s="30"/>
      <c r="R97" s="30"/>
      <c r="S97" s="30"/>
      <c r="T97" s="30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</row>
    <row r="98" spans="2:39" hidden="1" x14ac:dyDescent="0.3">
      <c r="K98" s="5"/>
      <c r="L98" s="5"/>
      <c r="M98" s="5"/>
      <c r="N98" s="5"/>
      <c r="O98" s="5"/>
      <c r="P98" s="5"/>
      <c r="Q98" s="30"/>
      <c r="R98" s="30"/>
      <c r="S98" s="30"/>
      <c r="T98" s="30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</row>
    <row r="99" spans="2:39" hidden="1" x14ac:dyDescent="0.3">
      <c r="K99" s="5"/>
      <c r="L99" s="5"/>
      <c r="M99" s="5"/>
      <c r="N99" s="5"/>
      <c r="O99" s="5"/>
      <c r="P99" s="5"/>
      <c r="Q99" s="30"/>
      <c r="R99" s="30"/>
      <c r="S99" s="30"/>
      <c r="T99" s="30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</row>
    <row r="100" spans="2:39" hidden="1" x14ac:dyDescent="0.3">
      <c r="B100" s="5"/>
      <c r="K100" s="5"/>
      <c r="L100" s="5"/>
      <c r="M100" s="5"/>
      <c r="N100" s="5"/>
      <c r="O100" s="5"/>
      <c r="P100" s="5"/>
      <c r="Q100" s="30"/>
      <c r="R100" s="30"/>
      <c r="S100" s="30"/>
      <c r="T100" s="30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</row>
    <row r="101" spans="2:39" hidden="1" x14ac:dyDescent="0.3">
      <c r="B101" s="5"/>
      <c r="K101" s="5"/>
      <c r="L101" s="5"/>
      <c r="M101" s="5"/>
      <c r="N101" s="5"/>
      <c r="O101" s="5"/>
      <c r="P101" s="5"/>
      <c r="Q101" s="30"/>
      <c r="R101" s="30"/>
      <c r="S101" s="30"/>
      <c r="T101" s="30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</row>
    <row r="102" spans="2:39" hidden="1" x14ac:dyDescent="0.3">
      <c r="B102" s="5"/>
      <c r="K102" s="5"/>
      <c r="L102" s="5"/>
      <c r="M102" s="5"/>
      <c r="N102" s="5"/>
      <c r="O102" s="5"/>
      <c r="P102" s="5"/>
      <c r="Q102" s="30"/>
      <c r="R102" s="30"/>
      <c r="S102" s="30"/>
      <c r="T102" s="30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</row>
    <row r="103" spans="2:39" hidden="1" x14ac:dyDescent="0.3">
      <c r="B103" s="5"/>
      <c r="K103" s="5"/>
      <c r="L103" s="5"/>
      <c r="M103" s="5"/>
      <c r="N103" s="5"/>
      <c r="O103" s="5"/>
      <c r="P103" s="5"/>
      <c r="Q103" s="30"/>
      <c r="R103" s="30"/>
      <c r="S103" s="30"/>
      <c r="T103" s="30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</row>
    <row r="104" spans="2:39" hidden="1" x14ac:dyDescent="0.3">
      <c r="B104" s="5"/>
      <c r="K104" s="5"/>
      <c r="L104" s="5"/>
      <c r="M104" s="5"/>
      <c r="N104" s="5"/>
      <c r="O104" s="5"/>
      <c r="P104" s="5"/>
      <c r="Q104" s="30"/>
      <c r="R104" s="30"/>
      <c r="S104" s="30"/>
      <c r="T104" s="30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</row>
    <row r="105" spans="2:39" hidden="1" x14ac:dyDescent="0.3">
      <c r="B105" s="5"/>
      <c r="K105" s="5"/>
      <c r="L105" s="5"/>
      <c r="M105" s="5"/>
      <c r="N105" s="5"/>
      <c r="O105" s="5"/>
      <c r="P105" s="5"/>
      <c r="Q105" s="30"/>
      <c r="R105" s="30"/>
      <c r="S105" s="30"/>
      <c r="T105" s="30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</row>
    <row r="106" spans="2:39" hidden="1" x14ac:dyDescent="0.3">
      <c r="B106" s="5"/>
      <c r="K106" s="5"/>
      <c r="L106" s="5"/>
      <c r="M106" s="5"/>
      <c r="N106" s="5"/>
      <c r="O106" s="5"/>
      <c r="P106" s="5"/>
      <c r="Q106" s="30"/>
      <c r="R106" s="30"/>
      <c r="S106" s="30"/>
      <c r="T106" s="30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</row>
    <row r="107" spans="2:39" hidden="1" x14ac:dyDescent="0.3">
      <c r="B107" s="5"/>
      <c r="K107" s="5"/>
      <c r="L107" s="5"/>
      <c r="M107" s="5"/>
      <c r="N107" s="5"/>
      <c r="O107" s="5"/>
      <c r="P107" s="5"/>
      <c r="Q107" s="30"/>
      <c r="R107" s="30"/>
      <c r="S107" s="30"/>
      <c r="T107" s="30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</row>
    <row r="108" spans="2:39" hidden="1" x14ac:dyDescent="0.3">
      <c r="B108" s="5"/>
      <c r="K108" s="5"/>
      <c r="L108" s="5"/>
      <c r="M108" s="5"/>
      <c r="N108" s="5"/>
      <c r="O108" s="5"/>
      <c r="P108" s="5"/>
      <c r="Q108" s="30"/>
      <c r="R108" s="30"/>
      <c r="S108" s="30"/>
      <c r="T108" s="30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</row>
    <row r="109" spans="2:39" hidden="1" x14ac:dyDescent="0.3">
      <c r="B109" s="5"/>
      <c r="I109" s="5"/>
      <c r="K109" s="5"/>
      <c r="L109" s="5"/>
      <c r="M109" s="5"/>
      <c r="N109" s="5"/>
      <c r="O109" s="5"/>
      <c r="P109" s="5"/>
      <c r="Q109" s="30"/>
      <c r="R109" s="30"/>
      <c r="S109" s="30"/>
      <c r="T109" s="30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</row>
    <row r="110" spans="2:39" hidden="1" x14ac:dyDescent="0.3">
      <c r="B110" s="5"/>
      <c r="I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  <row r="111" spans="2:39" hidden="1" x14ac:dyDescent="0.3">
      <c r="B111" s="5"/>
      <c r="I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</row>
    <row r="112" spans="2:39" hidden="1" x14ac:dyDescent="0.3">
      <c r="B112" s="5"/>
      <c r="I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</row>
    <row r="113" spans="2:39" hidden="1" x14ac:dyDescent="0.3">
      <c r="B113" s="5"/>
      <c r="I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</row>
    <row r="114" spans="2:39" hidden="1" x14ac:dyDescent="0.3">
      <c r="B114" s="5"/>
      <c r="I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</row>
    <row r="115" spans="2:39" hidden="1" x14ac:dyDescent="0.3">
      <c r="B115" s="5"/>
      <c r="I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</row>
    <row r="116" spans="2:39" hidden="1" x14ac:dyDescent="0.3">
      <c r="B116" s="5"/>
      <c r="I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</row>
    <row r="117" spans="2:39" hidden="1" x14ac:dyDescent="0.3">
      <c r="B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</row>
    <row r="118" spans="2:39" hidden="1" x14ac:dyDescent="0.3">
      <c r="B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</row>
    <row r="119" spans="2:39" hidden="1" x14ac:dyDescent="0.3">
      <c r="B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</row>
    <row r="120" spans="2:39" hidden="1" x14ac:dyDescent="0.3">
      <c r="B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</row>
    <row r="121" spans="2:39" hidden="1" x14ac:dyDescent="0.3">
      <c r="B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</row>
    <row r="122" spans="2:39" hidden="1" x14ac:dyDescent="0.3">
      <c r="B122" s="5"/>
      <c r="D122" s="37"/>
      <c r="E122" s="37"/>
      <c r="F122" s="37"/>
      <c r="G122" s="37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</row>
    <row r="123" spans="2:39" hidden="1" x14ac:dyDescent="0.3">
      <c r="B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</row>
    <row r="124" spans="2:39" hidden="1" x14ac:dyDescent="0.3">
      <c r="B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</row>
    <row r="125" spans="2:39" hidden="1" x14ac:dyDescent="0.3">
      <c r="B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</row>
    <row r="126" spans="2:39" hidden="1" x14ac:dyDescent="0.3">
      <c r="B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</row>
    <row r="127" spans="2:39" hidden="1" x14ac:dyDescent="0.3">
      <c r="B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</row>
    <row r="128" spans="2:39" hidden="1" x14ac:dyDescent="0.3">
      <c r="B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</row>
    <row r="129" spans="2:39" hidden="1" x14ac:dyDescent="0.3">
      <c r="B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</row>
    <row r="130" spans="2:39" hidden="1" x14ac:dyDescent="0.3">
      <c r="B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</row>
    <row r="131" spans="2:39" hidden="1" x14ac:dyDescent="0.3">
      <c r="B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</row>
    <row r="132" spans="2:39" hidden="1" x14ac:dyDescent="0.3">
      <c r="B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</row>
    <row r="133" spans="2:39" hidden="1" x14ac:dyDescent="0.3">
      <c r="B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</row>
    <row r="134" spans="2:39" hidden="1" x14ac:dyDescent="0.3"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</row>
    <row r="135" spans="2:39" hidden="1" x14ac:dyDescent="0.3">
      <c r="C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</row>
    <row r="136" spans="2:39" hidden="1" x14ac:dyDescent="0.3">
      <c r="C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</row>
    <row r="137" spans="2:39" hidden="1" x14ac:dyDescent="0.3">
      <c r="C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</row>
    <row r="138" spans="2:39" hidden="1" x14ac:dyDescent="0.3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</row>
    <row r="139" spans="2:39" hidden="1" x14ac:dyDescent="0.3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</row>
    <row r="140" spans="2:39" hidden="1" x14ac:dyDescent="0.3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</row>
    <row r="141" spans="2:39" hidden="1" x14ac:dyDescent="0.3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</row>
    <row r="142" spans="2:39" hidden="1" x14ac:dyDescent="0.3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</row>
    <row r="143" spans="2:39" hidden="1" x14ac:dyDescent="0.3"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2:39" hidden="1" x14ac:dyDescent="0.3">
      <c r="C144" s="5"/>
      <c r="D144" s="5"/>
      <c r="E144" s="5"/>
      <c r="F144" s="5"/>
      <c r="G144" s="5"/>
      <c r="H144" s="5"/>
      <c r="I144" s="5"/>
    </row>
    <row r="145" spans="3:9" hidden="1" x14ac:dyDescent="0.3">
      <c r="C145" s="5"/>
      <c r="D145" s="5"/>
      <c r="E145" s="5"/>
      <c r="F145" s="5"/>
      <c r="G145" s="5"/>
      <c r="H145" s="5"/>
      <c r="I145" s="5"/>
    </row>
    <row r="146" spans="3:9" hidden="1" x14ac:dyDescent="0.3">
      <c r="C146" s="5"/>
      <c r="D146" s="5"/>
      <c r="E146" s="5"/>
      <c r="F146" s="5"/>
      <c r="G146" s="5"/>
      <c r="H146" s="5"/>
      <c r="I146" s="5"/>
    </row>
    <row r="147" spans="3:9" hidden="1" x14ac:dyDescent="0.3">
      <c r="C147" s="5"/>
      <c r="D147" s="5"/>
      <c r="E147" s="5"/>
      <c r="F147" s="5"/>
      <c r="G147" s="5"/>
      <c r="H147" s="5"/>
      <c r="I147" s="5"/>
    </row>
    <row r="148" spans="3:9" hidden="1" x14ac:dyDescent="0.3">
      <c r="I148" s="5"/>
    </row>
    <row r="149" spans="3:9" hidden="1" x14ac:dyDescent="0.3">
      <c r="I149" s="5"/>
    </row>
    <row r="150" spans="3:9" hidden="1" x14ac:dyDescent="0.3">
      <c r="I150" s="5"/>
    </row>
    <row r="151" spans="3:9" hidden="1" x14ac:dyDescent="0.3">
      <c r="I151" s="5"/>
    </row>
    <row r="153" spans="3:9" hidden="1" x14ac:dyDescent="0.3">
      <c r="C153" s="30"/>
    </row>
    <row r="154" spans="3:9" hidden="1" x14ac:dyDescent="0.3">
      <c r="C154" s="30"/>
    </row>
    <row r="155" spans="3:9" hidden="1" x14ac:dyDescent="0.3">
      <c r="C155" s="30"/>
    </row>
    <row r="156" spans="3:9" hidden="1" x14ac:dyDescent="0.3">
      <c r="C156" s="30"/>
    </row>
    <row r="157" spans="3:9" hidden="1" x14ac:dyDescent="0.3">
      <c r="C157" s="30"/>
    </row>
    <row r="158" spans="3:9" hidden="1" x14ac:dyDescent="0.3">
      <c r="C158" s="30"/>
    </row>
    <row r="159" spans="3:9" hidden="1" x14ac:dyDescent="0.3">
      <c r="C159" s="30"/>
    </row>
    <row r="160" spans="3:9" hidden="1" x14ac:dyDescent="0.3">
      <c r="C160" s="30"/>
    </row>
    <row r="161" spans="3:8" hidden="1" x14ac:dyDescent="0.3">
      <c r="C161" s="30"/>
    </row>
    <row r="162" spans="3:8" hidden="1" x14ac:dyDescent="0.3">
      <c r="C162" s="30"/>
    </row>
    <row r="163" spans="3:8" hidden="1" x14ac:dyDescent="0.3">
      <c r="C163" s="30"/>
    </row>
    <row r="164" spans="3:8" hidden="1" x14ac:dyDescent="0.3">
      <c r="C164" s="30"/>
    </row>
    <row r="165" spans="3:8" hidden="1" x14ac:dyDescent="0.3">
      <c r="C165" s="30"/>
    </row>
    <row r="166" spans="3:8" hidden="1" x14ac:dyDescent="0.3">
      <c r="C166" s="30"/>
    </row>
    <row r="170" spans="3:8" hidden="1" x14ac:dyDescent="0.3">
      <c r="D170" s="37"/>
      <c r="E170" s="37"/>
      <c r="F170" s="37"/>
      <c r="G170" s="37"/>
      <c r="H170" s="37"/>
    </row>
    <row r="171" spans="3:8" hidden="1" x14ac:dyDescent="0.3">
      <c r="H171" s="37"/>
    </row>
    <row r="172" spans="3:8" hidden="1" x14ac:dyDescent="0.3">
      <c r="H172" s="37"/>
    </row>
    <row r="173" spans="3:8" hidden="1" x14ac:dyDescent="0.3">
      <c r="H173" s="37"/>
    </row>
    <row r="174" spans="3:8" hidden="1" x14ac:dyDescent="0.3">
      <c r="H174" s="37"/>
    </row>
  </sheetData>
  <sortState xmlns:xlrd2="http://schemas.microsoft.com/office/spreadsheetml/2017/richdata2" ref="O4:R25">
    <sortCondition ref="O4:O25"/>
  </sortState>
  <dataConsolidate/>
  <phoneticPr fontId="6" type="noConversion"/>
  <conditionalFormatting sqref="C45:C53">
    <cfRule type="dataBar" priority="1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{F9C5B160-8259-4981-9215-CF2763FB37D6}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{CF521E6A-505D-4788-9E51-88CC1FD3CCFE}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C5B160-8259-4981-9215-CF2763FB37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F521E6A-505D-4788-9E51-88CC1FD3CC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C45:C53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B0E7B-2261-4C8E-8B96-DEE392E1DB11}">
  <sheetPr codeName="Hoja3"/>
  <dimension ref="A1:BJ526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32" style="14" customWidth="1"/>
    <col min="2" max="2" width="75.88671875" style="14" customWidth="1"/>
    <col min="3" max="3" width="8.6640625" style="14" bestFit="1" customWidth="1"/>
    <col min="4" max="4" width="14" style="14" customWidth="1"/>
    <col min="5" max="5" width="9.88671875" style="14" customWidth="1"/>
    <col min="6" max="6" width="52.88671875" style="14" bestFit="1" customWidth="1"/>
    <col min="7" max="7" width="14.88671875" style="14" bestFit="1" customWidth="1"/>
    <col min="8" max="8" width="11.44140625" style="14" bestFit="1" customWidth="1"/>
    <col min="9" max="9" width="30.5546875" style="14" customWidth="1"/>
    <col min="10" max="10" width="5.5546875" style="14" customWidth="1"/>
    <col min="11" max="11" width="14.88671875" style="14" bestFit="1" customWidth="1"/>
    <col min="12" max="12" width="40.5546875" style="14" hidden="1" customWidth="1"/>
    <col min="13" max="13" width="7.44140625" style="14" hidden="1" customWidth="1"/>
    <col min="14" max="14" width="23.88671875" style="14" hidden="1" customWidth="1"/>
    <col min="15" max="15" width="36.109375" style="14" hidden="1" customWidth="1"/>
    <col min="16" max="16" width="7.44140625" style="14" hidden="1" customWidth="1"/>
    <col min="17" max="17" width="26" style="14" hidden="1" customWidth="1"/>
    <col min="18" max="62" width="0" style="14" hidden="1" customWidth="1"/>
    <col min="63" max="16384" width="11.44140625" style="14" hidden="1"/>
  </cols>
  <sheetData>
    <row r="1" spans="2:62" x14ac:dyDescent="0.3">
      <c r="B1" s="15"/>
    </row>
    <row r="2" spans="2:62" x14ac:dyDescent="0.3"/>
    <row r="3" spans="2:62" x14ac:dyDescent="0.3"/>
    <row r="4" spans="2:62" x14ac:dyDescent="0.3"/>
    <row r="5" spans="2:62" x14ac:dyDescent="0.3"/>
    <row r="6" spans="2:62" x14ac:dyDescent="0.3"/>
    <row r="7" spans="2:62" x14ac:dyDescent="0.3"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</row>
    <row r="8" spans="2:62" x14ac:dyDescent="0.3">
      <c r="K8" s="40"/>
      <c r="L8" s="40"/>
      <c r="M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</row>
    <row r="9" spans="2:62" x14ac:dyDescent="0.3">
      <c r="K9" s="40"/>
      <c r="L9" s="40"/>
      <c r="M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</row>
    <row r="10" spans="2:62" x14ac:dyDescent="0.3">
      <c r="K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</row>
    <row r="11" spans="2:62" x14ac:dyDescent="0.3">
      <c r="M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</row>
    <row r="12" spans="2:62" x14ac:dyDescent="0.3">
      <c r="L12" s="4"/>
      <c r="M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</row>
    <row r="13" spans="2:62" x14ac:dyDescent="0.3">
      <c r="I13" s="4"/>
      <c r="J13" s="4"/>
      <c r="K13" s="4"/>
      <c r="L13" s="37"/>
      <c r="M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</row>
    <row r="14" spans="2:62" x14ac:dyDescent="0.3">
      <c r="G14" s="14" t="s">
        <v>87</v>
      </c>
      <c r="I14" s="37"/>
      <c r="J14" s="37"/>
      <c r="K14" s="37"/>
      <c r="L14" s="30"/>
      <c r="M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</row>
    <row r="15" spans="2:62" x14ac:dyDescent="0.3">
      <c r="I15" s="30"/>
      <c r="J15" s="30"/>
      <c r="K15" s="30"/>
      <c r="L15" s="143"/>
      <c r="M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</row>
    <row r="16" spans="2:62" x14ac:dyDescent="0.3">
      <c r="I16" s="37"/>
      <c r="J16" s="15"/>
      <c r="K16" s="15"/>
      <c r="L16" s="37"/>
      <c r="M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</row>
    <row r="17" spans="2:62" x14ac:dyDescent="0.3">
      <c r="B17" s="39"/>
      <c r="C17" s="40"/>
      <c r="I17" s="37"/>
      <c r="J17" s="37"/>
      <c r="K17" s="37"/>
      <c r="L17" s="15"/>
      <c r="M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</row>
    <row r="18" spans="2:62" x14ac:dyDescent="0.3">
      <c r="B18" s="40"/>
      <c r="C18" s="40"/>
      <c r="F18" s="42"/>
      <c r="G18" s="43"/>
      <c r="H18" s="40"/>
      <c r="I18" s="15"/>
      <c r="J18" s="15"/>
      <c r="K18" s="15"/>
      <c r="L18" s="37"/>
      <c r="M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</row>
    <row r="19" spans="2:62" x14ac:dyDescent="0.3">
      <c r="B19" s="41"/>
      <c r="C19" s="42"/>
      <c r="D19" s="44"/>
      <c r="E19" s="44"/>
      <c r="G19" s="43"/>
      <c r="I19" s="37"/>
      <c r="J19" s="37"/>
      <c r="K19" s="37"/>
      <c r="L19" s="15"/>
      <c r="M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</row>
    <row r="20" spans="2:62" x14ac:dyDescent="0.3">
      <c r="I20" s="15"/>
      <c r="J20" s="15"/>
      <c r="K20" s="15"/>
      <c r="L20" s="37"/>
      <c r="M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</row>
    <row r="21" spans="2:62" ht="24" thickBot="1" x14ac:dyDescent="0.5">
      <c r="B21" s="454" t="s">
        <v>110</v>
      </c>
      <c r="C21" s="454" t="s">
        <v>123</v>
      </c>
      <c r="D21" s="454" t="s">
        <v>41</v>
      </c>
      <c r="E21" s="455"/>
      <c r="F21" s="454" t="s">
        <v>110</v>
      </c>
      <c r="G21" s="454" t="s">
        <v>123</v>
      </c>
      <c r="H21" s="454" t="s">
        <v>41</v>
      </c>
      <c r="I21" s="37"/>
      <c r="J21" s="37"/>
      <c r="K21" s="37"/>
      <c r="L21" s="47"/>
      <c r="M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</row>
    <row r="22" spans="2:62" ht="15" thickBot="1" x14ac:dyDescent="0.35">
      <c r="I22" s="15"/>
      <c r="J22" s="15"/>
      <c r="K22" s="15"/>
      <c r="L22" s="47"/>
      <c r="M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</row>
    <row r="23" spans="2:62" ht="23.4" x14ac:dyDescent="0.45">
      <c r="B23" s="173" t="s">
        <v>257</v>
      </c>
      <c r="C23" s="170">
        <v>10</v>
      </c>
      <c r="D23" s="173" t="s">
        <v>111</v>
      </c>
      <c r="E23" s="173"/>
      <c r="F23" s="173" t="s">
        <v>342</v>
      </c>
      <c r="G23" s="210">
        <v>2913</v>
      </c>
      <c r="H23" s="166" t="s">
        <v>42</v>
      </c>
      <c r="I23" s="15"/>
      <c r="J23" s="15"/>
      <c r="K23" s="15"/>
      <c r="L23" s="37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</row>
    <row r="24" spans="2:62" ht="23.4" x14ac:dyDescent="0.45">
      <c r="B24" s="173" t="s">
        <v>258</v>
      </c>
      <c r="C24" s="171">
        <v>30</v>
      </c>
      <c r="D24" s="173" t="s">
        <v>251</v>
      </c>
      <c r="E24" s="173"/>
      <c r="F24" s="207" t="s">
        <v>385</v>
      </c>
      <c r="G24" s="211">
        <v>4750</v>
      </c>
      <c r="H24" s="166" t="s">
        <v>42</v>
      </c>
      <c r="I24" s="15"/>
      <c r="J24" s="15"/>
      <c r="K24" s="15"/>
      <c r="L24" s="3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</row>
    <row r="25" spans="2:62" ht="24" thickBot="1" x14ac:dyDescent="0.5">
      <c r="B25" s="173" t="s">
        <v>259</v>
      </c>
      <c r="C25" s="172">
        <v>12</v>
      </c>
      <c r="D25" s="169" t="s">
        <v>45</v>
      </c>
      <c r="E25" s="169"/>
      <c r="F25" s="173" t="s">
        <v>344</v>
      </c>
      <c r="G25" s="212">
        <v>14108</v>
      </c>
      <c r="H25" s="166" t="s">
        <v>42</v>
      </c>
      <c r="I25" s="37"/>
      <c r="J25" s="15"/>
      <c r="K25" s="15"/>
      <c r="L25" s="37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</row>
    <row r="26" spans="2:62" ht="23.4" x14ac:dyDescent="0.45">
      <c r="B26" s="173" t="s">
        <v>260</v>
      </c>
      <c r="C26" s="205">
        <f>C23*C24</f>
        <v>300</v>
      </c>
      <c r="D26" s="169" t="s">
        <v>163</v>
      </c>
      <c r="E26" s="169"/>
      <c r="F26" s="173" t="s">
        <v>343</v>
      </c>
      <c r="G26" s="274">
        <f>SUM(G23:G25)</f>
        <v>21771</v>
      </c>
      <c r="H26" s="166" t="s">
        <v>42</v>
      </c>
      <c r="I26" s="37"/>
      <c r="J26" s="15"/>
      <c r="K26" s="15"/>
      <c r="L26" s="37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</row>
    <row r="27" spans="2:62" ht="23.4" x14ac:dyDescent="0.45">
      <c r="B27" s="173" t="s">
        <v>261</v>
      </c>
      <c r="C27" s="206">
        <f>C25*C26</f>
        <v>3600</v>
      </c>
      <c r="D27" s="169" t="s">
        <v>164</v>
      </c>
      <c r="E27" s="169"/>
      <c r="I27" s="15"/>
      <c r="J27" s="15"/>
      <c r="K27" s="15"/>
      <c r="L27" s="37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</row>
    <row r="28" spans="2:62" ht="23.4" x14ac:dyDescent="0.45">
      <c r="B28" s="173"/>
      <c r="C28" s="173"/>
      <c r="D28" s="169"/>
      <c r="E28" s="169"/>
      <c r="I28" s="37"/>
      <c r="J28" s="37"/>
      <c r="K28" s="37"/>
      <c r="L28" s="15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</row>
    <row r="29" spans="2:62" ht="23.4" x14ac:dyDescent="0.45">
      <c r="B29" s="173"/>
      <c r="C29" s="173"/>
      <c r="D29" s="169"/>
      <c r="E29" s="169"/>
      <c r="I29" s="37"/>
      <c r="J29" s="37"/>
      <c r="K29" s="37"/>
      <c r="L29" s="3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</row>
    <row r="30" spans="2:62" ht="24" thickBot="1" x14ac:dyDescent="0.5">
      <c r="B30" s="173"/>
      <c r="C30" s="173"/>
      <c r="D30" s="169"/>
      <c r="F30" s="207"/>
      <c r="G30" s="207"/>
      <c r="H30" s="166"/>
      <c r="I30" s="37"/>
      <c r="J30" s="15"/>
      <c r="K30" s="15"/>
      <c r="L30" s="37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</row>
    <row r="31" spans="2:62" ht="23.4" x14ac:dyDescent="0.45">
      <c r="B31" s="207" t="s">
        <v>253</v>
      </c>
      <c r="C31" s="170">
        <v>10</v>
      </c>
      <c r="D31" s="166" t="s">
        <v>111</v>
      </c>
      <c r="F31" s="207"/>
      <c r="G31" s="207"/>
      <c r="H31" s="166"/>
      <c r="I31" s="37"/>
      <c r="J31" s="37"/>
      <c r="K31" s="37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</row>
    <row r="32" spans="2:62" ht="23.4" x14ac:dyDescent="0.45">
      <c r="B32" s="169" t="s">
        <v>254</v>
      </c>
      <c r="C32" s="171">
        <v>0.5</v>
      </c>
      <c r="D32" s="166" t="s">
        <v>111</v>
      </c>
      <c r="E32" s="208"/>
      <c r="L32" s="5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</row>
    <row r="33" spans="2:62" ht="23.4" x14ac:dyDescent="0.45">
      <c r="B33" s="173" t="s">
        <v>255</v>
      </c>
      <c r="C33" s="171">
        <v>10</v>
      </c>
      <c r="D33" s="213" t="s">
        <v>252</v>
      </c>
      <c r="L33" s="5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</row>
    <row r="34" spans="2:62" ht="27" thickBot="1" x14ac:dyDescent="0.5">
      <c r="B34" s="207" t="s">
        <v>256</v>
      </c>
      <c r="C34" s="172">
        <v>14</v>
      </c>
      <c r="D34" s="166" t="s">
        <v>147</v>
      </c>
      <c r="E34" s="169"/>
      <c r="L34" s="5"/>
      <c r="N34" s="5"/>
      <c r="O34" s="5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</row>
    <row r="35" spans="2:62" ht="23.4" x14ac:dyDescent="0.45">
      <c r="B35" s="209"/>
      <c r="C35" s="209"/>
      <c r="D35" s="173"/>
      <c r="E35" s="273"/>
      <c r="L35" s="5"/>
      <c r="M35" s="5"/>
      <c r="N35" s="5"/>
      <c r="O35" s="5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</row>
    <row r="36" spans="2:62" ht="23.4" x14ac:dyDescent="0.45">
      <c r="D36" s="173"/>
      <c r="E36" s="273"/>
      <c r="L36" s="40"/>
      <c r="M36" s="5"/>
      <c r="N36" s="5"/>
      <c r="O36" s="5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</row>
    <row r="37" spans="2:62" ht="17.25" customHeight="1" x14ac:dyDescent="0.3">
      <c r="M37" s="5"/>
      <c r="N37" s="5"/>
      <c r="O37" s="5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</row>
    <row r="38" spans="2:62" x14ac:dyDescent="0.3">
      <c r="M38" s="5"/>
      <c r="N38" s="5"/>
      <c r="O38" s="5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</row>
    <row r="39" spans="2:62" x14ac:dyDescent="0.3">
      <c r="J39" s="4"/>
      <c r="K39" s="4"/>
      <c r="L39" s="4"/>
      <c r="M39" s="165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</row>
    <row r="40" spans="2:62" x14ac:dyDescent="0.3">
      <c r="G40" s="40"/>
      <c r="J40" s="165"/>
      <c r="K40" s="37"/>
      <c r="L40" s="37"/>
      <c r="M40" s="37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</row>
    <row r="41" spans="2:62" x14ac:dyDescent="0.3">
      <c r="G41" s="40"/>
      <c r="J41" s="37"/>
      <c r="K41" s="37"/>
      <c r="L41" s="37"/>
      <c r="M41" s="37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</row>
    <row r="42" spans="2:62" hidden="1" x14ac:dyDescent="0.3">
      <c r="F42" s="43"/>
      <c r="G42" s="40"/>
      <c r="J42" s="37"/>
      <c r="K42" s="37"/>
      <c r="L42" s="37"/>
      <c r="M42" s="37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</row>
    <row r="43" spans="2:62" hidden="1" x14ac:dyDescent="0.3">
      <c r="F43" s="43"/>
      <c r="G43" s="40"/>
      <c r="J43" s="37"/>
      <c r="K43" s="37"/>
      <c r="L43" s="37"/>
      <c r="M43" s="37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</row>
    <row r="44" spans="2:62" hidden="1" x14ac:dyDescent="0.3">
      <c r="C44" s="45"/>
      <c r="D44" s="42"/>
      <c r="E44" s="42"/>
      <c r="G44" s="40"/>
      <c r="J44" s="37"/>
      <c r="K44" s="37"/>
      <c r="L44" s="37"/>
      <c r="M44" s="144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</row>
    <row r="45" spans="2:62" hidden="1" x14ac:dyDescent="0.3">
      <c r="G45" s="40"/>
      <c r="H45" s="40"/>
      <c r="J45" s="37"/>
      <c r="K45" s="37"/>
      <c r="L45" s="37"/>
      <c r="M45" s="144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</row>
    <row r="46" spans="2:62" hidden="1" x14ac:dyDescent="0.3">
      <c r="G46" s="40"/>
      <c r="H46" s="40"/>
      <c r="J46" s="165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</row>
    <row r="47" spans="2:62" hidden="1" x14ac:dyDescent="0.3">
      <c r="G47" s="40"/>
      <c r="H47" s="40"/>
      <c r="J47" s="30"/>
      <c r="K47" s="30"/>
      <c r="L47" s="30"/>
      <c r="M47" s="143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</row>
    <row r="48" spans="2:62" hidden="1" x14ac:dyDescent="0.3">
      <c r="G48" s="40"/>
      <c r="H48" s="40"/>
      <c r="J48" s="30"/>
      <c r="K48" s="30"/>
      <c r="L48" s="30"/>
      <c r="M48" s="15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</row>
    <row r="49" spans="3:62" hidden="1" x14ac:dyDescent="0.3">
      <c r="G49" s="40"/>
      <c r="H49" s="40"/>
      <c r="J49" s="30"/>
      <c r="K49" s="30"/>
      <c r="L49" s="30"/>
      <c r="M49" s="3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</row>
    <row r="50" spans="3:62" hidden="1" x14ac:dyDescent="0.3">
      <c r="G50" s="40"/>
      <c r="H50" s="40"/>
      <c r="J50" s="30"/>
      <c r="K50" s="30"/>
      <c r="L50" s="30"/>
      <c r="M50" s="37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</row>
    <row r="51" spans="3:62" hidden="1" x14ac:dyDescent="0.3">
      <c r="F51" s="43"/>
      <c r="G51" s="40"/>
      <c r="H51" s="40"/>
      <c r="J51" s="30"/>
      <c r="K51" s="30"/>
      <c r="L51" s="30"/>
      <c r="M51" s="144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</row>
    <row r="52" spans="3:62" hidden="1" x14ac:dyDescent="0.3">
      <c r="C52" s="40"/>
      <c r="D52" s="42"/>
      <c r="E52" s="42"/>
      <c r="F52" s="43"/>
      <c r="G52" s="40"/>
      <c r="H52" s="40"/>
      <c r="J52" s="102"/>
      <c r="K52" s="15"/>
      <c r="L52" s="15"/>
      <c r="M52" s="15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</row>
    <row r="53" spans="3:62" hidden="1" x14ac:dyDescent="0.3">
      <c r="C53" s="40"/>
      <c r="D53" s="40"/>
      <c r="E53" s="40"/>
      <c r="F53" s="46"/>
      <c r="G53" s="40"/>
      <c r="H53" s="40"/>
      <c r="J53" s="15"/>
      <c r="K53" s="15"/>
      <c r="L53" s="15"/>
      <c r="M53" s="15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</row>
    <row r="54" spans="3:62" hidden="1" x14ac:dyDescent="0.3">
      <c r="C54" s="40"/>
      <c r="D54" s="40"/>
      <c r="E54" s="40"/>
      <c r="F54" s="46"/>
      <c r="G54" s="40"/>
      <c r="H54" s="40"/>
      <c r="J54" s="15"/>
      <c r="K54" s="15"/>
      <c r="L54" s="15"/>
      <c r="M54" s="15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</row>
    <row r="55" spans="3:62" hidden="1" x14ac:dyDescent="0.3">
      <c r="C55" s="40"/>
      <c r="D55" s="40"/>
      <c r="E55" s="40"/>
      <c r="F55" s="46"/>
      <c r="G55" s="40"/>
      <c r="H55" s="40"/>
      <c r="J55" s="15"/>
      <c r="K55" s="15"/>
      <c r="L55" s="15"/>
      <c r="M55" s="15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</row>
    <row r="56" spans="3:62" hidden="1" x14ac:dyDescent="0.3">
      <c r="C56" s="40"/>
      <c r="D56" s="40"/>
      <c r="E56" s="40"/>
      <c r="F56" s="46"/>
      <c r="G56" s="40"/>
      <c r="H56" s="40"/>
      <c r="J56" s="102"/>
      <c r="K56" s="15"/>
      <c r="L56" s="15"/>
      <c r="M56" s="15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</row>
    <row r="57" spans="3:62" hidden="1" x14ac:dyDescent="0.3">
      <c r="C57" s="40"/>
      <c r="D57" s="40"/>
      <c r="E57" s="40"/>
      <c r="F57" s="46"/>
      <c r="G57" s="40"/>
      <c r="H57" s="40"/>
      <c r="J57" s="15"/>
      <c r="K57" s="15"/>
      <c r="L57" s="15"/>
      <c r="M57" s="15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</row>
    <row r="58" spans="3:62" hidden="1" x14ac:dyDescent="0.3">
      <c r="C58" s="40"/>
      <c r="D58" s="40"/>
      <c r="E58" s="40"/>
      <c r="F58" s="40"/>
      <c r="G58" s="40"/>
      <c r="H58" s="40"/>
      <c r="J58" s="15"/>
      <c r="K58" s="15"/>
      <c r="L58" s="15"/>
      <c r="M58" s="15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</row>
    <row r="59" spans="3:62" hidden="1" x14ac:dyDescent="0.3">
      <c r="C59" s="40"/>
      <c r="D59" s="40"/>
      <c r="E59" s="40"/>
      <c r="F59" s="40"/>
      <c r="G59" s="40"/>
      <c r="H59" s="40"/>
      <c r="J59" s="15"/>
      <c r="K59" s="15"/>
      <c r="L59" s="15"/>
      <c r="M59" s="15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</row>
    <row r="60" spans="3:62" hidden="1" x14ac:dyDescent="0.3">
      <c r="C60" s="40"/>
      <c r="D60" s="40"/>
      <c r="E60" s="40"/>
      <c r="F60" s="40"/>
      <c r="G60" s="40"/>
      <c r="H60" s="40"/>
      <c r="I60" s="15"/>
      <c r="J60" s="15"/>
      <c r="K60" s="15"/>
      <c r="L60" s="15"/>
      <c r="M60" s="15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</row>
    <row r="61" spans="3:62" hidden="1" x14ac:dyDescent="0.3">
      <c r="C61" s="40"/>
      <c r="D61" s="40"/>
      <c r="E61" s="40"/>
      <c r="F61" s="40"/>
      <c r="G61" s="40"/>
      <c r="H61" s="40"/>
      <c r="I61" s="15"/>
      <c r="J61" s="15"/>
      <c r="K61" s="15"/>
      <c r="L61" s="15"/>
      <c r="M61" s="15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</row>
    <row r="62" spans="3:62" hidden="1" x14ac:dyDescent="0.3">
      <c r="C62" s="40"/>
      <c r="D62" s="40"/>
      <c r="E62" s="40"/>
      <c r="F62" s="40"/>
      <c r="G62" s="40"/>
      <c r="H62" s="40"/>
      <c r="I62" s="15"/>
      <c r="J62" s="15"/>
      <c r="K62" s="15"/>
      <c r="L62" s="15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</row>
    <row r="63" spans="3:62" hidden="1" x14ac:dyDescent="0.3">
      <c r="C63" s="40"/>
      <c r="D63" s="40"/>
      <c r="E63" s="40"/>
      <c r="F63" s="40"/>
      <c r="G63" s="40"/>
      <c r="H63" s="40"/>
      <c r="I63" s="15"/>
      <c r="J63" s="15"/>
      <c r="K63" s="15"/>
      <c r="L63" s="15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</row>
    <row r="64" spans="3:62" hidden="1" x14ac:dyDescent="0.3"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</row>
    <row r="65" spans="3:62" hidden="1" x14ac:dyDescent="0.3"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</row>
    <row r="66" spans="3:62" hidden="1" x14ac:dyDescent="0.3"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</row>
    <row r="67" spans="3:62" hidden="1" x14ac:dyDescent="0.3"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</row>
    <row r="68" spans="3:62" hidden="1" x14ac:dyDescent="0.3"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</row>
    <row r="69" spans="3:62" hidden="1" x14ac:dyDescent="0.3"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</row>
    <row r="70" spans="3:62" hidden="1" x14ac:dyDescent="0.3"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</row>
    <row r="71" spans="3:62" hidden="1" x14ac:dyDescent="0.3"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</row>
    <row r="72" spans="3:62" hidden="1" x14ac:dyDescent="0.3"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</row>
    <row r="73" spans="3:62" hidden="1" x14ac:dyDescent="0.3"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</row>
    <row r="74" spans="3:62" hidden="1" x14ac:dyDescent="0.3"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</row>
    <row r="75" spans="3:62" hidden="1" x14ac:dyDescent="0.3"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</row>
    <row r="76" spans="3:62" hidden="1" x14ac:dyDescent="0.3"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</row>
    <row r="77" spans="3:62" hidden="1" x14ac:dyDescent="0.3"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</row>
    <row r="78" spans="3:62" hidden="1" x14ac:dyDescent="0.3"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</row>
    <row r="79" spans="3:62" hidden="1" x14ac:dyDescent="0.3"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</row>
    <row r="80" spans="3:62" hidden="1" x14ac:dyDescent="0.3"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</row>
    <row r="81" spans="3:62" hidden="1" x14ac:dyDescent="0.3"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</row>
    <row r="82" spans="3:62" hidden="1" x14ac:dyDescent="0.3"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</row>
    <row r="83" spans="3:62" hidden="1" x14ac:dyDescent="0.3"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</row>
    <row r="84" spans="3:62" hidden="1" x14ac:dyDescent="0.3"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</row>
    <row r="85" spans="3:62" hidden="1" x14ac:dyDescent="0.3"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</row>
    <row r="86" spans="3:62" hidden="1" x14ac:dyDescent="0.3"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</row>
    <row r="87" spans="3:62" hidden="1" x14ac:dyDescent="0.3"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</row>
    <row r="88" spans="3:62" hidden="1" x14ac:dyDescent="0.3"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</row>
    <row r="89" spans="3:62" hidden="1" x14ac:dyDescent="0.3"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</row>
    <row r="90" spans="3:62" hidden="1" x14ac:dyDescent="0.3"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</row>
    <row r="91" spans="3:62" hidden="1" x14ac:dyDescent="0.3"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</row>
    <row r="92" spans="3:62" hidden="1" x14ac:dyDescent="0.3"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</row>
    <row r="93" spans="3:62" hidden="1" x14ac:dyDescent="0.3"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</row>
    <row r="94" spans="3:62" hidden="1" x14ac:dyDescent="0.3"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</row>
    <row r="95" spans="3:62" hidden="1" x14ac:dyDescent="0.3"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</row>
    <row r="96" spans="3:62" hidden="1" x14ac:dyDescent="0.3"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</row>
    <row r="97" spans="3:62" hidden="1" x14ac:dyDescent="0.3"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</row>
    <row r="98" spans="3:62" hidden="1" x14ac:dyDescent="0.3"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</row>
    <row r="99" spans="3:62" hidden="1" x14ac:dyDescent="0.3"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</row>
    <row r="100" spans="3:62" hidden="1" x14ac:dyDescent="0.3"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</row>
    <row r="101" spans="3:62" hidden="1" x14ac:dyDescent="0.3"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</row>
    <row r="102" spans="3:62" hidden="1" x14ac:dyDescent="0.3"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</row>
    <row r="103" spans="3:62" hidden="1" x14ac:dyDescent="0.3"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</row>
    <row r="104" spans="3:62" hidden="1" x14ac:dyDescent="0.3"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</row>
    <row r="105" spans="3:62" hidden="1" x14ac:dyDescent="0.3"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</row>
    <row r="106" spans="3:62" hidden="1" x14ac:dyDescent="0.3"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</row>
    <row r="107" spans="3:62" hidden="1" x14ac:dyDescent="0.3"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</row>
    <row r="108" spans="3:62" hidden="1" x14ac:dyDescent="0.3"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</row>
    <row r="109" spans="3:62" hidden="1" x14ac:dyDescent="0.3"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</row>
    <row r="110" spans="3:62" hidden="1" x14ac:dyDescent="0.3"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</row>
    <row r="111" spans="3:62" hidden="1" x14ac:dyDescent="0.3"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</row>
    <row r="112" spans="3:62" hidden="1" x14ac:dyDescent="0.3"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</row>
    <row r="113" spans="3:62" hidden="1" x14ac:dyDescent="0.3"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</row>
    <row r="114" spans="3:62" hidden="1" x14ac:dyDescent="0.3"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</row>
    <row r="115" spans="3:62" hidden="1" x14ac:dyDescent="0.3"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</row>
    <row r="116" spans="3:62" hidden="1" x14ac:dyDescent="0.3"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</row>
    <row r="117" spans="3:62" hidden="1" x14ac:dyDescent="0.3"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</row>
    <row r="118" spans="3:62" hidden="1" x14ac:dyDescent="0.3"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</row>
    <row r="119" spans="3:62" hidden="1" x14ac:dyDescent="0.3"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</row>
    <row r="120" spans="3:62" hidden="1" x14ac:dyDescent="0.3"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</row>
    <row r="121" spans="3:62" hidden="1" x14ac:dyDescent="0.3"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</row>
    <row r="122" spans="3:62" hidden="1" x14ac:dyDescent="0.3"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</row>
    <row r="123" spans="3:62" hidden="1" x14ac:dyDescent="0.3"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</row>
    <row r="124" spans="3:62" hidden="1" x14ac:dyDescent="0.3"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</row>
    <row r="125" spans="3:62" hidden="1" x14ac:dyDescent="0.3"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</row>
    <row r="126" spans="3:62" hidden="1" x14ac:dyDescent="0.3"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</row>
    <row r="127" spans="3:62" hidden="1" x14ac:dyDescent="0.3"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</row>
    <row r="128" spans="3:62" hidden="1" x14ac:dyDescent="0.3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3:62" hidden="1" x14ac:dyDescent="0.3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3:62" hidden="1" x14ac:dyDescent="0.3"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</row>
    <row r="131" spans="3:62" hidden="1" x14ac:dyDescent="0.3"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</row>
    <row r="132" spans="3:62" hidden="1" x14ac:dyDescent="0.3"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</row>
    <row r="133" spans="3:62" hidden="1" x14ac:dyDescent="0.3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3:62" hidden="1" x14ac:dyDescent="0.3"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</row>
    <row r="135" spans="3:62" hidden="1" x14ac:dyDescent="0.3"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</row>
    <row r="136" spans="3:62" hidden="1" x14ac:dyDescent="0.3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3:62" hidden="1" x14ac:dyDescent="0.3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3:62" hidden="1" x14ac:dyDescent="0.3"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</row>
    <row r="139" spans="3:62" hidden="1" x14ac:dyDescent="0.3"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</row>
    <row r="140" spans="3:62" hidden="1" x14ac:dyDescent="0.3"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</row>
    <row r="141" spans="3:62" hidden="1" x14ac:dyDescent="0.3"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</row>
    <row r="142" spans="3:62" hidden="1" x14ac:dyDescent="0.3"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</row>
    <row r="143" spans="3:62" hidden="1" x14ac:dyDescent="0.3"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</row>
    <row r="144" spans="3:62" hidden="1" x14ac:dyDescent="0.3"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</row>
    <row r="145" spans="3:62" hidden="1" x14ac:dyDescent="0.3"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</row>
    <row r="146" spans="3:62" hidden="1" x14ac:dyDescent="0.3"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</row>
    <row r="147" spans="3:62" hidden="1" x14ac:dyDescent="0.3"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</row>
    <row r="148" spans="3:62" hidden="1" x14ac:dyDescent="0.3"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</row>
    <row r="149" spans="3:62" hidden="1" x14ac:dyDescent="0.3"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</row>
    <row r="150" spans="3:62" hidden="1" x14ac:dyDescent="0.3"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</row>
    <row r="151" spans="3:62" hidden="1" x14ac:dyDescent="0.3"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</row>
    <row r="152" spans="3:62" hidden="1" x14ac:dyDescent="0.3"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</row>
    <row r="153" spans="3:62" hidden="1" x14ac:dyDescent="0.3"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</row>
    <row r="154" spans="3:62" hidden="1" x14ac:dyDescent="0.3"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</row>
    <row r="155" spans="3:62" hidden="1" x14ac:dyDescent="0.3"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</row>
    <row r="156" spans="3:62" hidden="1" x14ac:dyDescent="0.3"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</row>
    <row r="157" spans="3:62" hidden="1" x14ac:dyDescent="0.3"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</row>
    <row r="158" spans="3:62" hidden="1" x14ac:dyDescent="0.3"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</row>
    <row r="159" spans="3:62" hidden="1" x14ac:dyDescent="0.3"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</row>
    <row r="160" spans="3:62" hidden="1" x14ac:dyDescent="0.3"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</row>
    <row r="161" spans="3:62" hidden="1" x14ac:dyDescent="0.3"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</row>
    <row r="162" spans="3:62" hidden="1" x14ac:dyDescent="0.3"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</row>
    <row r="163" spans="3:62" hidden="1" x14ac:dyDescent="0.3"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</row>
    <row r="164" spans="3:62" hidden="1" x14ac:dyDescent="0.3"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</row>
    <row r="165" spans="3:62" hidden="1" x14ac:dyDescent="0.3"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</row>
    <row r="166" spans="3:62" hidden="1" x14ac:dyDescent="0.3"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</row>
    <row r="167" spans="3:62" hidden="1" x14ac:dyDescent="0.3"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</row>
    <row r="168" spans="3:62" hidden="1" x14ac:dyDescent="0.3"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</row>
    <row r="169" spans="3:62" hidden="1" x14ac:dyDescent="0.3"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</row>
    <row r="170" spans="3:62" hidden="1" x14ac:dyDescent="0.3"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</row>
    <row r="171" spans="3:62" hidden="1" x14ac:dyDescent="0.3"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</row>
    <row r="172" spans="3:62" hidden="1" x14ac:dyDescent="0.3"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</row>
    <row r="173" spans="3:62" hidden="1" x14ac:dyDescent="0.3"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</row>
    <row r="174" spans="3:62" hidden="1" x14ac:dyDescent="0.3"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</row>
    <row r="175" spans="3:62" hidden="1" x14ac:dyDescent="0.3"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</row>
    <row r="176" spans="3:62" hidden="1" x14ac:dyDescent="0.3"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</row>
    <row r="177" spans="3:62" hidden="1" x14ac:dyDescent="0.3"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</row>
    <row r="178" spans="3:62" hidden="1" x14ac:dyDescent="0.3"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</row>
    <row r="179" spans="3:62" hidden="1" x14ac:dyDescent="0.3"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</row>
    <row r="180" spans="3:62" hidden="1" x14ac:dyDescent="0.3"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</row>
    <row r="181" spans="3:62" hidden="1" x14ac:dyDescent="0.3"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</row>
    <row r="182" spans="3:62" hidden="1" x14ac:dyDescent="0.3"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</row>
    <row r="183" spans="3:62" hidden="1" x14ac:dyDescent="0.3"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</row>
    <row r="184" spans="3:62" hidden="1" x14ac:dyDescent="0.3"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</row>
    <row r="185" spans="3:62" hidden="1" x14ac:dyDescent="0.3"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</row>
    <row r="186" spans="3:62" hidden="1" x14ac:dyDescent="0.3"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</row>
    <row r="187" spans="3:62" hidden="1" x14ac:dyDescent="0.3"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</row>
    <row r="188" spans="3:62" hidden="1" x14ac:dyDescent="0.3"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</row>
    <row r="189" spans="3:62" hidden="1" x14ac:dyDescent="0.3"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</row>
    <row r="190" spans="3:62" hidden="1" x14ac:dyDescent="0.3"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</row>
    <row r="191" spans="3:62" hidden="1" x14ac:dyDescent="0.3"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</row>
    <row r="192" spans="3:62" hidden="1" x14ac:dyDescent="0.3"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</row>
    <row r="193" spans="3:62" hidden="1" x14ac:dyDescent="0.3"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</row>
    <row r="194" spans="3:62" hidden="1" x14ac:dyDescent="0.3"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</row>
    <row r="195" spans="3:62" hidden="1" x14ac:dyDescent="0.3"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</row>
    <row r="196" spans="3:62" hidden="1" x14ac:dyDescent="0.3"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</row>
    <row r="197" spans="3:62" hidden="1" x14ac:dyDescent="0.3"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</row>
    <row r="198" spans="3:62" hidden="1" x14ac:dyDescent="0.3"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</row>
    <row r="199" spans="3:62" hidden="1" x14ac:dyDescent="0.3"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</row>
    <row r="200" spans="3:62" hidden="1" x14ac:dyDescent="0.3"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</row>
    <row r="201" spans="3:62" hidden="1" x14ac:dyDescent="0.3"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</row>
    <row r="202" spans="3:62" hidden="1" x14ac:dyDescent="0.3"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</row>
    <row r="203" spans="3:62" hidden="1" x14ac:dyDescent="0.3"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</row>
    <row r="204" spans="3:62" hidden="1" x14ac:dyDescent="0.3"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</row>
    <row r="205" spans="3:62" hidden="1" x14ac:dyDescent="0.3"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</row>
    <row r="206" spans="3:62" hidden="1" x14ac:dyDescent="0.3"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</row>
    <row r="207" spans="3:62" hidden="1" x14ac:dyDescent="0.3"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</row>
    <row r="208" spans="3:62" hidden="1" x14ac:dyDescent="0.3"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</row>
    <row r="209" spans="3:62" hidden="1" x14ac:dyDescent="0.3"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</row>
    <row r="210" spans="3:62" hidden="1" x14ac:dyDescent="0.3"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</row>
    <row r="211" spans="3:62" hidden="1" x14ac:dyDescent="0.3"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</row>
    <row r="212" spans="3:62" hidden="1" x14ac:dyDescent="0.3"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</row>
    <row r="213" spans="3:62" hidden="1" x14ac:dyDescent="0.3"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</row>
    <row r="214" spans="3:62" hidden="1" x14ac:dyDescent="0.3"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</row>
    <row r="215" spans="3:62" hidden="1" x14ac:dyDescent="0.3"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</row>
    <row r="216" spans="3:62" hidden="1" x14ac:dyDescent="0.3"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</row>
    <row r="217" spans="3:62" hidden="1" x14ac:dyDescent="0.3"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</row>
    <row r="218" spans="3:62" hidden="1" x14ac:dyDescent="0.3"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</row>
    <row r="219" spans="3:62" hidden="1" x14ac:dyDescent="0.3"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</row>
    <row r="220" spans="3:62" hidden="1" x14ac:dyDescent="0.3"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</row>
    <row r="221" spans="3:62" hidden="1" x14ac:dyDescent="0.3"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</row>
    <row r="222" spans="3:62" hidden="1" x14ac:dyDescent="0.3"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</row>
    <row r="223" spans="3:62" hidden="1" x14ac:dyDescent="0.3"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</row>
    <row r="224" spans="3:62" hidden="1" x14ac:dyDescent="0.3"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</row>
    <row r="225" spans="3:62" hidden="1" x14ac:dyDescent="0.3"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</row>
    <row r="226" spans="3:62" hidden="1" x14ac:dyDescent="0.3"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</row>
    <row r="227" spans="3:62" hidden="1" x14ac:dyDescent="0.3"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</row>
    <row r="228" spans="3:62" hidden="1" x14ac:dyDescent="0.3"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</row>
    <row r="229" spans="3:62" hidden="1" x14ac:dyDescent="0.3"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</row>
    <row r="230" spans="3:62" hidden="1" x14ac:dyDescent="0.3"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</row>
    <row r="231" spans="3:62" hidden="1" x14ac:dyDescent="0.3"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</row>
    <row r="232" spans="3:62" hidden="1" x14ac:dyDescent="0.3"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</row>
    <row r="233" spans="3:62" hidden="1" x14ac:dyDescent="0.3"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</row>
    <row r="234" spans="3:62" hidden="1" x14ac:dyDescent="0.3"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</row>
    <row r="235" spans="3:62" hidden="1" x14ac:dyDescent="0.3"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</row>
    <row r="236" spans="3:62" hidden="1" x14ac:dyDescent="0.3"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</row>
    <row r="237" spans="3:62" hidden="1" x14ac:dyDescent="0.3"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</row>
    <row r="238" spans="3:62" hidden="1" x14ac:dyDescent="0.3"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</row>
    <row r="239" spans="3:62" hidden="1" x14ac:dyDescent="0.3"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</row>
    <row r="240" spans="3:62" hidden="1" x14ac:dyDescent="0.3"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</row>
    <row r="241" spans="3:62" hidden="1" x14ac:dyDescent="0.3"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</row>
    <row r="242" spans="3:62" hidden="1" x14ac:dyDescent="0.3"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</row>
    <row r="243" spans="3:62" hidden="1" x14ac:dyDescent="0.3"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</row>
    <row r="244" spans="3:62" hidden="1" x14ac:dyDescent="0.3"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</row>
    <row r="245" spans="3:62" hidden="1" x14ac:dyDescent="0.3"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</row>
    <row r="246" spans="3:62" hidden="1" x14ac:dyDescent="0.3"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</row>
    <row r="247" spans="3:62" hidden="1" x14ac:dyDescent="0.3"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</row>
    <row r="248" spans="3:62" hidden="1" x14ac:dyDescent="0.3"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</row>
    <row r="249" spans="3:62" hidden="1" x14ac:dyDescent="0.3"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</row>
    <row r="250" spans="3:62" hidden="1" x14ac:dyDescent="0.3"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</row>
    <row r="251" spans="3:62" hidden="1" x14ac:dyDescent="0.3"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</row>
    <row r="252" spans="3:62" hidden="1" x14ac:dyDescent="0.3"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</row>
    <row r="253" spans="3:62" hidden="1" x14ac:dyDescent="0.3"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</row>
    <row r="254" spans="3:62" hidden="1" x14ac:dyDescent="0.3"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</row>
    <row r="255" spans="3:62" hidden="1" x14ac:dyDescent="0.3"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</row>
    <row r="256" spans="3:62" hidden="1" x14ac:dyDescent="0.3"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</row>
    <row r="257" spans="3:62" hidden="1" x14ac:dyDescent="0.3"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</row>
    <row r="258" spans="3:62" hidden="1" x14ac:dyDescent="0.3"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</row>
    <row r="259" spans="3:62" hidden="1" x14ac:dyDescent="0.3"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</row>
    <row r="260" spans="3:62" hidden="1" x14ac:dyDescent="0.3"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</row>
    <row r="261" spans="3:62" hidden="1" x14ac:dyDescent="0.3"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</row>
    <row r="262" spans="3:62" hidden="1" x14ac:dyDescent="0.3"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</row>
    <row r="263" spans="3:62" hidden="1" x14ac:dyDescent="0.3"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</row>
    <row r="264" spans="3:62" hidden="1" x14ac:dyDescent="0.3"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</row>
    <row r="265" spans="3:62" hidden="1" x14ac:dyDescent="0.3"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</row>
    <row r="266" spans="3:62" hidden="1" x14ac:dyDescent="0.3"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</row>
    <row r="267" spans="3:62" hidden="1" x14ac:dyDescent="0.3"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</row>
    <row r="268" spans="3:62" hidden="1" x14ac:dyDescent="0.3"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</row>
    <row r="269" spans="3:62" hidden="1" x14ac:dyDescent="0.3"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</row>
    <row r="270" spans="3:62" hidden="1" x14ac:dyDescent="0.3"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</row>
    <row r="271" spans="3:62" hidden="1" x14ac:dyDescent="0.3"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</row>
    <row r="272" spans="3:62" hidden="1" x14ac:dyDescent="0.3"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</row>
    <row r="273" spans="3:62" hidden="1" x14ac:dyDescent="0.3"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</row>
    <row r="274" spans="3:62" hidden="1" x14ac:dyDescent="0.3"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</row>
    <row r="275" spans="3:62" hidden="1" x14ac:dyDescent="0.3"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</row>
    <row r="276" spans="3:62" hidden="1" x14ac:dyDescent="0.3"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</row>
    <row r="277" spans="3:62" hidden="1" x14ac:dyDescent="0.3"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</row>
    <row r="278" spans="3:62" hidden="1" x14ac:dyDescent="0.3"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</row>
    <row r="279" spans="3:62" hidden="1" x14ac:dyDescent="0.3"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</row>
    <row r="280" spans="3:62" hidden="1" x14ac:dyDescent="0.3"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</row>
    <row r="281" spans="3:62" hidden="1" x14ac:dyDescent="0.3"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</row>
    <row r="282" spans="3:62" hidden="1" x14ac:dyDescent="0.3"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</row>
    <row r="283" spans="3:62" hidden="1" x14ac:dyDescent="0.3"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</row>
    <row r="284" spans="3:62" hidden="1" x14ac:dyDescent="0.3"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</row>
    <row r="285" spans="3:62" hidden="1" x14ac:dyDescent="0.3"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</row>
    <row r="286" spans="3:62" hidden="1" x14ac:dyDescent="0.3"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</row>
    <row r="287" spans="3:62" hidden="1" x14ac:dyDescent="0.3"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</row>
    <row r="288" spans="3:62" hidden="1" x14ac:dyDescent="0.3"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</row>
    <row r="289" spans="3:62" hidden="1" x14ac:dyDescent="0.3"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</row>
    <row r="290" spans="3:62" hidden="1" x14ac:dyDescent="0.3"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</row>
    <row r="291" spans="3:62" hidden="1" x14ac:dyDescent="0.3"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</row>
    <row r="292" spans="3:62" hidden="1" x14ac:dyDescent="0.3"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</row>
    <row r="293" spans="3:62" hidden="1" x14ac:dyDescent="0.3"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</row>
    <row r="294" spans="3:62" hidden="1" x14ac:dyDescent="0.3"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</row>
    <row r="295" spans="3:62" hidden="1" x14ac:dyDescent="0.3"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</row>
    <row r="296" spans="3:62" hidden="1" x14ac:dyDescent="0.3"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</row>
    <row r="297" spans="3:62" hidden="1" x14ac:dyDescent="0.3"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</row>
    <row r="298" spans="3:62" hidden="1" x14ac:dyDescent="0.3"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</row>
    <row r="299" spans="3:62" hidden="1" x14ac:dyDescent="0.3"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</row>
    <row r="300" spans="3:62" hidden="1" x14ac:dyDescent="0.3"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</row>
    <row r="301" spans="3:62" hidden="1" x14ac:dyDescent="0.3"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</row>
    <row r="302" spans="3:62" hidden="1" x14ac:dyDescent="0.3"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</row>
    <row r="303" spans="3:62" hidden="1" x14ac:dyDescent="0.3"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</row>
    <row r="304" spans="3:62" hidden="1" x14ac:dyDescent="0.3"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</row>
    <row r="305" spans="3:62" hidden="1" x14ac:dyDescent="0.3"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</row>
    <row r="306" spans="3:62" hidden="1" x14ac:dyDescent="0.3"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</row>
    <row r="307" spans="3:62" hidden="1" x14ac:dyDescent="0.3"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</row>
    <row r="308" spans="3:62" hidden="1" x14ac:dyDescent="0.3"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</row>
    <row r="309" spans="3:62" hidden="1" x14ac:dyDescent="0.3"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</row>
    <row r="310" spans="3:62" hidden="1" x14ac:dyDescent="0.3"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</row>
    <row r="311" spans="3:62" hidden="1" x14ac:dyDescent="0.3"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</row>
    <row r="312" spans="3:62" hidden="1" x14ac:dyDescent="0.3"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</row>
    <row r="313" spans="3:62" hidden="1" x14ac:dyDescent="0.3"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</row>
    <row r="314" spans="3:62" hidden="1" x14ac:dyDescent="0.3"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</row>
    <row r="315" spans="3:62" hidden="1" x14ac:dyDescent="0.3"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</row>
    <row r="316" spans="3:62" hidden="1" x14ac:dyDescent="0.3"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</row>
    <row r="317" spans="3:62" hidden="1" x14ac:dyDescent="0.3"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</row>
    <row r="318" spans="3:62" hidden="1" x14ac:dyDescent="0.3"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</row>
    <row r="319" spans="3:62" hidden="1" x14ac:dyDescent="0.3"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</row>
    <row r="320" spans="3:62" hidden="1" x14ac:dyDescent="0.3"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</row>
    <row r="321" spans="3:62" hidden="1" x14ac:dyDescent="0.3"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</row>
    <row r="322" spans="3:62" hidden="1" x14ac:dyDescent="0.3"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</row>
    <row r="323" spans="3:62" hidden="1" x14ac:dyDescent="0.3"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</row>
    <row r="324" spans="3:62" hidden="1" x14ac:dyDescent="0.3"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</row>
    <row r="325" spans="3:62" hidden="1" x14ac:dyDescent="0.3"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</row>
    <row r="326" spans="3:62" hidden="1" x14ac:dyDescent="0.3"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</row>
    <row r="327" spans="3:62" hidden="1" x14ac:dyDescent="0.3"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</row>
    <row r="328" spans="3:62" hidden="1" x14ac:dyDescent="0.3"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</row>
    <row r="329" spans="3:62" hidden="1" x14ac:dyDescent="0.3"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</row>
    <row r="330" spans="3:62" hidden="1" x14ac:dyDescent="0.3"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</row>
    <row r="331" spans="3:62" hidden="1" x14ac:dyDescent="0.3"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</row>
    <row r="332" spans="3:62" hidden="1" x14ac:dyDescent="0.3"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</row>
    <row r="333" spans="3:62" hidden="1" x14ac:dyDescent="0.3"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</row>
    <row r="334" spans="3:62" hidden="1" x14ac:dyDescent="0.3"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</row>
    <row r="335" spans="3:62" hidden="1" x14ac:dyDescent="0.3"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</row>
    <row r="336" spans="3:62" hidden="1" x14ac:dyDescent="0.3"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</row>
    <row r="337" spans="3:62" hidden="1" x14ac:dyDescent="0.3"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</row>
    <row r="338" spans="3:62" hidden="1" x14ac:dyDescent="0.3"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</row>
    <row r="339" spans="3:62" hidden="1" x14ac:dyDescent="0.3"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</row>
    <row r="340" spans="3:62" hidden="1" x14ac:dyDescent="0.3"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</row>
    <row r="341" spans="3:62" hidden="1" x14ac:dyDescent="0.3"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</row>
    <row r="342" spans="3:62" hidden="1" x14ac:dyDescent="0.3"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</row>
    <row r="343" spans="3:62" hidden="1" x14ac:dyDescent="0.3"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</row>
    <row r="344" spans="3:62" hidden="1" x14ac:dyDescent="0.3"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</row>
    <row r="345" spans="3:62" hidden="1" x14ac:dyDescent="0.3"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</row>
    <row r="346" spans="3:62" hidden="1" x14ac:dyDescent="0.3"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</row>
    <row r="347" spans="3:62" hidden="1" x14ac:dyDescent="0.3"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</row>
    <row r="348" spans="3:62" hidden="1" x14ac:dyDescent="0.3"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</row>
    <row r="349" spans="3:62" hidden="1" x14ac:dyDescent="0.3"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</row>
    <row r="350" spans="3:62" hidden="1" x14ac:dyDescent="0.3"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</row>
    <row r="351" spans="3:62" hidden="1" x14ac:dyDescent="0.3"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</row>
    <row r="352" spans="3:62" hidden="1" x14ac:dyDescent="0.3"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</row>
    <row r="353" spans="3:62" hidden="1" x14ac:dyDescent="0.3"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</row>
    <row r="354" spans="3:62" hidden="1" x14ac:dyDescent="0.3"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</row>
    <row r="355" spans="3:62" hidden="1" x14ac:dyDescent="0.3"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</row>
    <row r="356" spans="3:62" hidden="1" x14ac:dyDescent="0.3"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</row>
    <row r="357" spans="3:62" hidden="1" x14ac:dyDescent="0.3"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</row>
    <row r="358" spans="3:62" hidden="1" x14ac:dyDescent="0.3"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</row>
    <row r="359" spans="3:62" hidden="1" x14ac:dyDescent="0.3"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</row>
    <row r="360" spans="3:62" hidden="1" x14ac:dyDescent="0.3"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</row>
    <row r="361" spans="3:62" hidden="1" x14ac:dyDescent="0.3"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</row>
    <row r="362" spans="3:62" hidden="1" x14ac:dyDescent="0.3"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</row>
    <row r="363" spans="3:62" hidden="1" x14ac:dyDescent="0.3"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</row>
    <row r="364" spans="3:62" hidden="1" x14ac:dyDescent="0.3"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</row>
    <row r="365" spans="3:62" hidden="1" x14ac:dyDescent="0.3"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</row>
    <row r="366" spans="3:62" hidden="1" x14ac:dyDescent="0.3"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</row>
    <row r="367" spans="3:62" hidden="1" x14ac:dyDescent="0.3"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</row>
    <row r="368" spans="3:62" hidden="1" x14ac:dyDescent="0.3"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</row>
    <row r="369" spans="3:62" hidden="1" x14ac:dyDescent="0.3"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</row>
    <row r="370" spans="3:62" hidden="1" x14ac:dyDescent="0.3"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</row>
    <row r="371" spans="3:62" hidden="1" x14ac:dyDescent="0.3"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</row>
    <row r="372" spans="3:62" hidden="1" x14ac:dyDescent="0.3"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</row>
    <row r="373" spans="3:62" hidden="1" x14ac:dyDescent="0.3"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</row>
    <row r="374" spans="3:62" hidden="1" x14ac:dyDescent="0.3"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</row>
    <row r="375" spans="3:62" hidden="1" x14ac:dyDescent="0.3"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</row>
    <row r="376" spans="3:62" hidden="1" x14ac:dyDescent="0.3"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</row>
    <row r="377" spans="3:62" hidden="1" x14ac:dyDescent="0.3"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</row>
    <row r="378" spans="3:62" hidden="1" x14ac:dyDescent="0.3"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</row>
    <row r="379" spans="3:62" hidden="1" x14ac:dyDescent="0.3"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</row>
    <row r="380" spans="3:62" hidden="1" x14ac:dyDescent="0.3"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</row>
    <row r="381" spans="3:62" hidden="1" x14ac:dyDescent="0.3"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</row>
    <row r="382" spans="3:62" hidden="1" x14ac:dyDescent="0.3"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</row>
    <row r="383" spans="3:62" hidden="1" x14ac:dyDescent="0.3"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</row>
    <row r="384" spans="3:62" hidden="1" x14ac:dyDescent="0.3"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</row>
    <row r="385" spans="3:62" hidden="1" x14ac:dyDescent="0.3"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</row>
    <row r="386" spans="3:62" hidden="1" x14ac:dyDescent="0.3"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</row>
    <row r="387" spans="3:62" hidden="1" x14ac:dyDescent="0.3"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</row>
    <row r="388" spans="3:62" hidden="1" x14ac:dyDescent="0.3"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</row>
    <row r="389" spans="3:62" hidden="1" x14ac:dyDescent="0.3"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</row>
    <row r="390" spans="3:62" hidden="1" x14ac:dyDescent="0.3"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</row>
    <row r="391" spans="3:62" hidden="1" x14ac:dyDescent="0.3"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</row>
    <row r="392" spans="3:62" hidden="1" x14ac:dyDescent="0.3"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</row>
    <row r="393" spans="3:62" hidden="1" x14ac:dyDescent="0.3"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</row>
    <row r="394" spans="3:62" hidden="1" x14ac:dyDescent="0.3"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</row>
    <row r="395" spans="3:62" hidden="1" x14ac:dyDescent="0.3"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</row>
    <row r="396" spans="3:62" hidden="1" x14ac:dyDescent="0.3"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</row>
    <row r="397" spans="3:62" hidden="1" x14ac:dyDescent="0.3"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</row>
    <row r="398" spans="3:62" hidden="1" x14ac:dyDescent="0.3"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</row>
    <row r="399" spans="3:62" hidden="1" x14ac:dyDescent="0.3"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</row>
    <row r="400" spans="3:62" hidden="1" x14ac:dyDescent="0.3"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</row>
    <row r="401" spans="3:62" hidden="1" x14ac:dyDescent="0.3"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</row>
    <row r="402" spans="3:62" hidden="1" x14ac:dyDescent="0.3"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</row>
    <row r="403" spans="3:62" hidden="1" x14ac:dyDescent="0.3"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</row>
    <row r="404" spans="3:62" hidden="1" x14ac:dyDescent="0.3"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</row>
    <row r="405" spans="3:62" hidden="1" x14ac:dyDescent="0.3"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</row>
    <row r="406" spans="3:62" hidden="1" x14ac:dyDescent="0.3"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</row>
    <row r="407" spans="3:62" hidden="1" x14ac:dyDescent="0.3"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</row>
    <row r="408" spans="3:62" hidden="1" x14ac:dyDescent="0.3"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</row>
    <row r="409" spans="3:62" hidden="1" x14ac:dyDescent="0.3"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</row>
    <row r="410" spans="3:62" hidden="1" x14ac:dyDescent="0.3"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</row>
    <row r="411" spans="3:62" hidden="1" x14ac:dyDescent="0.3"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</row>
    <row r="412" spans="3:62" hidden="1" x14ac:dyDescent="0.3"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</row>
    <row r="413" spans="3:62" hidden="1" x14ac:dyDescent="0.3"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</row>
    <row r="414" spans="3:62" hidden="1" x14ac:dyDescent="0.3"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</row>
    <row r="415" spans="3:62" hidden="1" x14ac:dyDescent="0.3"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</row>
    <row r="416" spans="3:62" hidden="1" x14ac:dyDescent="0.3"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</row>
    <row r="417" spans="3:62" hidden="1" x14ac:dyDescent="0.3"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</row>
    <row r="418" spans="3:62" hidden="1" x14ac:dyDescent="0.3"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</row>
    <row r="419" spans="3:62" hidden="1" x14ac:dyDescent="0.3"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</row>
    <row r="420" spans="3:62" hidden="1" x14ac:dyDescent="0.3"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</row>
    <row r="421" spans="3:62" hidden="1" x14ac:dyDescent="0.3"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</row>
    <row r="422" spans="3:62" hidden="1" x14ac:dyDescent="0.3"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</row>
    <row r="423" spans="3:62" hidden="1" x14ac:dyDescent="0.3"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</row>
    <row r="424" spans="3:62" hidden="1" x14ac:dyDescent="0.3"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</row>
    <row r="425" spans="3:62" hidden="1" x14ac:dyDescent="0.3"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</row>
    <row r="426" spans="3:62" hidden="1" x14ac:dyDescent="0.3"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</row>
    <row r="427" spans="3:62" hidden="1" x14ac:dyDescent="0.3"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</row>
    <row r="428" spans="3:62" hidden="1" x14ac:dyDescent="0.3"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</row>
    <row r="429" spans="3:62" hidden="1" x14ac:dyDescent="0.3"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</row>
    <row r="430" spans="3:62" hidden="1" x14ac:dyDescent="0.3"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</row>
    <row r="431" spans="3:62" hidden="1" x14ac:dyDescent="0.3"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</row>
    <row r="432" spans="3:62" hidden="1" x14ac:dyDescent="0.3"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</row>
    <row r="433" spans="3:62" hidden="1" x14ac:dyDescent="0.3"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</row>
    <row r="434" spans="3:62" hidden="1" x14ac:dyDescent="0.3"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</row>
    <row r="435" spans="3:62" hidden="1" x14ac:dyDescent="0.3"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</row>
    <row r="436" spans="3:62" hidden="1" x14ac:dyDescent="0.3"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</row>
    <row r="437" spans="3:62" hidden="1" x14ac:dyDescent="0.3"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</row>
    <row r="438" spans="3:62" hidden="1" x14ac:dyDescent="0.3"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</row>
    <row r="439" spans="3:62" hidden="1" x14ac:dyDescent="0.3"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</row>
    <row r="440" spans="3:62" hidden="1" x14ac:dyDescent="0.3"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</row>
    <row r="441" spans="3:62" hidden="1" x14ac:dyDescent="0.3"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</row>
    <row r="442" spans="3:62" hidden="1" x14ac:dyDescent="0.3"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</row>
    <row r="443" spans="3:62" hidden="1" x14ac:dyDescent="0.3"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</row>
    <row r="444" spans="3:62" hidden="1" x14ac:dyDescent="0.3"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</row>
    <row r="445" spans="3:62" hidden="1" x14ac:dyDescent="0.3"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</row>
    <row r="446" spans="3:62" hidden="1" x14ac:dyDescent="0.3"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</row>
    <row r="447" spans="3:62" hidden="1" x14ac:dyDescent="0.3"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</row>
    <row r="448" spans="3:62" hidden="1" x14ac:dyDescent="0.3"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</row>
    <row r="449" spans="3:62" hidden="1" x14ac:dyDescent="0.3"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</row>
    <row r="450" spans="3:62" hidden="1" x14ac:dyDescent="0.3"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</row>
    <row r="451" spans="3:62" hidden="1" x14ac:dyDescent="0.3"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</row>
    <row r="452" spans="3:62" hidden="1" x14ac:dyDescent="0.3"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</row>
    <row r="453" spans="3:62" hidden="1" x14ac:dyDescent="0.3"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</row>
    <row r="454" spans="3:62" hidden="1" x14ac:dyDescent="0.3"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</row>
    <row r="455" spans="3:62" hidden="1" x14ac:dyDescent="0.3"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</row>
    <row r="456" spans="3:62" hidden="1" x14ac:dyDescent="0.3"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</row>
    <row r="457" spans="3:62" hidden="1" x14ac:dyDescent="0.3"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</row>
    <row r="458" spans="3:62" hidden="1" x14ac:dyDescent="0.3"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</row>
    <row r="459" spans="3:62" hidden="1" x14ac:dyDescent="0.3"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</row>
    <row r="460" spans="3:62" hidden="1" x14ac:dyDescent="0.3"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</row>
    <row r="461" spans="3:62" hidden="1" x14ac:dyDescent="0.3"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</row>
    <row r="462" spans="3:62" hidden="1" x14ac:dyDescent="0.3"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</row>
    <row r="463" spans="3:62" hidden="1" x14ac:dyDescent="0.3"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</row>
    <row r="464" spans="3:62" hidden="1" x14ac:dyDescent="0.3"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</row>
    <row r="465" spans="3:62" hidden="1" x14ac:dyDescent="0.3"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</row>
    <row r="466" spans="3:62" hidden="1" x14ac:dyDescent="0.3"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</row>
    <row r="467" spans="3:62" hidden="1" x14ac:dyDescent="0.3"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</row>
    <row r="468" spans="3:62" hidden="1" x14ac:dyDescent="0.3"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</row>
    <row r="469" spans="3:62" hidden="1" x14ac:dyDescent="0.3"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</row>
    <row r="470" spans="3:62" hidden="1" x14ac:dyDescent="0.3"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</row>
    <row r="471" spans="3:62" hidden="1" x14ac:dyDescent="0.3"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</row>
    <row r="472" spans="3:62" hidden="1" x14ac:dyDescent="0.3"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</row>
    <row r="473" spans="3:62" hidden="1" x14ac:dyDescent="0.3"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</row>
    <row r="474" spans="3:62" hidden="1" x14ac:dyDescent="0.3"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</row>
    <row r="475" spans="3:62" hidden="1" x14ac:dyDescent="0.3"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</row>
    <row r="476" spans="3:62" hidden="1" x14ac:dyDescent="0.3"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</row>
    <row r="477" spans="3:62" hidden="1" x14ac:dyDescent="0.3"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</row>
    <row r="478" spans="3:62" hidden="1" x14ac:dyDescent="0.3"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</row>
    <row r="479" spans="3:62" hidden="1" x14ac:dyDescent="0.3"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</row>
    <row r="480" spans="3:62" hidden="1" x14ac:dyDescent="0.3"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</row>
    <row r="481" spans="3:62" hidden="1" x14ac:dyDescent="0.3"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</row>
    <row r="482" spans="3:62" hidden="1" x14ac:dyDescent="0.3"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</row>
    <row r="483" spans="3:62" hidden="1" x14ac:dyDescent="0.3"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</row>
    <row r="484" spans="3:62" hidden="1" x14ac:dyDescent="0.3"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</row>
    <row r="485" spans="3:62" hidden="1" x14ac:dyDescent="0.3"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</row>
    <row r="486" spans="3:62" hidden="1" x14ac:dyDescent="0.3"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</row>
    <row r="487" spans="3:62" hidden="1" x14ac:dyDescent="0.3"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</row>
    <row r="488" spans="3:62" hidden="1" x14ac:dyDescent="0.3"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</row>
    <row r="489" spans="3:62" hidden="1" x14ac:dyDescent="0.3"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</row>
    <row r="490" spans="3:62" hidden="1" x14ac:dyDescent="0.3"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</row>
    <row r="491" spans="3:62" hidden="1" x14ac:dyDescent="0.3"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</row>
    <row r="492" spans="3:62" hidden="1" x14ac:dyDescent="0.3"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</row>
    <row r="493" spans="3:62" hidden="1" x14ac:dyDescent="0.3"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</row>
    <row r="494" spans="3:62" hidden="1" x14ac:dyDescent="0.3"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</row>
    <row r="495" spans="3:62" hidden="1" x14ac:dyDescent="0.3"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</row>
    <row r="496" spans="3:62" hidden="1" x14ac:dyDescent="0.3"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</row>
    <row r="497" spans="3:62" hidden="1" x14ac:dyDescent="0.3"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</row>
    <row r="498" spans="3:62" hidden="1" x14ac:dyDescent="0.3"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</row>
    <row r="499" spans="3:62" hidden="1" x14ac:dyDescent="0.3"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</row>
    <row r="500" spans="3:62" hidden="1" x14ac:dyDescent="0.3"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</row>
    <row r="501" spans="3:62" hidden="1" x14ac:dyDescent="0.3"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</row>
    <row r="502" spans="3:62" hidden="1" x14ac:dyDescent="0.3"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</row>
    <row r="503" spans="3:62" hidden="1" x14ac:dyDescent="0.3"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</row>
    <row r="504" spans="3:62" hidden="1" x14ac:dyDescent="0.3"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</row>
    <row r="505" spans="3:62" hidden="1" x14ac:dyDescent="0.3"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</row>
    <row r="506" spans="3:62" hidden="1" x14ac:dyDescent="0.3"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</row>
    <row r="507" spans="3:62" hidden="1" x14ac:dyDescent="0.3"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</row>
    <row r="508" spans="3:62" hidden="1" x14ac:dyDescent="0.3"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</row>
    <row r="509" spans="3:62" hidden="1" x14ac:dyDescent="0.3"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</row>
    <row r="510" spans="3:62" hidden="1" x14ac:dyDescent="0.3"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</row>
    <row r="511" spans="3:62" hidden="1" x14ac:dyDescent="0.3"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</row>
    <row r="512" spans="3:62" hidden="1" x14ac:dyDescent="0.3"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</row>
    <row r="513" spans="3:62" hidden="1" x14ac:dyDescent="0.3"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</row>
    <row r="514" spans="3:62" hidden="1" x14ac:dyDescent="0.3"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</row>
    <row r="515" spans="3:62" hidden="1" x14ac:dyDescent="0.3"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</row>
    <row r="516" spans="3:62" hidden="1" x14ac:dyDescent="0.3"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</row>
    <row r="517" spans="3:62" hidden="1" x14ac:dyDescent="0.3"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</row>
    <row r="518" spans="3:62" hidden="1" x14ac:dyDescent="0.3"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</row>
    <row r="519" spans="3:62" hidden="1" x14ac:dyDescent="0.3"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</row>
    <row r="520" spans="3:62" hidden="1" x14ac:dyDescent="0.3"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</row>
    <row r="521" spans="3:62" hidden="1" x14ac:dyDescent="0.3"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</row>
    <row r="522" spans="3:62" hidden="1" x14ac:dyDescent="0.3"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</row>
    <row r="523" spans="3:62" hidden="1" x14ac:dyDescent="0.3"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</row>
    <row r="524" spans="3:62" hidden="1" x14ac:dyDescent="0.3">
      <c r="C524" s="40"/>
      <c r="D524" s="40"/>
      <c r="E524" s="40"/>
      <c r="F524" s="40"/>
      <c r="G524" s="40"/>
      <c r="H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</row>
    <row r="525" spans="3:62" hidden="1" x14ac:dyDescent="0.3">
      <c r="C525" s="40"/>
      <c r="D525" s="40"/>
      <c r="E525" s="40"/>
      <c r="F525" s="40"/>
      <c r="G525" s="40"/>
      <c r="H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</row>
    <row r="526" spans="3:62" hidden="1" x14ac:dyDescent="0.3">
      <c r="C526" s="40"/>
      <c r="D526" s="40"/>
      <c r="E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</row>
  </sheetData>
  <sheetProtection sheet="1" objects="1" scenarios="1"/>
  <sortState xmlns:xlrd2="http://schemas.microsoft.com/office/spreadsheetml/2017/richdata2" ref="P27:S32">
    <sortCondition ref="P28:P32"/>
  </sortState>
  <dataValidations count="2">
    <dataValidation type="whole" allowBlank="1" showInputMessage="1" showErrorMessage="1" sqref="C24" xr:uid="{F5AEACC6-4064-47B5-AB11-CFEBC787FE0C}">
      <formula1>0</formula1>
      <formula2>31</formula2>
    </dataValidation>
    <dataValidation type="whole" allowBlank="1" showInputMessage="1" showErrorMessage="1" sqref="C23" xr:uid="{4CF2669D-DFEE-4A31-99CE-FB7F66FCBEB0}">
      <formula1>6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56A93-6D57-4DD0-B901-7CD67E5BB5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m2 Referencias</vt:lpstr>
      <vt:lpstr>m2 Volteo</vt:lpstr>
      <vt:lpstr>m2 Madereo</vt:lpstr>
      <vt:lpstr>m2 Procesado</vt:lpstr>
      <vt:lpstr>m2 Carguío</vt:lpstr>
      <vt:lpstr>m2 Transporte</vt:lpstr>
      <vt:lpstr>m3 Volteo</vt:lpstr>
      <vt:lpstr>m3 Madereo</vt:lpstr>
      <vt:lpstr>m3 Procesado</vt:lpstr>
      <vt:lpstr>m3 Carguío</vt:lpstr>
      <vt:lpstr>m3 Transporte</vt:lpstr>
      <vt:lpstr>BD Costos</vt:lpstr>
      <vt:lpstr>m4 Análisis de sistema</vt:lpstr>
      <vt:lpstr>m4 Comparac sistemas</vt:lpstr>
      <vt:lpstr>BD_PC_Ref</vt:lpstr>
      <vt:lpstr>m1 Descrip_rodal</vt:lpstr>
      <vt:lpstr>m1 Fac_oper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hogar</dc:creator>
  <cp:lastModifiedBy>Carlos Riquelme R.</cp:lastModifiedBy>
  <cp:lastPrinted>2021-07-15T09:37:50Z</cp:lastPrinted>
  <dcterms:created xsi:type="dcterms:W3CDTF">2020-09-10T22:26:33Z</dcterms:created>
  <dcterms:modified xsi:type="dcterms:W3CDTF">2024-08-22T00:17:08Z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9fa1b626-b8eb-4815-bed3-028fac579057</vt:lpwstr>
  </property>
</Properties>
</file>