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updateLinks="always" autoCompressPictures="0"/>
  <mc:AlternateContent xmlns:mc="http://schemas.openxmlformats.org/markup-compatibility/2006">
    <mc:Choice Requires="x15">
      <x15ac:absPath xmlns:x15ac="http://schemas.microsoft.com/office/spreadsheetml/2010/11/ac" url="C:\Users\hilti01\Documents\Hilti Docs\Documentos de soporte\Herramientas\Apps\"/>
    </mc:Choice>
  </mc:AlternateContent>
  <bookViews>
    <workbookView xWindow="930" yWindow="4800" windowWidth="0" windowHeight="0" firstSheet="1" activeTab="1"/>
  </bookViews>
  <sheets>
    <sheet name="Definiciones" sheetId="1" r:id="rId1"/>
    <sheet name="Informe de cálculo" sheetId="6" r:id="rId2"/>
    <sheet name="observaciones" sheetId="5" r:id="rId3"/>
    <sheet name="Planilla de registro" sheetId="4" r:id="rId4"/>
  </sheets>
  <definedNames>
    <definedName name="Adhesivo">Definiciones!$X$9:$X$13</definedName>
    <definedName name="chem">Definiciones!$P$6:$P$12</definedName>
    <definedName name="despl">Definiciones!$P$26:$P$30</definedName>
    <definedName name="Embebido">Definiciones!$T$6:$T$10</definedName>
    <definedName name="List_Hilti_Anchors">Definiciones!$P$7:$P$21</definedName>
    <definedName name="Mecánico">Definiciones!$X$15:$X$18</definedName>
    <definedName name="mlock">Definiciones!$P$31:$P$34</definedName>
    <definedName name="Postinstalado">Definiciones!$X$6:$X$7</definedName>
    <definedName name="_xlnm.Print_Area" localSheetId="1">'Informe de cálculo'!$A$1:$AJ$1081</definedName>
    <definedName name="_xlnm.Print_Titles" localSheetId="1">'Informe de cálculo'!$1:$9</definedName>
    <definedName name="Table_Hilti_Anchor_Refs">Definiciones!$F$6:$L$690</definedName>
    <definedName name="torque">Definiciones!$P$19:$P$25</definedName>
    <definedName name="undercut">Definiciones!$P$13:$P$18</definedName>
  </definedNames>
  <calcPr calcId="152511" iterate="1"/>
</workbook>
</file>

<file path=xl/calcChain.xml><?xml version="1.0" encoding="utf-8"?>
<calcChain xmlns="http://schemas.openxmlformats.org/spreadsheetml/2006/main">
  <c r="EC214" i="6" l="1"/>
  <c r="EC215" i="6"/>
  <c r="EC216" i="6"/>
  <c r="EC217" i="6"/>
  <c r="EC218" i="6"/>
  <c r="EC219" i="6"/>
  <c r="EC220" i="6"/>
  <c r="EC221" i="6"/>
  <c r="EC222" i="6"/>
  <c r="EC223" i="6"/>
  <c r="EC224" i="6"/>
  <c r="EC225" i="6"/>
  <c r="EC226" i="6"/>
  <c r="EC227" i="6"/>
  <c r="EC228" i="6"/>
  <c r="EC229" i="6"/>
  <c r="EC230" i="6"/>
  <c r="EC231" i="6"/>
  <c r="EC232" i="6"/>
  <c r="EC233" i="6"/>
  <c r="EC234" i="6"/>
  <c r="EC235" i="6"/>
  <c r="EC236" i="6"/>
  <c r="EC237" i="6"/>
  <c r="EC238" i="6"/>
  <c r="EC239" i="6"/>
  <c r="EC240" i="6"/>
  <c r="EC241" i="6"/>
  <c r="EC242" i="6"/>
  <c r="EC243" i="6"/>
  <c r="EC244" i="6"/>
  <c r="EC245" i="6"/>
  <c r="EC246" i="6"/>
  <c r="EC247" i="6"/>
  <c r="EC248" i="6"/>
  <c r="EC249" i="6"/>
  <c r="EC250" i="6"/>
  <c r="EC251" i="6"/>
  <c r="EC252" i="6"/>
  <c r="EC253" i="6"/>
  <c r="EC254" i="6"/>
  <c r="EC255" i="6"/>
  <c r="EC256" i="6"/>
  <c r="EC257" i="6"/>
  <c r="EC258" i="6"/>
  <c r="EC259" i="6"/>
  <c r="EC260" i="6"/>
  <c r="EC261" i="6"/>
  <c r="EC262" i="6"/>
  <c r="EC263" i="6"/>
  <c r="EC264" i="6"/>
  <c r="EC265" i="6"/>
  <c r="EC266" i="6"/>
  <c r="EC267" i="6"/>
  <c r="EC268" i="6"/>
  <c r="EC269" i="6"/>
  <c r="EC270" i="6"/>
  <c r="EC271" i="6"/>
  <c r="EC272" i="6"/>
  <c r="EC273" i="6"/>
  <c r="EC274" i="6"/>
  <c r="EC275" i="6"/>
  <c r="EC276" i="6"/>
  <c r="EC277" i="6"/>
  <c r="EC278" i="6"/>
  <c r="EC279" i="6"/>
  <c r="EC280" i="6"/>
  <c r="EC281" i="6"/>
  <c r="EC282" i="6"/>
  <c r="EC213" i="6"/>
  <c r="DZ214" i="6"/>
  <c r="DZ215" i="6"/>
  <c r="DZ216" i="6"/>
  <c r="DZ217" i="6"/>
  <c r="DZ218" i="6"/>
  <c r="DZ219" i="6"/>
  <c r="DZ220" i="6"/>
  <c r="DZ221" i="6"/>
  <c r="DZ222" i="6"/>
  <c r="DZ223" i="6"/>
  <c r="DZ224" i="6"/>
  <c r="DZ225" i="6"/>
  <c r="DZ226" i="6"/>
  <c r="DZ227" i="6"/>
  <c r="DZ228" i="6"/>
  <c r="DZ229" i="6"/>
  <c r="DZ230" i="6"/>
  <c r="DZ231" i="6"/>
  <c r="DZ232" i="6"/>
  <c r="DZ233" i="6"/>
  <c r="DZ234" i="6"/>
  <c r="DZ235" i="6"/>
  <c r="DZ236" i="6"/>
  <c r="DZ237" i="6"/>
  <c r="DZ238" i="6"/>
  <c r="DZ239" i="6"/>
  <c r="DZ240" i="6"/>
  <c r="DZ241" i="6"/>
  <c r="DZ242" i="6"/>
  <c r="DZ243" i="6"/>
  <c r="DZ244" i="6"/>
  <c r="DZ245" i="6"/>
  <c r="DZ246" i="6"/>
  <c r="DZ247" i="6"/>
  <c r="DZ248" i="6"/>
  <c r="DZ249" i="6"/>
  <c r="DZ250" i="6"/>
  <c r="DZ251" i="6"/>
  <c r="DZ252" i="6"/>
  <c r="DZ253" i="6"/>
  <c r="DZ254" i="6"/>
  <c r="DZ255" i="6"/>
  <c r="DZ256" i="6"/>
  <c r="DZ257" i="6"/>
  <c r="DZ258" i="6"/>
  <c r="DZ259" i="6"/>
  <c r="DZ260" i="6"/>
  <c r="DZ261" i="6"/>
  <c r="DZ262" i="6"/>
  <c r="DZ263" i="6"/>
  <c r="DZ264" i="6"/>
  <c r="DZ265" i="6"/>
  <c r="DZ266" i="6"/>
  <c r="DZ267" i="6"/>
  <c r="DZ268" i="6"/>
  <c r="DZ269" i="6"/>
  <c r="DZ270" i="6"/>
  <c r="DZ271" i="6"/>
  <c r="DZ272" i="6"/>
  <c r="DZ273" i="6"/>
  <c r="DZ274" i="6"/>
  <c r="DZ275" i="6"/>
  <c r="DZ276" i="6"/>
  <c r="DZ277" i="6"/>
  <c r="DZ278" i="6"/>
  <c r="DZ279" i="6"/>
  <c r="DZ280" i="6"/>
  <c r="DZ281" i="6"/>
  <c r="DZ282" i="6"/>
  <c r="DZ213" i="6"/>
  <c r="T187" i="6"/>
  <c r="Q188" i="6"/>
  <c r="B602" i="6"/>
  <c r="G602" i="6"/>
  <c r="B594" i="6"/>
  <c r="CW214" i="6"/>
  <c r="DB214" i="6"/>
  <c r="DG214" i="6"/>
  <c r="CW215" i="6"/>
  <c r="DB215" i="6"/>
  <c r="DG215" i="6"/>
  <c r="CW216" i="6"/>
  <c r="DB216" i="6"/>
  <c r="DG216" i="6"/>
  <c r="CW217" i="6"/>
  <c r="DB217" i="6"/>
  <c r="DG217" i="6"/>
  <c r="CW218" i="6"/>
  <c r="DB218" i="6"/>
  <c r="DG218" i="6"/>
  <c r="CW219" i="6"/>
  <c r="DB219" i="6"/>
  <c r="DG219" i="6"/>
  <c r="CW220" i="6"/>
  <c r="DB220" i="6"/>
  <c r="DG220" i="6"/>
  <c r="CW221" i="6"/>
  <c r="DB221" i="6"/>
  <c r="DG221" i="6"/>
  <c r="CW222" i="6"/>
  <c r="DB222" i="6"/>
  <c r="DG222" i="6"/>
  <c r="CW223" i="6"/>
  <c r="DB223" i="6"/>
  <c r="DG223" i="6"/>
  <c r="CW224" i="6"/>
  <c r="DB224" i="6"/>
  <c r="DG224" i="6"/>
  <c r="CW225" i="6"/>
  <c r="DB225" i="6"/>
  <c r="DG225" i="6"/>
  <c r="CW226" i="6"/>
  <c r="DB226" i="6"/>
  <c r="DG226" i="6"/>
  <c r="CW227" i="6"/>
  <c r="DB227" i="6"/>
  <c r="DG227" i="6"/>
  <c r="CW228" i="6"/>
  <c r="DB228" i="6"/>
  <c r="DG228" i="6"/>
  <c r="CW229" i="6"/>
  <c r="DB229" i="6"/>
  <c r="DG229" i="6"/>
  <c r="CW230" i="6"/>
  <c r="DB230" i="6"/>
  <c r="DG230" i="6"/>
  <c r="CW231" i="6"/>
  <c r="DB231" i="6"/>
  <c r="DG231" i="6"/>
  <c r="CW232" i="6"/>
  <c r="DB232" i="6"/>
  <c r="DG232" i="6"/>
  <c r="CW233" i="6"/>
  <c r="DB233" i="6"/>
  <c r="DG233" i="6"/>
  <c r="CW234" i="6"/>
  <c r="DB234" i="6"/>
  <c r="DG234" i="6"/>
  <c r="CW235" i="6"/>
  <c r="DB235" i="6"/>
  <c r="DG235" i="6"/>
  <c r="CW236" i="6"/>
  <c r="DB236" i="6"/>
  <c r="DG236" i="6"/>
  <c r="CW237" i="6"/>
  <c r="DB237" i="6"/>
  <c r="DG237" i="6"/>
  <c r="CW238" i="6"/>
  <c r="DB238" i="6"/>
  <c r="DG238" i="6"/>
  <c r="CW239" i="6"/>
  <c r="DB239" i="6"/>
  <c r="DG239" i="6"/>
  <c r="CW240" i="6"/>
  <c r="DB240" i="6"/>
  <c r="DG240" i="6"/>
  <c r="CW241" i="6"/>
  <c r="DB241" i="6"/>
  <c r="DG241" i="6"/>
  <c r="CW242" i="6"/>
  <c r="DB242" i="6"/>
  <c r="DG242" i="6"/>
  <c r="CW243" i="6"/>
  <c r="DB243" i="6"/>
  <c r="DG243" i="6"/>
  <c r="CW244" i="6"/>
  <c r="DB244" i="6"/>
  <c r="DG244" i="6"/>
  <c r="CW245" i="6"/>
  <c r="DB245" i="6"/>
  <c r="DG245" i="6"/>
  <c r="CW246" i="6"/>
  <c r="DB246" i="6"/>
  <c r="DG246" i="6"/>
  <c r="CW247" i="6"/>
  <c r="DB247" i="6"/>
  <c r="DG247" i="6"/>
  <c r="CW248" i="6"/>
  <c r="DB248" i="6"/>
  <c r="DG248" i="6"/>
  <c r="CW249" i="6"/>
  <c r="DB249" i="6"/>
  <c r="DG249" i="6"/>
  <c r="CW250" i="6"/>
  <c r="DB250" i="6"/>
  <c r="DG250" i="6"/>
  <c r="CW251" i="6"/>
  <c r="DB251" i="6"/>
  <c r="DG251" i="6"/>
  <c r="CW252" i="6"/>
  <c r="DB252" i="6"/>
  <c r="DG252" i="6"/>
  <c r="CW253" i="6"/>
  <c r="DB253" i="6"/>
  <c r="DG253" i="6"/>
  <c r="CW254" i="6"/>
  <c r="DB254" i="6"/>
  <c r="DG254" i="6"/>
  <c r="CW255" i="6"/>
  <c r="DB255" i="6"/>
  <c r="DG255" i="6"/>
  <c r="CW256" i="6"/>
  <c r="DB256" i="6"/>
  <c r="DG256" i="6"/>
  <c r="CW257" i="6"/>
  <c r="DB257" i="6"/>
  <c r="DG257" i="6"/>
  <c r="CW258" i="6"/>
  <c r="DB258" i="6"/>
  <c r="DG258" i="6"/>
  <c r="CW259" i="6"/>
  <c r="DB259" i="6"/>
  <c r="DG259" i="6"/>
  <c r="CW260" i="6"/>
  <c r="DB260" i="6"/>
  <c r="DG260" i="6"/>
  <c r="CW261" i="6"/>
  <c r="DB261" i="6"/>
  <c r="DG261" i="6"/>
  <c r="CW262" i="6"/>
  <c r="DB262" i="6"/>
  <c r="DG262" i="6"/>
  <c r="CW263" i="6"/>
  <c r="DB263" i="6"/>
  <c r="DG263" i="6"/>
  <c r="CW264" i="6"/>
  <c r="DB264" i="6"/>
  <c r="DG264" i="6"/>
  <c r="CW265" i="6"/>
  <c r="DB265" i="6"/>
  <c r="DG265" i="6"/>
  <c r="CW266" i="6"/>
  <c r="DB266" i="6"/>
  <c r="DG266" i="6"/>
  <c r="CW267" i="6"/>
  <c r="DB267" i="6"/>
  <c r="DG267" i="6"/>
  <c r="CW268" i="6"/>
  <c r="DB268" i="6"/>
  <c r="DG268" i="6"/>
  <c r="CW269" i="6"/>
  <c r="DB269" i="6"/>
  <c r="DG269" i="6"/>
  <c r="CW270" i="6"/>
  <c r="DB270" i="6"/>
  <c r="DG270" i="6"/>
  <c r="CW271" i="6"/>
  <c r="DB271" i="6"/>
  <c r="DG271" i="6"/>
  <c r="CW272" i="6"/>
  <c r="DB272" i="6"/>
  <c r="DG272" i="6"/>
  <c r="CW273" i="6"/>
  <c r="DB273" i="6"/>
  <c r="DG273" i="6"/>
  <c r="CW274" i="6"/>
  <c r="DB274" i="6"/>
  <c r="DG274" i="6"/>
  <c r="CW275" i="6"/>
  <c r="DB275" i="6"/>
  <c r="DG275" i="6"/>
  <c r="CW276" i="6"/>
  <c r="DB276" i="6"/>
  <c r="DG276" i="6"/>
  <c r="CW277" i="6"/>
  <c r="DB277" i="6"/>
  <c r="DG277" i="6"/>
  <c r="CW278" i="6"/>
  <c r="DB278" i="6"/>
  <c r="DG278" i="6"/>
  <c r="CW279" i="6"/>
  <c r="DB279" i="6"/>
  <c r="DG279" i="6"/>
  <c r="CW280" i="6"/>
  <c r="DB280" i="6"/>
  <c r="DG280" i="6"/>
  <c r="CW281" i="6"/>
  <c r="DB281" i="6"/>
  <c r="DG281" i="6"/>
  <c r="CW282" i="6"/>
  <c r="DB282" i="6"/>
  <c r="DG282" i="6"/>
  <c r="CR214" i="6"/>
  <c r="CR215" i="6"/>
  <c r="CR216" i="6"/>
  <c r="CR217" i="6"/>
  <c r="CR218" i="6"/>
  <c r="CR219" i="6"/>
  <c r="CR220" i="6"/>
  <c r="CR221" i="6"/>
  <c r="CR222" i="6"/>
  <c r="CR223" i="6"/>
  <c r="CR224" i="6"/>
  <c r="CR225" i="6"/>
  <c r="CR226" i="6"/>
  <c r="CR227" i="6"/>
  <c r="CR228" i="6"/>
  <c r="CR229" i="6"/>
  <c r="CR230" i="6"/>
  <c r="CR231" i="6"/>
  <c r="CR232" i="6"/>
  <c r="CR233" i="6"/>
  <c r="CR234" i="6"/>
  <c r="CR235" i="6"/>
  <c r="CR236" i="6"/>
  <c r="CR237" i="6"/>
  <c r="CR238" i="6"/>
  <c r="CR239" i="6"/>
  <c r="CR240" i="6"/>
  <c r="CR241" i="6"/>
  <c r="CR242" i="6"/>
  <c r="CR243" i="6"/>
  <c r="CR244" i="6"/>
  <c r="CR245" i="6"/>
  <c r="CR246" i="6"/>
  <c r="CR247" i="6"/>
  <c r="CR248" i="6"/>
  <c r="CR249" i="6"/>
  <c r="CR250" i="6"/>
  <c r="CR251" i="6"/>
  <c r="CR252" i="6"/>
  <c r="CR253" i="6"/>
  <c r="CR254" i="6"/>
  <c r="CR255" i="6"/>
  <c r="CR256" i="6"/>
  <c r="CR257" i="6"/>
  <c r="CR258" i="6"/>
  <c r="CR259" i="6"/>
  <c r="CR260" i="6"/>
  <c r="CR261" i="6"/>
  <c r="CR262" i="6"/>
  <c r="CR263" i="6"/>
  <c r="CR264" i="6"/>
  <c r="CR265" i="6"/>
  <c r="CR266" i="6"/>
  <c r="CR267" i="6"/>
  <c r="CR268" i="6"/>
  <c r="CR269" i="6"/>
  <c r="CR270" i="6"/>
  <c r="CR271" i="6"/>
  <c r="CR272" i="6"/>
  <c r="CR273" i="6"/>
  <c r="CR274" i="6"/>
  <c r="CR275" i="6"/>
  <c r="CR276" i="6"/>
  <c r="CR277" i="6"/>
  <c r="CR278" i="6"/>
  <c r="CR279" i="6"/>
  <c r="CR280" i="6"/>
  <c r="CR281" i="6"/>
  <c r="CR282" i="6"/>
  <c r="Z116" i="6" l="1"/>
  <c r="DL214" i="6" l="1"/>
  <c r="DL215" i="6"/>
  <c r="DL216" i="6"/>
  <c r="DL217" i="6"/>
  <c r="DL218" i="6"/>
  <c r="DL219" i="6"/>
  <c r="DL220" i="6"/>
  <c r="DL221" i="6"/>
  <c r="DL222" i="6"/>
  <c r="DL223" i="6"/>
  <c r="DL224" i="6"/>
  <c r="DL225" i="6"/>
  <c r="DL226" i="6"/>
  <c r="DL227" i="6"/>
  <c r="DL228" i="6"/>
  <c r="DL229" i="6"/>
  <c r="DL230" i="6"/>
  <c r="DL231" i="6"/>
  <c r="DL232" i="6"/>
  <c r="DL233" i="6"/>
  <c r="DL234" i="6"/>
  <c r="DL235" i="6"/>
  <c r="DL236" i="6"/>
  <c r="DL237" i="6"/>
  <c r="DL238" i="6"/>
  <c r="DL239" i="6"/>
  <c r="DL240" i="6"/>
  <c r="DL241" i="6"/>
  <c r="DL242" i="6"/>
  <c r="DL243" i="6"/>
  <c r="DL244" i="6"/>
  <c r="DL245" i="6"/>
  <c r="DL246" i="6"/>
  <c r="DL247" i="6"/>
  <c r="DL248" i="6"/>
  <c r="DL249" i="6"/>
  <c r="DL250" i="6"/>
  <c r="DL251" i="6"/>
  <c r="DL252" i="6"/>
  <c r="DL253" i="6"/>
  <c r="DL254" i="6"/>
  <c r="DL255" i="6"/>
  <c r="DL256" i="6"/>
  <c r="DL257" i="6"/>
  <c r="DL258" i="6"/>
  <c r="DL259" i="6"/>
  <c r="DL260" i="6"/>
  <c r="DL261" i="6"/>
  <c r="DL262" i="6"/>
  <c r="DL263" i="6"/>
  <c r="DL264" i="6"/>
  <c r="DL265" i="6"/>
  <c r="DL266" i="6"/>
  <c r="DL267" i="6"/>
  <c r="DL268" i="6"/>
  <c r="DL269" i="6"/>
  <c r="DL270" i="6"/>
  <c r="DL271" i="6"/>
  <c r="DL272" i="6"/>
  <c r="DL273" i="6"/>
  <c r="DL274" i="6"/>
  <c r="DL275" i="6"/>
  <c r="DL276" i="6"/>
  <c r="DL277" i="6"/>
  <c r="DL278" i="6"/>
  <c r="DL279" i="6"/>
  <c r="DL280" i="6"/>
  <c r="DL281" i="6"/>
  <c r="DL282" i="6"/>
  <c r="DL213" i="6"/>
  <c r="T217" i="6"/>
  <c r="X217" i="6"/>
  <c r="T218" i="6"/>
  <c r="X218" i="6"/>
  <c r="T219" i="6"/>
  <c r="X219" i="6"/>
  <c r="T220" i="6"/>
  <c r="X220" i="6"/>
  <c r="T221" i="6"/>
  <c r="X221" i="6"/>
  <c r="T222" i="6"/>
  <c r="X222" i="6"/>
  <c r="T223" i="6"/>
  <c r="X223" i="6"/>
  <c r="T224" i="6"/>
  <c r="X224" i="6"/>
  <c r="T225" i="6"/>
  <c r="X225" i="6"/>
  <c r="T226" i="6"/>
  <c r="X226" i="6"/>
  <c r="T227" i="6"/>
  <c r="X227" i="6"/>
  <c r="T228" i="6"/>
  <c r="X228" i="6"/>
  <c r="T229" i="6"/>
  <c r="X229" i="6"/>
  <c r="T230" i="6"/>
  <c r="X230" i="6"/>
  <c r="T231" i="6"/>
  <c r="X231" i="6"/>
  <c r="T232" i="6"/>
  <c r="X232" i="6"/>
  <c r="T233" i="6"/>
  <c r="X233" i="6"/>
  <c r="T234" i="6"/>
  <c r="X234" i="6"/>
  <c r="T235" i="6"/>
  <c r="X235" i="6"/>
  <c r="T236" i="6"/>
  <c r="X236" i="6"/>
  <c r="T237" i="6"/>
  <c r="X237" i="6"/>
  <c r="T238" i="6"/>
  <c r="X238" i="6"/>
  <c r="T239" i="6"/>
  <c r="X239" i="6"/>
  <c r="T240" i="6"/>
  <c r="X240" i="6"/>
  <c r="T241" i="6"/>
  <c r="X241" i="6"/>
  <c r="T242" i="6"/>
  <c r="X242" i="6"/>
  <c r="T243" i="6"/>
  <c r="X243" i="6"/>
  <c r="T244" i="6"/>
  <c r="X244" i="6"/>
  <c r="T245" i="6"/>
  <c r="X245" i="6"/>
  <c r="T246" i="6"/>
  <c r="X246" i="6"/>
  <c r="T247" i="6"/>
  <c r="X247" i="6"/>
  <c r="T248" i="6"/>
  <c r="X248" i="6"/>
  <c r="T249" i="6"/>
  <c r="X249" i="6"/>
  <c r="T250" i="6"/>
  <c r="X250" i="6"/>
  <c r="T251" i="6"/>
  <c r="X251" i="6"/>
  <c r="T252" i="6"/>
  <c r="X252" i="6"/>
  <c r="T253" i="6"/>
  <c r="X253" i="6"/>
  <c r="T254" i="6"/>
  <c r="X254" i="6"/>
  <c r="T255" i="6"/>
  <c r="X255" i="6"/>
  <c r="T256" i="6"/>
  <c r="X256" i="6"/>
  <c r="T257" i="6"/>
  <c r="X257" i="6"/>
  <c r="T258" i="6"/>
  <c r="X258" i="6"/>
  <c r="T259" i="6"/>
  <c r="X259" i="6"/>
  <c r="T260" i="6"/>
  <c r="X260" i="6"/>
  <c r="T261" i="6"/>
  <c r="X261" i="6"/>
  <c r="T262" i="6"/>
  <c r="X262" i="6"/>
  <c r="T263" i="6"/>
  <c r="X263" i="6"/>
  <c r="T264" i="6"/>
  <c r="X264" i="6"/>
  <c r="T265" i="6"/>
  <c r="X265" i="6"/>
  <c r="T266" i="6"/>
  <c r="X266" i="6"/>
  <c r="T267" i="6"/>
  <c r="X267" i="6"/>
  <c r="T268" i="6"/>
  <c r="X268" i="6"/>
  <c r="T269" i="6"/>
  <c r="X269" i="6"/>
  <c r="T270" i="6"/>
  <c r="X270" i="6"/>
  <c r="T271" i="6"/>
  <c r="X271" i="6"/>
  <c r="T272" i="6"/>
  <c r="X272" i="6"/>
  <c r="T273" i="6"/>
  <c r="X273" i="6"/>
  <c r="T274" i="6"/>
  <c r="X274" i="6"/>
  <c r="T275" i="6"/>
  <c r="X275" i="6"/>
  <c r="T276" i="6"/>
  <c r="X276" i="6"/>
  <c r="T277" i="6"/>
  <c r="X277" i="6"/>
  <c r="T278" i="6"/>
  <c r="X278" i="6"/>
  <c r="T279" i="6"/>
  <c r="X279" i="6"/>
  <c r="T280" i="6"/>
  <c r="X280" i="6"/>
  <c r="T281" i="6"/>
  <c r="X281" i="6"/>
  <c r="T282" i="6"/>
  <c r="X282" i="6"/>
  <c r="B619" i="6"/>
  <c r="CM217" i="6" l="1"/>
  <c r="CM218" i="6"/>
  <c r="CM219" i="6"/>
  <c r="CM220" i="6"/>
  <c r="CM221" i="6"/>
  <c r="CM222" i="6"/>
  <c r="CM223" i="6"/>
  <c r="CM224" i="6"/>
  <c r="CM225" i="6"/>
  <c r="CM226" i="6"/>
  <c r="CM227" i="6"/>
  <c r="CM228" i="6"/>
  <c r="CM229" i="6"/>
  <c r="CM230" i="6"/>
  <c r="CM231" i="6"/>
  <c r="CM232" i="6"/>
  <c r="CM233" i="6"/>
  <c r="CM234" i="6"/>
  <c r="CM235" i="6"/>
  <c r="CM236" i="6"/>
  <c r="CM237" i="6"/>
  <c r="CM238" i="6"/>
  <c r="CM239" i="6"/>
  <c r="CM240" i="6"/>
  <c r="CM241" i="6"/>
  <c r="CM242" i="6"/>
  <c r="CM243" i="6"/>
  <c r="CM244" i="6"/>
  <c r="CM245" i="6"/>
  <c r="CM246" i="6"/>
  <c r="CM247" i="6"/>
  <c r="CM248" i="6"/>
  <c r="CM249" i="6"/>
  <c r="CM250" i="6"/>
  <c r="CM251" i="6"/>
  <c r="CM252" i="6"/>
  <c r="CM253" i="6"/>
  <c r="CM254" i="6"/>
  <c r="CM255" i="6"/>
  <c r="CM256" i="6"/>
  <c r="CM257" i="6"/>
  <c r="CM258" i="6"/>
  <c r="CM259" i="6"/>
  <c r="CM260" i="6"/>
  <c r="CM261" i="6"/>
  <c r="CM262" i="6"/>
  <c r="CM263" i="6"/>
  <c r="CM264" i="6"/>
  <c r="CM265" i="6"/>
  <c r="CM266" i="6"/>
  <c r="CM267" i="6"/>
  <c r="CM268" i="6"/>
  <c r="CM269" i="6"/>
  <c r="CM270" i="6"/>
  <c r="CM271" i="6"/>
  <c r="CM272" i="6"/>
  <c r="CM273" i="6"/>
  <c r="CM274" i="6"/>
  <c r="CM275" i="6"/>
  <c r="CM276" i="6"/>
  <c r="CM277" i="6"/>
  <c r="CM278" i="6"/>
  <c r="CM279" i="6"/>
  <c r="CM280" i="6"/>
  <c r="CM281" i="6"/>
  <c r="CM282" i="6"/>
  <c r="CH217" i="6"/>
  <c r="CH218" i="6"/>
  <c r="CH219" i="6"/>
  <c r="CH220" i="6"/>
  <c r="CH221" i="6"/>
  <c r="CH222" i="6"/>
  <c r="CH223" i="6"/>
  <c r="CH224" i="6"/>
  <c r="CH225" i="6"/>
  <c r="CH226" i="6"/>
  <c r="CH227" i="6"/>
  <c r="CH228" i="6"/>
  <c r="CH229" i="6"/>
  <c r="CH230" i="6"/>
  <c r="CH231" i="6"/>
  <c r="CH232" i="6"/>
  <c r="CH233" i="6"/>
  <c r="CH234" i="6"/>
  <c r="CH235" i="6"/>
  <c r="CH236" i="6"/>
  <c r="CH237" i="6"/>
  <c r="CH238" i="6"/>
  <c r="CH239" i="6"/>
  <c r="CH240" i="6"/>
  <c r="CH241" i="6"/>
  <c r="CH242" i="6"/>
  <c r="CH243" i="6"/>
  <c r="CH244" i="6"/>
  <c r="CH245" i="6"/>
  <c r="CH246" i="6"/>
  <c r="CH247" i="6"/>
  <c r="CH248" i="6"/>
  <c r="CH249" i="6"/>
  <c r="CH250" i="6"/>
  <c r="CH251" i="6"/>
  <c r="CH252" i="6"/>
  <c r="CH253" i="6"/>
  <c r="CH254" i="6"/>
  <c r="CH255" i="6"/>
  <c r="CH256" i="6"/>
  <c r="CH257" i="6"/>
  <c r="CH258" i="6"/>
  <c r="CH259" i="6"/>
  <c r="CH260" i="6"/>
  <c r="CH261" i="6"/>
  <c r="CH262" i="6"/>
  <c r="CH263" i="6"/>
  <c r="CH264" i="6"/>
  <c r="CH265" i="6"/>
  <c r="CH266" i="6"/>
  <c r="CH267" i="6"/>
  <c r="CH268" i="6"/>
  <c r="CH269" i="6"/>
  <c r="CH270" i="6"/>
  <c r="CH271" i="6"/>
  <c r="CH272" i="6"/>
  <c r="CH273" i="6"/>
  <c r="CH274" i="6"/>
  <c r="CH275" i="6"/>
  <c r="CH276" i="6"/>
  <c r="CH277" i="6"/>
  <c r="CH278" i="6"/>
  <c r="CH279" i="6"/>
  <c r="CH280" i="6"/>
  <c r="CH281" i="6"/>
  <c r="CH282" i="6"/>
  <c r="Q568" i="6" l="1"/>
  <c r="L568" i="6"/>
  <c r="G568" i="6"/>
  <c r="B568" i="6"/>
  <c r="B563" i="6"/>
  <c r="B510" i="6"/>
  <c r="V563" i="6"/>
  <c r="AF563" i="6"/>
  <c r="B505" i="6"/>
  <c r="R488" i="6"/>
  <c r="B480" i="6" l="1"/>
  <c r="G452" i="6"/>
  <c r="B457" i="6" s="1"/>
  <c r="B430" i="6" l="1"/>
  <c r="Z121" i="6" l="1"/>
  <c r="Z122" i="6"/>
  <c r="G563" i="6" l="1"/>
  <c r="L400" i="6"/>
  <c r="L537" i="6"/>
  <c r="AD599" i="6"/>
  <c r="G547" i="6"/>
  <c r="B462" i="6"/>
  <c r="B452" i="6"/>
  <c r="Q462" i="6" l="1"/>
  <c r="G462" i="6"/>
  <c r="L462" i="6" s="1"/>
  <c r="BB214" i="6" l="1"/>
  <c r="BB215" i="6"/>
  <c r="BB216" i="6"/>
  <c r="BB217" i="6"/>
  <c r="BB218" i="6"/>
  <c r="BB219" i="6"/>
  <c r="BB220" i="6"/>
  <c r="BB221" i="6"/>
  <c r="BB222" i="6"/>
  <c r="BB223" i="6"/>
  <c r="BB224" i="6"/>
  <c r="BB225" i="6"/>
  <c r="BB226" i="6"/>
  <c r="BB227" i="6"/>
  <c r="BB228" i="6"/>
  <c r="BB229" i="6"/>
  <c r="BB230" i="6"/>
  <c r="BB231" i="6"/>
  <c r="BB232" i="6"/>
  <c r="BB233" i="6"/>
  <c r="BB234" i="6"/>
  <c r="BB235" i="6"/>
  <c r="BB236" i="6"/>
  <c r="BB237" i="6"/>
  <c r="BB238" i="6"/>
  <c r="BB239" i="6"/>
  <c r="BB240" i="6"/>
  <c r="BB241" i="6"/>
  <c r="BB242" i="6"/>
  <c r="BB243" i="6"/>
  <c r="BB244" i="6"/>
  <c r="BB245" i="6"/>
  <c r="BB246" i="6"/>
  <c r="BB247" i="6"/>
  <c r="BB248" i="6"/>
  <c r="BB249" i="6"/>
  <c r="BB250" i="6"/>
  <c r="BB251" i="6"/>
  <c r="BB252" i="6"/>
  <c r="BB253" i="6"/>
  <c r="BB254" i="6"/>
  <c r="BB255" i="6"/>
  <c r="BB256" i="6"/>
  <c r="BB257" i="6"/>
  <c r="BB258" i="6"/>
  <c r="BB259" i="6"/>
  <c r="BB260" i="6"/>
  <c r="BB261" i="6"/>
  <c r="BB262" i="6"/>
  <c r="BB263" i="6"/>
  <c r="BB264" i="6"/>
  <c r="BB265" i="6"/>
  <c r="BB266" i="6"/>
  <c r="BB267" i="6"/>
  <c r="BB268" i="6"/>
  <c r="BB269" i="6"/>
  <c r="BB270" i="6"/>
  <c r="BB271" i="6"/>
  <c r="BB272" i="6"/>
  <c r="BB273" i="6"/>
  <c r="BB274" i="6"/>
  <c r="BB275" i="6"/>
  <c r="BB276" i="6"/>
  <c r="BB277" i="6"/>
  <c r="BB278" i="6"/>
  <c r="BB279" i="6"/>
  <c r="BB280" i="6"/>
  <c r="BB281" i="6"/>
  <c r="BB282" i="6"/>
  <c r="BB213" i="6"/>
  <c r="BF214" i="6"/>
  <c r="BF215" i="6"/>
  <c r="BF216" i="6"/>
  <c r="BF217" i="6"/>
  <c r="BF218" i="6"/>
  <c r="BF219" i="6"/>
  <c r="BF220" i="6"/>
  <c r="BF221" i="6"/>
  <c r="BF222" i="6"/>
  <c r="BF223" i="6"/>
  <c r="BF224" i="6"/>
  <c r="BF225" i="6"/>
  <c r="BF226" i="6"/>
  <c r="BF227" i="6"/>
  <c r="BF228" i="6"/>
  <c r="BF229" i="6"/>
  <c r="BF230" i="6"/>
  <c r="BF231" i="6"/>
  <c r="BF232" i="6"/>
  <c r="BF233" i="6"/>
  <c r="BF234" i="6"/>
  <c r="BF235" i="6"/>
  <c r="BF236" i="6"/>
  <c r="BF237" i="6"/>
  <c r="BF238" i="6"/>
  <c r="BF239" i="6"/>
  <c r="BF240" i="6"/>
  <c r="BF241" i="6"/>
  <c r="BF242" i="6"/>
  <c r="BF243" i="6"/>
  <c r="BF244" i="6"/>
  <c r="BF245" i="6"/>
  <c r="BF246" i="6"/>
  <c r="BF247" i="6"/>
  <c r="BF248" i="6"/>
  <c r="BF249" i="6"/>
  <c r="BF250" i="6"/>
  <c r="BF251" i="6"/>
  <c r="BF252" i="6"/>
  <c r="BF253" i="6"/>
  <c r="BF254" i="6"/>
  <c r="BF255" i="6"/>
  <c r="BF256" i="6"/>
  <c r="BF257" i="6"/>
  <c r="BF258" i="6"/>
  <c r="BF259" i="6"/>
  <c r="BF260" i="6"/>
  <c r="BF261" i="6"/>
  <c r="BF262" i="6"/>
  <c r="BF263" i="6"/>
  <c r="BF264" i="6"/>
  <c r="BF265" i="6"/>
  <c r="BF266" i="6"/>
  <c r="BF267" i="6"/>
  <c r="BF268" i="6"/>
  <c r="BF269" i="6"/>
  <c r="BF270" i="6"/>
  <c r="BF271" i="6"/>
  <c r="BF272" i="6"/>
  <c r="BF273" i="6"/>
  <c r="BF274" i="6"/>
  <c r="BF275" i="6"/>
  <c r="BF276" i="6"/>
  <c r="BF277" i="6"/>
  <c r="BF278" i="6"/>
  <c r="BF279" i="6"/>
  <c r="BF280" i="6"/>
  <c r="BF281" i="6"/>
  <c r="BF282" i="6"/>
  <c r="BF213" i="6"/>
  <c r="AA427" i="6"/>
  <c r="B427" i="6" l="1"/>
  <c r="R480" i="6"/>
  <c r="BL213" i="6" l="1"/>
  <c r="BX213" i="6"/>
  <c r="Z66" i="6" l="1"/>
  <c r="Z76" i="6"/>
  <c r="Z75" i="6"/>
  <c r="Z112" i="6" l="1"/>
  <c r="Z69" i="6"/>
  <c r="G537" i="6"/>
  <c r="B542" i="6" s="1"/>
  <c r="G400" i="6"/>
  <c r="B405" i="6" s="1"/>
  <c r="CD214" i="6"/>
  <c r="CD215" i="6"/>
  <c r="CD216" i="6"/>
  <c r="CD217" i="6"/>
  <c r="CD218" i="6"/>
  <c r="CD219" i="6"/>
  <c r="CD220" i="6"/>
  <c r="CD221" i="6"/>
  <c r="CD222" i="6"/>
  <c r="CD223" i="6"/>
  <c r="CD224" i="6"/>
  <c r="CD225" i="6"/>
  <c r="CD226" i="6"/>
  <c r="CD227" i="6"/>
  <c r="CD228" i="6"/>
  <c r="CD229" i="6"/>
  <c r="CD230" i="6"/>
  <c r="CD231" i="6"/>
  <c r="CD232" i="6"/>
  <c r="CD233" i="6"/>
  <c r="CD234" i="6"/>
  <c r="CD235" i="6"/>
  <c r="CD236" i="6"/>
  <c r="CD237" i="6"/>
  <c r="CD238" i="6"/>
  <c r="CD239" i="6"/>
  <c r="CD240" i="6"/>
  <c r="CD241" i="6"/>
  <c r="CD242" i="6"/>
  <c r="CD243" i="6"/>
  <c r="CD244" i="6"/>
  <c r="CD245" i="6"/>
  <c r="CD246" i="6"/>
  <c r="CD247" i="6"/>
  <c r="CD248" i="6"/>
  <c r="CD249" i="6"/>
  <c r="CD250" i="6"/>
  <c r="CD251" i="6"/>
  <c r="CD252" i="6"/>
  <c r="CD253" i="6"/>
  <c r="CD254" i="6"/>
  <c r="CD255" i="6"/>
  <c r="CD256" i="6"/>
  <c r="CD257" i="6"/>
  <c r="CD258" i="6"/>
  <c r="CD259" i="6"/>
  <c r="CD260" i="6"/>
  <c r="CD261" i="6"/>
  <c r="CD262" i="6"/>
  <c r="CD263" i="6"/>
  <c r="CD264" i="6"/>
  <c r="CD265" i="6"/>
  <c r="CD266" i="6"/>
  <c r="CD267" i="6"/>
  <c r="CD268" i="6"/>
  <c r="CD269" i="6"/>
  <c r="CD270" i="6"/>
  <c r="CD271" i="6"/>
  <c r="CD272" i="6"/>
  <c r="CD273" i="6"/>
  <c r="CD274" i="6"/>
  <c r="CD275" i="6"/>
  <c r="CD276" i="6"/>
  <c r="CD277" i="6"/>
  <c r="CD278" i="6"/>
  <c r="CD279" i="6"/>
  <c r="CD280" i="6"/>
  <c r="CD281" i="6"/>
  <c r="CD282" i="6"/>
  <c r="CD213" i="6"/>
  <c r="BX214" i="6"/>
  <c r="BX215" i="6"/>
  <c r="BX216" i="6"/>
  <c r="BX217" i="6"/>
  <c r="BX218" i="6"/>
  <c r="BX219" i="6"/>
  <c r="BX220" i="6"/>
  <c r="BX221" i="6"/>
  <c r="BX222" i="6"/>
  <c r="BX223" i="6"/>
  <c r="BX224" i="6"/>
  <c r="BX225" i="6"/>
  <c r="BX226" i="6"/>
  <c r="BX227" i="6"/>
  <c r="BX228" i="6"/>
  <c r="BX229" i="6"/>
  <c r="BX230" i="6"/>
  <c r="BX231" i="6"/>
  <c r="BX232" i="6"/>
  <c r="BX233" i="6"/>
  <c r="BX234" i="6"/>
  <c r="BX235" i="6"/>
  <c r="BX236" i="6"/>
  <c r="BX237" i="6"/>
  <c r="BX238" i="6"/>
  <c r="BX239" i="6"/>
  <c r="BX240" i="6"/>
  <c r="BX241" i="6"/>
  <c r="BX242" i="6"/>
  <c r="BX243" i="6"/>
  <c r="BX244" i="6"/>
  <c r="BX245" i="6"/>
  <c r="BX246" i="6"/>
  <c r="BX247" i="6"/>
  <c r="BX248" i="6"/>
  <c r="BX249" i="6"/>
  <c r="BX250" i="6"/>
  <c r="BX251" i="6"/>
  <c r="BX252" i="6"/>
  <c r="BX253" i="6"/>
  <c r="BX254" i="6"/>
  <c r="BX255" i="6"/>
  <c r="BX256" i="6"/>
  <c r="BX257" i="6"/>
  <c r="BX258" i="6"/>
  <c r="BX259" i="6"/>
  <c r="BX260" i="6"/>
  <c r="BX261" i="6"/>
  <c r="BX262" i="6"/>
  <c r="BX263" i="6"/>
  <c r="BX264" i="6"/>
  <c r="BX265" i="6"/>
  <c r="BX266" i="6"/>
  <c r="BX267" i="6"/>
  <c r="BX268" i="6"/>
  <c r="BX269" i="6"/>
  <c r="BX270" i="6"/>
  <c r="BX271" i="6"/>
  <c r="BX272" i="6"/>
  <c r="BX273" i="6"/>
  <c r="BX274" i="6"/>
  <c r="BX275" i="6"/>
  <c r="BX276" i="6"/>
  <c r="BX277" i="6"/>
  <c r="BX278" i="6"/>
  <c r="BX279" i="6"/>
  <c r="BX280" i="6"/>
  <c r="BX281" i="6"/>
  <c r="BX282" i="6"/>
  <c r="BR214" i="6"/>
  <c r="BR215" i="6"/>
  <c r="BR216" i="6"/>
  <c r="BR217" i="6"/>
  <c r="BR218" i="6"/>
  <c r="BR219" i="6"/>
  <c r="BR220" i="6"/>
  <c r="BR221" i="6"/>
  <c r="BR222" i="6"/>
  <c r="BR223" i="6"/>
  <c r="BR224" i="6"/>
  <c r="BR225" i="6"/>
  <c r="BR226" i="6"/>
  <c r="BR227" i="6"/>
  <c r="BR228" i="6"/>
  <c r="BR229" i="6"/>
  <c r="BR230" i="6"/>
  <c r="BR231" i="6"/>
  <c r="BR232" i="6"/>
  <c r="BR233" i="6"/>
  <c r="BR234" i="6"/>
  <c r="BR235" i="6"/>
  <c r="BR236" i="6"/>
  <c r="BR237" i="6"/>
  <c r="BR238" i="6"/>
  <c r="BR239" i="6"/>
  <c r="BR240" i="6"/>
  <c r="BR241" i="6"/>
  <c r="BR242" i="6"/>
  <c r="BR243" i="6"/>
  <c r="BR244" i="6"/>
  <c r="BR245" i="6"/>
  <c r="BR246" i="6"/>
  <c r="BR247" i="6"/>
  <c r="BR248" i="6"/>
  <c r="BR249" i="6"/>
  <c r="BR250" i="6"/>
  <c r="BR251" i="6"/>
  <c r="BR252" i="6"/>
  <c r="BR253" i="6"/>
  <c r="BR254" i="6"/>
  <c r="BR255" i="6"/>
  <c r="BR256" i="6"/>
  <c r="BR257" i="6"/>
  <c r="BR258" i="6"/>
  <c r="BR259" i="6"/>
  <c r="BR260" i="6"/>
  <c r="BR261" i="6"/>
  <c r="BR262" i="6"/>
  <c r="BR263" i="6"/>
  <c r="BR264" i="6"/>
  <c r="BR265" i="6"/>
  <c r="BR266" i="6"/>
  <c r="BR267" i="6"/>
  <c r="BR268" i="6"/>
  <c r="BR269" i="6"/>
  <c r="BR270" i="6"/>
  <c r="BR271" i="6"/>
  <c r="BR272" i="6"/>
  <c r="BR273" i="6"/>
  <c r="BR274" i="6"/>
  <c r="BR275" i="6"/>
  <c r="BR276" i="6"/>
  <c r="BR277" i="6"/>
  <c r="BR278" i="6"/>
  <c r="BR279" i="6"/>
  <c r="BR280" i="6"/>
  <c r="BR281" i="6"/>
  <c r="BR282" i="6"/>
  <c r="BR213" i="6"/>
  <c r="BL214" i="6"/>
  <c r="BL215" i="6"/>
  <c r="BL216" i="6"/>
  <c r="BL217" i="6"/>
  <c r="BL218" i="6"/>
  <c r="BL219" i="6"/>
  <c r="BL220" i="6"/>
  <c r="BL221" i="6"/>
  <c r="BL222" i="6"/>
  <c r="BL223" i="6"/>
  <c r="BL224" i="6"/>
  <c r="BL225" i="6"/>
  <c r="BL226" i="6"/>
  <c r="BL227" i="6"/>
  <c r="BL228" i="6"/>
  <c r="BL229" i="6"/>
  <c r="BL230" i="6"/>
  <c r="BL231" i="6"/>
  <c r="BL232" i="6"/>
  <c r="BL233" i="6"/>
  <c r="BL234" i="6"/>
  <c r="BL235" i="6"/>
  <c r="BL236" i="6"/>
  <c r="BL237" i="6"/>
  <c r="BL238" i="6"/>
  <c r="BL239" i="6"/>
  <c r="BL240" i="6"/>
  <c r="BL241" i="6"/>
  <c r="BL242" i="6"/>
  <c r="BL243" i="6"/>
  <c r="BL244" i="6"/>
  <c r="BL245" i="6"/>
  <c r="BL246" i="6"/>
  <c r="BL247" i="6"/>
  <c r="BL248" i="6"/>
  <c r="BL249" i="6"/>
  <c r="BL250" i="6"/>
  <c r="BL251" i="6"/>
  <c r="BL252" i="6"/>
  <c r="BL253" i="6"/>
  <c r="BL254" i="6"/>
  <c r="BL255" i="6"/>
  <c r="BL256" i="6"/>
  <c r="BL257" i="6"/>
  <c r="BL258" i="6"/>
  <c r="BL259" i="6"/>
  <c r="BL260" i="6"/>
  <c r="BL261" i="6"/>
  <c r="BL262" i="6"/>
  <c r="BL263" i="6"/>
  <c r="BL264" i="6"/>
  <c r="BL265" i="6"/>
  <c r="BL266" i="6"/>
  <c r="BL267" i="6"/>
  <c r="BL268" i="6"/>
  <c r="BL269" i="6"/>
  <c r="BL270" i="6"/>
  <c r="BL271" i="6"/>
  <c r="BL272" i="6"/>
  <c r="BL273" i="6"/>
  <c r="BL274" i="6"/>
  <c r="BL275" i="6"/>
  <c r="BL276" i="6"/>
  <c r="BL277" i="6"/>
  <c r="BL278" i="6"/>
  <c r="BL279" i="6"/>
  <c r="BL280" i="6"/>
  <c r="BL281" i="6"/>
  <c r="BL282" i="6"/>
  <c r="CR213" i="6" l="1"/>
  <c r="B599" i="6" s="1"/>
  <c r="CW213" i="6"/>
  <c r="DG213" i="6"/>
  <c r="DB213" i="6"/>
  <c r="F599" i="6" s="1"/>
  <c r="CH215" i="6"/>
  <c r="CH214" i="6"/>
  <c r="CH216" i="6"/>
  <c r="CH213" i="6"/>
  <c r="F435" i="6"/>
  <c r="Z74" i="6"/>
  <c r="L591" i="6" s="1"/>
  <c r="Z73" i="6"/>
  <c r="Q591" i="6" s="1"/>
  <c r="N599" i="6" s="1"/>
  <c r="DR217" i="6"/>
  <c r="DT217" i="6"/>
  <c r="DR220" i="6"/>
  <c r="DR221" i="6"/>
  <c r="DT221" i="6"/>
  <c r="DT222" i="6"/>
  <c r="DR225" i="6"/>
  <c r="DR226" i="6"/>
  <c r="DT226" i="6"/>
  <c r="DR229" i="6"/>
  <c r="DT229" i="6"/>
  <c r="DT230" i="6"/>
  <c r="DR232" i="6"/>
  <c r="DR233" i="6"/>
  <c r="DR234" i="6"/>
  <c r="DT234" i="6"/>
  <c r="DR236" i="6"/>
  <c r="DR237" i="6"/>
  <c r="DT237" i="6"/>
  <c r="DT238" i="6"/>
  <c r="DT239" i="6"/>
  <c r="DR241" i="6"/>
  <c r="DR242" i="6"/>
  <c r="DT242" i="6"/>
  <c r="DR245" i="6"/>
  <c r="DT246" i="6"/>
  <c r="DT247" i="6"/>
  <c r="DR248" i="6"/>
  <c r="DR249" i="6"/>
  <c r="DT250" i="6"/>
  <c r="DT251" i="6"/>
  <c r="DR252" i="6"/>
  <c r="DR253" i="6"/>
  <c r="DT254" i="6"/>
  <c r="DT255" i="6"/>
  <c r="DR257" i="6"/>
  <c r="DR258" i="6"/>
  <c r="DT258" i="6"/>
  <c r="DT259" i="6"/>
  <c r="DR261" i="6"/>
  <c r="DT262" i="6"/>
  <c r="DT263" i="6"/>
  <c r="DR264" i="6"/>
  <c r="DR265" i="6"/>
  <c r="DR266" i="6"/>
  <c r="DT266" i="6"/>
  <c r="DT267" i="6"/>
  <c r="DR268" i="6"/>
  <c r="DR269" i="6"/>
  <c r="DT270" i="6"/>
  <c r="DT271" i="6"/>
  <c r="DR273" i="6"/>
  <c r="DR274" i="6"/>
  <c r="DT274" i="6"/>
  <c r="DR277" i="6"/>
  <c r="DT277" i="6"/>
  <c r="DR280" i="6"/>
  <c r="DR281" i="6"/>
  <c r="DR282" i="6"/>
  <c r="P174" i="6"/>
  <c r="P217" i="6"/>
  <c r="DP217" i="6" s="1"/>
  <c r="P218" i="6"/>
  <c r="DP218" i="6" s="1"/>
  <c r="P219" i="6"/>
  <c r="DP219" i="6" s="1"/>
  <c r="P220" i="6"/>
  <c r="DP220" i="6" s="1"/>
  <c r="P221" i="6"/>
  <c r="DP221" i="6" s="1"/>
  <c r="P222" i="6"/>
  <c r="DP222" i="6" s="1"/>
  <c r="P223" i="6"/>
  <c r="DO223" i="6" s="1"/>
  <c r="P224" i="6"/>
  <c r="DP224" i="6" s="1"/>
  <c r="P225" i="6"/>
  <c r="DP225" i="6" s="1"/>
  <c r="P226" i="6"/>
  <c r="DP226" i="6" s="1"/>
  <c r="P227" i="6"/>
  <c r="DP227" i="6" s="1"/>
  <c r="P228" i="6"/>
  <c r="DP228" i="6" s="1"/>
  <c r="P229" i="6"/>
  <c r="DP229" i="6" s="1"/>
  <c r="P230" i="6"/>
  <c r="DP230" i="6" s="1"/>
  <c r="P231" i="6"/>
  <c r="DP231" i="6" s="1"/>
  <c r="P232" i="6"/>
  <c r="DO232" i="6" s="1"/>
  <c r="P233" i="6"/>
  <c r="DP233" i="6" s="1"/>
  <c r="P234" i="6"/>
  <c r="DP234" i="6" s="1"/>
  <c r="P235" i="6"/>
  <c r="DP235" i="6" s="1"/>
  <c r="P236" i="6"/>
  <c r="DP236" i="6" s="1"/>
  <c r="P237" i="6"/>
  <c r="DP237" i="6" s="1"/>
  <c r="P238" i="6"/>
  <c r="DP238" i="6" s="1"/>
  <c r="P239" i="6"/>
  <c r="DO239" i="6" s="1"/>
  <c r="P240" i="6"/>
  <c r="DO240" i="6" s="1"/>
  <c r="P241" i="6"/>
  <c r="DP241" i="6" s="1"/>
  <c r="P242" i="6"/>
  <c r="DP242" i="6" s="1"/>
  <c r="P243" i="6"/>
  <c r="DP243" i="6" s="1"/>
  <c r="P244" i="6"/>
  <c r="DP244" i="6" s="1"/>
  <c r="P245" i="6"/>
  <c r="DP245" i="6" s="1"/>
  <c r="P246" i="6"/>
  <c r="DP246" i="6" s="1"/>
  <c r="P247" i="6"/>
  <c r="DP247" i="6" s="1"/>
  <c r="P248" i="6"/>
  <c r="DO248" i="6" s="1"/>
  <c r="P249" i="6"/>
  <c r="DP249" i="6" s="1"/>
  <c r="P250" i="6"/>
  <c r="DP250" i="6" s="1"/>
  <c r="P251" i="6"/>
  <c r="DO251" i="6" s="1"/>
  <c r="P252" i="6"/>
  <c r="DP252" i="6" s="1"/>
  <c r="P253" i="6"/>
  <c r="DP253" i="6" s="1"/>
  <c r="P254" i="6"/>
  <c r="DP254" i="6" s="1"/>
  <c r="P255" i="6"/>
  <c r="DO255" i="6" s="1"/>
  <c r="P256" i="6"/>
  <c r="DO256" i="6" s="1"/>
  <c r="P257" i="6"/>
  <c r="DP257" i="6" s="1"/>
  <c r="P258" i="6"/>
  <c r="DP258" i="6" s="1"/>
  <c r="P259" i="6"/>
  <c r="DP259" i="6" s="1"/>
  <c r="P260" i="6"/>
  <c r="DP260" i="6" s="1"/>
  <c r="P261" i="6"/>
  <c r="DP261" i="6" s="1"/>
  <c r="P262" i="6"/>
  <c r="DP262" i="6" s="1"/>
  <c r="P263" i="6"/>
  <c r="DP263" i="6" s="1"/>
  <c r="P264" i="6"/>
  <c r="DO264" i="6" s="1"/>
  <c r="P265" i="6"/>
  <c r="DP265" i="6" s="1"/>
  <c r="P266" i="6"/>
  <c r="DO266" i="6" s="1"/>
  <c r="P267" i="6"/>
  <c r="DO267" i="6" s="1"/>
  <c r="P268" i="6"/>
  <c r="DO268" i="6" s="1"/>
  <c r="P269" i="6"/>
  <c r="DP269" i="6" s="1"/>
  <c r="P270" i="6"/>
  <c r="DP270" i="6" s="1"/>
  <c r="P271" i="6"/>
  <c r="DP271" i="6" s="1"/>
  <c r="P272" i="6"/>
  <c r="DP272" i="6" s="1"/>
  <c r="P273" i="6"/>
  <c r="DP273" i="6" s="1"/>
  <c r="P274" i="6"/>
  <c r="DP274" i="6" s="1"/>
  <c r="P275" i="6"/>
  <c r="DP275" i="6" s="1"/>
  <c r="P276" i="6"/>
  <c r="DP276" i="6" s="1"/>
  <c r="P277" i="6"/>
  <c r="DP277" i="6" s="1"/>
  <c r="P278" i="6"/>
  <c r="DP278" i="6" s="1"/>
  <c r="P279" i="6"/>
  <c r="DP279" i="6" s="1"/>
  <c r="P280" i="6"/>
  <c r="DP280" i="6" s="1"/>
  <c r="P281" i="6"/>
  <c r="DP281" i="6" s="1"/>
  <c r="P282" i="6"/>
  <c r="DP282" i="6" s="1"/>
  <c r="DO219" i="6"/>
  <c r="DR219" i="6"/>
  <c r="DR223" i="6"/>
  <c r="DR227" i="6"/>
  <c r="DR231" i="6"/>
  <c r="DR235" i="6"/>
  <c r="DR239" i="6"/>
  <c r="DR243" i="6"/>
  <c r="DR247" i="6"/>
  <c r="DR251" i="6"/>
  <c r="DR255" i="6"/>
  <c r="DR259" i="6"/>
  <c r="DR263" i="6"/>
  <c r="DR267" i="6"/>
  <c r="DR271" i="6"/>
  <c r="DR275" i="6"/>
  <c r="DR279" i="6"/>
  <c r="T174" i="6"/>
  <c r="X174" i="6"/>
  <c r="AB174" i="6"/>
  <c r="L174" i="6"/>
  <c r="AF174" i="6"/>
  <c r="AB219" i="6"/>
  <c r="AB220" i="6"/>
  <c r="AB221" i="6"/>
  <c r="AB222" i="6"/>
  <c r="AB223" i="6"/>
  <c r="AB224" i="6"/>
  <c r="AB225" i="6"/>
  <c r="AB226" i="6"/>
  <c r="AB227" i="6"/>
  <c r="AB228" i="6"/>
  <c r="AB229" i="6"/>
  <c r="AB230" i="6"/>
  <c r="AB231" i="6"/>
  <c r="AB232" i="6"/>
  <c r="AB233" i="6"/>
  <c r="AB234" i="6"/>
  <c r="AB235" i="6"/>
  <c r="AB236" i="6"/>
  <c r="AB237" i="6"/>
  <c r="AB238" i="6"/>
  <c r="AB239" i="6"/>
  <c r="AB240" i="6"/>
  <c r="AB241" i="6"/>
  <c r="AB242" i="6"/>
  <c r="AB243" i="6"/>
  <c r="AB244" i="6"/>
  <c r="AB245" i="6"/>
  <c r="AB246" i="6"/>
  <c r="AB247" i="6"/>
  <c r="AB248" i="6"/>
  <c r="AB249" i="6"/>
  <c r="AB250" i="6"/>
  <c r="AB251" i="6"/>
  <c r="AB252" i="6"/>
  <c r="AB253" i="6"/>
  <c r="AB254" i="6"/>
  <c r="AB255" i="6"/>
  <c r="AB256" i="6"/>
  <c r="AB257" i="6"/>
  <c r="AB258" i="6"/>
  <c r="AB259" i="6"/>
  <c r="AB280" i="6"/>
  <c r="AB278" i="6"/>
  <c r="AB281" i="6"/>
  <c r="AB279" i="6"/>
  <c r="AB277" i="6"/>
  <c r="AB276" i="6"/>
  <c r="AB275" i="6"/>
  <c r="AB274" i="6"/>
  <c r="AB273" i="6"/>
  <c r="AB272" i="6"/>
  <c r="AB260" i="6"/>
  <c r="AB261" i="6"/>
  <c r="AB262" i="6"/>
  <c r="AB263" i="6"/>
  <c r="AB264" i="6"/>
  <c r="AB265" i="6"/>
  <c r="AB266" i="6"/>
  <c r="AB267" i="6"/>
  <c r="AB268" i="6"/>
  <c r="AB269" i="6"/>
  <c r="AB270" i="6"/>
  <c r="AB271" i="6"/>
  <c r="AB282" i="6"/>
  <c r="E966" i="6"/>
  <c r="E963" i="6"/>
  <c r="E960" i="6"/>
  <c r="E957" i="6"/>
  <c r="E954" i="6"/>
  <c r="E951" i="6"/>
  <c r="E948" i="6"/>
  <c r="D945" i="6"/>
  <c r="D942" i="6"/>
  <c r="D939" i="6"/>
  <c r="D928" i="6"/>
  <c r="D923" i="6"/>
  <c r="C917" i="6"/>
  <c r="B915" i="6"/>
  <c r="Z70" i="6"/>
  <c r="Z110" i="6"/>
  <c r="Z111" i="6"/>
  <c r="AL61" i="6"/>
  <c r="G374" i="6"/>
  <c r="AA343" i="6"/>
  <c r="AF343" i="6" s="1"/>
  <c r="AA342" i="6"/>
  <c r="AF342" i="6" s="1"/>
  <c r="AA341" i="6"/>
  <c r="AF341" i="6" s="1"/>
  <c r="U342" i="6"/>
  <c r="U341" i="6"/>
  <c r="O342" i="6"/>
  <c r="O341" i="6"/>
  <c r="AA333" i="6"/>
  <c r="AF333" i="6" s="1"/>
  <c r="AA332" i="6"/>
  <c r="AF332" i="6" s="1"/>
  <c r="AA331" i="6"/>
  <c r="AF331" i="6" s="1"/>
  <c r="U332" i="6"/>
  <c r="U331" i="6"/>
  <c r="O332" i="6"/>
  <c r="O331" i="6"/>
  <c r="AA323" i="6"/>
  <c r="AF323" i="6" s="1"/>
  <c r="AA322" i="6"/>
  <c r="AF322" i="6" s="1"/>
  <c r="AA321" i="6"/>
  <c r="AF321" i="6" s="1"/>
  <c r="U322" i="6"/>
  <c r="U321" i="6"/>
  <c r="O322" i="6"/>
  <c r="O321" i="6"/>
  <c r="AA313" i="6"/>
  <c r="AF313" i="6" s="1"/>
  <c r="AA312" i="6"/>
  <c r="AF312" i="6" s="1"/>
  <c r="AA311" i="6"/>
  <c r="AF311" i="6" s="1"/>
  <c r="U312" i="6"/>
  <c r="U311" i="6"/>
  <c r="O312" i="6"/>
  <c r="O311" i="6"/>
  <c r="AA591" i="6"/>
  <c r="Z109" i="6"/>
  <c r="B1079" i="6"/>
  <c r="B1078" i="6"/>
  <c r="Y667" i="6"/>
  <c r="AF667" i="6" s="1"/>
  <c r="S667" i="6"/>
  <c r="M667" i="6"/>
  <c r="Y666" i="6"/>
  <c r="AF666" i="6" s="1"/>
  <c r="S666" i="6"/>
  <c r="M666" i="6"/>
  <c r="Y665" i="6"/>
  <c r="AF665" i="6" s="1"/>
  <c r="S665" i="6"/>
  <c r="M665" i="6"/>
  <c r="Y664" i="6"/>
  <c r="AF664" i="6" s="1"/>
  <c r="S664" i="6"/>
  <c r="M664" i="6"/>
  <c r="Y663" i="6"/>
  <c r="AF663" i="6" s="1"/>
  <c r="S663" i="6"/>
  <c r="M663" i="6"/>
  <c r="V591" i="6"/>
  <c r="Z113" i="6"/>
  <c r="CM213" i="6" s="1"/>
  <c r="Z103" i="6"/>
  <c r="Y728" i="6"/>
  <c r="AF728" i="6" s="1"/>
  <c r="S728" i="6"/>
  <c r="M728" i="6"/>
  <c r="Y727" i="6"/>
  <c r="AF727" i="6" s="1"/>
  <c r="S727" i="6"/>
  <c r="M727" i="6"/>
  <c r="Y726" i="6"/>
  <c r="AF726" i="6" s="1"/>
  <c r="S726" i="6"/>
  <c r="M726" i="6"/>
  <c r="Y725" i="6"/>
  <c r="AF725" i="6" s="1"/>
  <c r="S725" i="6"/>
  <c r="M725" i="6"/>
  <c r="Y699" i="6"/>
  <c r="AF699" i="6" s="1"/>
  <c r="S699" i="6"/>
  <c r="M699" i="6"/>
  <c r="Y698" i="6"/>
  <c r="AF698" i="6" s="1"/>
  <c r="S698" i="6"/>
  <c r="M698" i="6"/>
  <c r="Y697" i="6"/>
  <c r="AF697" i="6" s="1"/>
  <c r="S697" i="6"/>
  <c r="M697" i="6"/>
  <c r="Y696" i="6"/>
  <c r="AF696" i="6" s="1"/>
  <c r="S696" i="6"/>
  <c r="M696" i="6"/>
  <c r="Y695" i="6"/>
  <c r="AF695" i="6" s="1"/>
  <c r="S695" i="6"/>
  <c r="M695" i="6"/>
  <c r="V1015" i="6"/>
  <c r="X976" i="6"/>
  <c r="X977" i="6"/>
  <c r="X978" i="6"/>
  <c r="X979" i="6"/>
  <c r="X980" i="6"/>
  <c r="X981" i="6"/>
  <c r="X982" i="6"/>
  <c r="X983" i="6"/>
  <c r="X984" i="6"/>
  <c r="X995" i="6" s="1"/>
  <c r="X985" i="6"/>
  <c r="X986" i="6"/>
  <c r="X996" i="6" s="1"/>
  <c r="H183" i="1"/>
  <c r="F429" i="1"/>
  <c r="F418" i="1"/>
  <c r="F408" i="1"/>
  <c r="F399" i="1"/>
  <c r="F324" i="1"/>
  <c r="F323" i="1"/>
  <c r="F322" i="1"/>
  <c r="F312" i="1"/>
  <c r="F303" i="1"/>
  <c r="F228" i="1"/>
  <c r="F205" i="1"/>
  <c r="F204" i="1"/>
  <c r="F203" i="1"/>
  <c r="F193" i="1"/>
  <c r="F184" i="1"/>
  <c r="F13" i="1"/>
  <c r="F88" i="1"/>
  <c r="F97" i="1"/>
  <c r="F108" i="1"/>
  <c r="F107" i="1"/>
  <c r="F109" i="1"/>
  <c r="F7" i="1"/>
  <c r="F8" i="1"/>
  <c r="F9" i="1"/>
  <c r="F10" i="1"/>
  <c r="F11" i="1"/>
  <c r="F12" i="1"/>
  <c r="F6"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430"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9" i="1"/>
  <c r="F90" i="1"/>
  <c r="F91" i="1"/>
  <c r="F92" i="1"/>
  <c r="F93" i="1"/>
  <c r="F94" i="1"/>
  <c r="F95" i="1"/>
  <c r="F96" i="1"/>
  <c r="F98" i="1"/>
  <c r="F99" i="1"/>
  <c r="F100" i="1"/>
  <c r="F101" i="1"/>
  <c r="F102" i="1"/>
  <c r="F103" i="1"/>
  <c r="F104" i="1"/>
  <c r="F105" i="1"/>
  <c r="F106"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5" i="1"/>
  <c r="F186" i="1"/>
  <c r="F187" i="1"/>
  <c r="F188" i="1"/>
  <c r="F189" i="1"/>
  <c r="F190" i="1"/>
  <c r="F191" i="1"/>
  <c r="F192" i="1"/>
  <c r="F194" i="1"/>
  <c r="F195" i="1"/>
  <c r="F196" i="1"/>
  <c r="F197" i="1"/>
  <c r="F198" i="1"/>
  <c r="F199" i="1"/>
  <c r="F200" i="1"/>
  <c r="F201" i="1"/>
  <c r="F202" i="1"/>
  <c r="F206" i="1"/>
  <c r="F207" i="1"/>
  <c r="F208" i="1"/>
  <c r="F209" i="1"/>
  <c r="F210" i="1"/>
  <c r="F211" i="1"/>
  <c r="F212" i="1"/>
  <c r="F213" i="1"/>
  <c r="F214" i="1"/>
  <c r="F215" i="1"/>
  <c r="F216" i="1"/>
  <c r="F217" i="1"/>
  <c r="F218" i="1"/>
  <c r="F219" i="1"/>
  <c r="F220" i="1"/>
  <c r="F221" i="1"/>
  <c r="F222" i="1"/>
  <c r="F223" i="1"/>
  <c r="F224" i="1"/>
  <c r="F225" i="1"/>
  <c r="F226" i="1"/>
  <c r="F227"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4" i="1"/>
  <c r="F305" i="1"/>
  <c r="F306" i="1"/>
  <c r="F307" i="1"/>
  <c r="F308" i="1"/>
  <c r="F309" i="1"/>
  <c r="F310" i="1"/>
  <c r="F311" i="1"/>
  <c r="F313" i="1"/>
  <c r="F314" i="1"/>
  <c r="F315" i="1"/>
  <c r="F316" i="1"/>
  <c r="F317" i="1"/>
  <c r="F318" i="1"/>
  <c r="F319" i="1"/>
  <c r="F320" i="1"/>
  <c r="F321"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400" i="1"/>
  <c r="F401" i="1"/>
  <c r="F402" i="1"/>
  <c r="F403" i="1"/>
  <c r="F404" i="1"/>
  <c r="F405" i="1"/>
  <c r="F406" i="1"/>
  <c r="F407" i="1"/>
  <c r="F409" i="1"/>
  <c r="F410" i="1"/>
  <c r="F411" i="1"/>
  <c r="F412" i="1"/>
  <c r="F413" i="1"/>
  <c r="F414" i="1"/>
  <c r="F415" i="1"/>
  <c r="F416" i="1"/>
  <c r="F417" i="1"/>
  <c r="F419" i="1"/>
  <c r="F420" i="1"/>
  <c r="F421" i="1"/>
  <c r="F422" i="1"/>
  <c r="F423" i="1"/>
  <c r="F424" i="1"/>
  <c r="F425" i="1"/>
  <c r="F426" i="1"/>
  <c r="F427" i="1"/>
  <c r="F428" i="1"/>
  <c r="G227" i="1"/>
  <c r="G226" i="1"/>
  <c r="G225" i="1"/>
  <c r="G224" i="1"/>
  <c r="G223" i="1"/>
  <c r="G222" i="1"/>
  <c r="G221" i="1"/>
  <c r="G220" i="1"/>
  <c r="G219" i="1"/>
  <c r="G218" i="1"/>
  <c r="G217" i="1"/>
  <c r="G216" i="1"/>
  <c r="G215" i="1"/>
  <c r="G213" i="1"/>
  <c r="G214" i="1"/>
  <c r="G212" i="1"/>
  <c r="G210" i="1"/>
  <c r="G211" i="1"/>
  <c r="G209" i="1"/>
  <c r="H227" i="1"/>
  <c r="H226" i="1"/>
  <c r="H225" i="1"/>
  <c r="H224" i="1"/>
  <c r="H223" i="1"/>
  <c r="H222" i="1"/>
  <c r="H221" i="1"/>
  <c r="H220" i="1"/>
  <c r="H219" i="1"/>
  <c r="H218" i="1"/>
  <c r="H217" i="1"/>
  <c r="H216" i="1"/>
  <c r="H215" i="1"/>
  <c r="H213" i="1"/>
  <c r="H214" i="1"/>
  <c r="H212" i="1"/>
  <c r="H210" i="1"/>
  <c r="H211" i="1"/>
  <c r="H209" i="1"/>
  <c r="J426" i="1"/>
  <c r="J425" i="1"/>
  <c r="G630" i="1"/>
  <c r="H630" i="1"/>
  <c r="J424" i="1"/>
  <c r="J423" i="1"/>
  <c r="J422" i="1"/>
  <c r="J421" i="1"/>
  <c r="J420" i="1"/>
  <c r="J419" i="1"/>
  <c r="I12" i="1"/>
  <c r="J12" i="1"/>
  <c r="I11" i="1"/>
  <c r="J11" i="1"/>
  <c r="I10" i="1"/>
  <c r="J10" i="1"/>
  <c r="J103" i="1"/>
  <c r="I9" i="1"/>
  <c r="J9" i="1"/>
  <c r="J60" i="1"/>
  <c r="I8" i="1"/>
  <c r="J8" i="1"/>
  <c r="I7" i="1"/>
  <c r="J7" i="1"/>
  <c r="I6" i="1"/>
  <c r="J6" i="1"/>
  <c r="H417" i="1"/>
  <c r="G417" i="1"/>
  <c r="H416" i="1"/>
  <c r="G416" i="1"/>
  <c r="H415" i="1"/>
  <c r="G415" i="1"/>
  <c r="H414" i="1"/>
  <c r="G414" i="1"/>
  <c r="H413" i="1"/>
  <c r="G413" i="1"/>
  <c r="H412" i="1"/>
  <c r="G412" i="1"/>
  <c r="H411" i="1"/>
  <c r="G411" i="1"/>
  <c r="H410" i="1"/>
  <c r="G410" i="1"/>
  <c r="H409" i="1"/>
  <c r="G409" i="1"/>
  <c r="H407" i="1"/>
  <c r="G407" i="1"/>
  <c r="H406" i="1"/>
  <c r="G406" i="1"/>
  <c r="H405" i="1"/>
  <c r="G405" i="1"/>
  <c r="H404" i="1"/>
  <c r="G404" i="1"/>
  <c r="H403" i="1"/>
  <c r="G403" i="1"/>
  <c r="H402" i="1"/>
  <c r="G402" i="1"/>
  <c r="H401" i="1"/>
  <c r="G401" i="1"/>
  <c r="H400" i="1"/>
  <c r="G400" i="1"/>
  <c r="H398" i="1"/>
  <c r="G398" i="1"/>
  <c r="H397" i="1"/>
  <c r="G397" i="1"/>
  <c r="H396" i="1"/>
  <c r="G396" i="1"/>
  <c r="H395" i="1"/>
  <c r="G395" i="1"/>
  <c r="H394" i="1"/>
  <c r="G394" i="1"/>
  <c r="H393" i="1"/>
  <c r="G393" i="1"/>
  <c r="H392" i="1"/>
  <c r="G392" i="1"/>
  <c r="H391" i="1"/>
  <c r="G391" i="1"/>
  <c r="H390" i="1"/>
  <c r="G390" i="1"/>
  <c r="H389" i="1"/>
  <c r="G389" i="1"/>
  <c r="H388" i="1"/>
  <c r="G388" i="1"/>
  <c r="H387" i="1"/>
  <c r="G387" i="1"/>
  <c r="H386" i="1"/>
  <c r="G386" i="1"/>
  <c r="H385" i="1"/>
  <c r="G385" i="1"/>
  <c r="H384" i="1"/>
  <c r="G384" i="1"/>
  <c r="H383" i="1"/>
  <c r="G383" i="1"/>
  <c r="H382" i="1"/>
  <c r="G382" i="1"/>
  <c r="H381" i="1"/>
  <c r="G381" i="1"/>
  <c r="H380" i="1"/>
  <c r="G380" i="1"/>
  <c r="H379" i="1"/>
  <c r="G379" i="1"/>
  <c r="H378" i="1"/>
  <c r="G378" i="1"/>
  <c r="H377" i="1"/>
  <c r="G377" i="1"/>
  <c r="H376" i="1"/>
  <c r="G376" i="1"/>
  <c r="H375" i="1"/>
  <c r="G375" i="1"/>
  <c r="H374" i="1"/>
  <c r="G374" i="1"/>
  <c r="H373" i="1"/>
  <c r="G373" i="1"/>
  <c r="H372" i="1"/>
  <c r="G372" i="1"/>
  <c r="H371" i="1"/>
  <c r="G371" i="1"/>
  <c r="H370" i="1"/>
  <c r="G370" i="1"/>
  <c r="H369" i="1"/>
  <c r="G369" i="1"/>
  <c r="H368" i="1"/>
  <c r="G368" i="1"/>
  <c r="H367" i="1"/>
  <c r="G367" i="1"/>
  <c r="H366" i="1"/>
  <c r="G366" i="1"/>
  <c r="H365" i="1"/>
  <c r="G365" i="1"/>
  <c r="H364" i="1"/>
  <c r="G364" i="1"/>
  <c r="H363" i="1"/>
  <c r="G363" i="1"/>
  <c r="H362" i="1"/>
  <c r="G362" i="1"/>
  <c r="H361" i="1"/>
  <c r="G361" i="1"/>
  <c r="H360" i="1"/>
  <c r="G360" i="1"/>
  <c r="H359" i="1"/>
  <c r="G359" i="1"/>
  <c r="H358" i="1"/>
  <c r="G358" i="1"/>
  <c r="H357" i="1"/>
  <c r="G357" i="1"/>
  <c r="H356" i="1"/>
  <c r="G356" i="1"/>
  <c r="H355" i="1"/>
  <c r="G355" i="1"/>
  <c r="H354" i="1"/>
  <c r="G354" i="1"/>
  <c r="H353" i="1"/>
  <c r="G353" i="1"/>
  <c r="H352" i="1"/>
  <c r="G352" i="1"/>
  <c r="H351" i="1"/>
  <c r="G351" i="1"/>
  <c r="H350" i="1"/>
  <c r="G350" i="1"/>
  <c r="H349" i="1"/>
  <c r="G349" i="1"/>
  <c r="H348" i="1"/>
  <c r="G348" i="1"/>
  <c r="H347" i="1"/>
  <c r="G347" i="1"/>
  <c r="H346" i="1"/>
  <c r="G346" i="1"/>
  <c r="H345" i="1"/>
  <c r="G345" i="1"/>
  <c r="H344" i="1"/>
  <c r="G344" i="1"/>
  <c r="H343" i="1"/>
  <c r="G343" i="1"/>
  <c r="H342" i="1"/>
  <c r="G342" i="1"/>
  <c r="H341" i="1"/>
  <c r="G341" i="1"/>
  <c r="H340" i="1"/>
  <c r="G340" i="1"/>
  <c r="H339" i="1"/>
  <c r="G339" i="1"/>
  <c r="H338" i="1"/>
  <c r="G338" i="1"/>
  <c r="H337" i="1"/>
  <c r="G337" i="1"/>
  <c r="H336" i="1"/>
  <c r="G336" i="1"/>
  <c r="H335" i="1"/>
  <c r="G335" i="1"/>
  <c r="H334" i="1"/>
  <c r="G334" i="1"/>
  <c r="H333" i="1"/>
  <c r="G333" i="1"/>
  <c r="H332" i="1"/>
  <c r="G332" i="1"/>
  <c r="H331" i="1"/>
  <c r="G331" i="1"/>
  <c r="H330" i="1"/>
  <c r="G330" i="1"/>
  <c r="H329" i="1"/>
  <c r="G329" i="1"/>
  <c r="H328" i="1"/>
  <c r="G328" i="1"/>
  <c r="H327" i="1"/>
  <c r="G327" i="1"/>
  <c r="H326" i="1"/>
  <c r="G326" i="1"/>
  <c r="H325" i="1"/>
  <c r="G325" i="1"/>
  <c r="H689" i="1"/>
  <c r="G689" i="1"/>
  <c r="H688" i="1"/>
  <c r="G688" i="1"/>
  <c r="H687" i="1"/>
  <c r="G687" i="1"/>
  <c r="H686" i="1"/>
  <c r="G686" i="1"/>
  <c r="H685" i="1"/>
  <c r="G685" i="1"/>
  <c r="H684" i="1"/>
  <c r="G684" i="1"/>
  <c r="H683" i="1"/>
  <c r="G683" i="1"/>
  <c r="H682" i="1"/>
  <c r="G682" i="1"/>
  <c r="H681" i="1"/>
  <c r="G681" i="1"/>
  <c r="H680" i="1"/>
  <c r="G680" i="1"/>
  <c r="H679" i="1"/>
  <c r="G679" i="1"/>
  <c r="H678" i="1"/>
  <c r="G678" i="1"/>
  <c r="H677" i="1"/>
  <c r="G677" i="1"/>
  <c r="H676" i="1"/>
  <c r="G676" i="1"/>
  <c r="H675" i="1"/>
  <c r="G675" i="1"/>
  <c r="H674" i="1"/>
  <c r="G674" i="1"/>
  <c r="H673" i="1"/>
  <c r="G673" i="1"/>
  <c r="H672" i="1"/>
  <c r="G672" i="1"/>
  <c r="H670" i="1"/>
  <c r="G670" i="1"/>
  <c r="H669" i="1"/>
  <c r="G669" i="1"/>
  <c r="H667" i="1"/>
  <c r="G667" i="1"/>
  <c r="H666" i="1"/>
  <c r="G666" i="1"/>
  <c r="H665" i="1"/>
  <c r="G665" i="1"/>
  <c r="H664" i="1"/>
  <c r="G664" i="1"/>
  <c r="H663" i="1"/>
  <c r="G663" i="1"/>
  <c r="H662" i="1"/>
  <c r="G662" i="1"/>
  <c r="H661" i="1"/>
  <c r="G661" i="1"/>
  <c r="H660" i="1"/>
  <c r="G660" i="1"/>
  <c r="H659" i="1"/>
  <c r="G659" i="1"/>
  <c r="H658" i="1"/>
  <c r="G658" i="1"/>
  <c r="H657" i="1"/>
  <c r="G657" i="1"/>
  <c r="H656" i="1"/>
  <c r="G656" i="1"/>
  <c r="H655" i="1"/>
  <c r="G655" i="1"/>
  <c r="H654" i="1"/>
  <c r="G654" i="1"/>
  <c r="H653" i="1"/>
  <c r="G653" i="1"/>
  <c r="H652" i="1"/>
  <c r="G652" i="1"/>
  <c r="H651" i="1"/>
  <c r="G651" i="1"/>
  <c r="H650" i="1"/>
  <c r="G650" i="1"/>
  <c r="H649" i="1"/>
  <c r="G649" i="1"/>
  <c r="H648" i="1"/>
  <c r="G648" i="1"/>
  <c r="H647" i="1"/>
  <c r="G647" i="1"/>
  <c r="H646" i="1"/>
  <c r="G646" i="1"/>
  <c r="H645" i="1"/>
  <c r="G645" i="1"/>
  <c r="H644" i="1"/>
  <c r="G644" i="1"/>
  <c r="H643" i="1"/>
  <c r="G643" i="1"/>
  <c r="H642" i="1"/>
  <c r="G642" i="1"/>
  <c r="H641" i="1"/>
  <c r="G641" i="1"/>
  <c r="H640" i="1"/>
  <c r="G640" i="1"/>
  <c r="H639" i="1"/>
  <c r="G639" i="1"/>
  <c r="H638" i="1"/>
  <c r="G638" i="1"/>
  <c r="H637" i="1"/>
  <c r="G637" i="1"/>
  <c r="H636" i="1"/>
  <c r="G636" i="1"/>
  <c r="H635" i="1"/>
  <c r="G635" i="1"/>
  <c r="H634" i="1"/>
  <c r="G634" i="1"/>
  <c r="H633" i="1"/>
  <c r="G633" i="1"/>
  <c r="H632" i="1"/>
  <c r="G632" i="1"/>
  <c r="H631" i="1"/>
  <c r="G631" i="1"/>
  <c r="H628" i="1"/>
  <c r="G628" i="1"/>
  <c r="H627" i="1"/>
  <c r="G627" i="1"/>
  <c r="H626" i="1"/>
  <c r="G626" i="1"/>
  <c r="H625" i="1"/>
  <c r="G625" i="1"/>
  <c r="H624" i="1"/>
  <c r="G624" i="1"/>
  <c r="H623" i="1"/>
  <c r="G623" i="1"/>
  <c r="H622" i="1"/>
  <c r="G622" i="1"/>
  <c r="H621" i="1"/>
  <c r="G621" i="1"/>
  <c r="H620" i="1"/>
  <c r="G620" i="1"/>
  <c r="H619" i="1"/>
  <c r="G619" i="1"/>
  <c r="H618" i="1"/>
  <c r="G618" i="1"/>
  <c r="H617" i="1"/>
  <c r="G617" i="1"/>
  <c r="H616" i="1"/>
  <c r="G616" i="1"/>
  <c r="H615" i="1"/>
  <c r="G615" i="1"/>
  <c r="H614" i="1"/>
  <c r="G614" i="1"/>
  <c r="H613" i="1"/>
  <c r="G613" i="1"/>
  <c r="H612" i="1"/>
  <c r="G612" i="1"/>
  <c r="H611" i="1"/>
  <c r="G611" i="1"/>
  <c r="H610" i="1"/>
  <c r="G610" i="1"/>
  <c r="H609" i="1"/>
  <c r="G609" i="1"/>
  <c r="H608" i="1"/>
  <c r="G608" i="1"/>
  <c r="H607" i="1"/>
  <c r="G607" i="1"/>
  <c r="H606" i="1"/>
  <c r="G606" i="1"/>
  <c r="H605" i="1"/>
  <c r="G605" i="1"/>
  <c r="H604" i="1"/>
  <c r="G604" i="1"/>
  <c r="H603" i="1"/>
  <c r="G603" i="1"/>
  <c r="H602" i="1"/>
  <c r="G602" i="1"/>
  <c r="H601" i="1"/>
  <c r="G601" i="1"/>
  <c r="H600" i="1"/>
  <c r="G600" i="1"/>
  <c r="H599" i="1"/>
  <c r="G599" i="1"/>
  <c r="H597" i="1"/>
  <c r="G597" i="1"/>
  <c r="H596" i="1"/>
  <c r="G596" i="1"/>
  <c r="H595" i="1"/>
  <c r="G595" i="1"/>
  <c r="H593" i="1"/>
  <c r="G593" i="1"/>
  <c r="H592" i="1"/>
  <c r="G592" i="1"/>
  <c r="H590" i="1"/>
  <c r="G590" i="1"/>
  <c r="H589" i="1"/>
  <c r="G589" i="1"/>
  <c r="H588" i="1"/>
  <c r="G588" i="1"/>
  <c r="H586" i="1"/>
  <c r="G586" i="1"/>
  <c r="H585" i="1"/>
  <c r="G585" i="1"/>
  <c r="H584" i="1"/>
  <c r="G584" i="1"/>
  <c r="H583" i="1"/>
  <c r="G583" i="1"/>
  <c r="H582" i="1"/>
  <c r="G582" i="1"/>
  <c r="H581" i="1"/>
  <c r="G581" i="1"/>
  <c r="H580" i="1"/>
  <c r="G580" i="1"/>
  <c r="H579" i="1"/>
  <c r="G579" i="1"/>
  <c r="H578" i="1"/>
  <c r="G578" i="1"/>
  <c r="H577" i="1"/>
  <c r="G577" i="1"/>
  <c r="H576" i="1"/>
  <c r="G576" i="1"/>
  <c r="H575" i="1"/>
  <c r="G575" i="1"/>
  <c r="H573" i="1"/>
  <c r="G573" i="1"/>
  <c r="H572" i="1"/>
  <c r="G572" i="1"/>
  <c r="H571" i="1"/>
  <c r="G571" i="1"/>
  <c r="H570" i="1"/>
  <c r="G570" i="1"/>
  <c r="H569" i="1"/>
  <c r="G569" i="1"/>
  <c r="H568" i="1"/>
  <c r="G568" i="1"/>
  <c r="H567" i="1"/>
  <c r="G567" i="1"/>
  <c r="H566" i="1"/>
  <c r="G566" i="1"/>
  <c r="H565" i="1"/>
  <c r="G565" i="1"/>
  <c r="H564" i="1"/>
  <c r="G564" i="1"/>
  <c r="H563" i="1"/>
  <c r="G563" i="1"/>
  <c r="H562" i="1"/>
  <c r="G562" i="1"/>
  <c r="H561" i="1"/>
  <c r="G561" i="1"/>
  <c r="H560" i="1"/>
  <c r="G560" i="1"/>
  <c r="H559" i="1"/>
  <c r="G559" i="1"/>
  <c r="H558" i="1"/>
  <c r="G558" i="1"/>
  <c r="H557" i="1"/>
  <c r="G557" i="1"/>
  <c r="H556" i="1"/>
  <c r="G556" i="1"/>
  <c r="H555" i="1"/>
  <c r="G555" i="1"/>
  <c r="H554" i="1"/>
  <c r="G554" i="1"/>
  <c r="H553" i="1"/>
  <c r="G553" i="1"/>
  <c r="H552" i="1"/>
  <c r="G552" i="1"/>
  <c r="H551" i="1"/>
  <c r="G551" i="1"/>
  <c r="H550" i="1"/>
  <c r="G550" i="1"/>
  <c r="H549" i="1"/>
  <c r="G549" i="1"/>
  <c r="H548" i="1"/>
  <c r="G548" i="1"/>
  <c r="H547" i="1"/>
  <c r="G547" i="1"/>
  <c r="H546" i="1"/>
  <c r="G546" i="1"/>
  <c r="H545" i="1"/>
  <c r="G545" i="1"/>
  <c r="H544" i="1"/>
  <c r="G544" i="1"/>
  <c r="H543" i="1"/>
  <c r="G543" i="1"/>
  <c r="H542" i="1"/>
  <c r="G542" i="1"/>
  <c r="H541" i="1"/>
  <c r="G541" i="1"/>
  <c r="H540" i="1"/>
  <c r="G540" i="1"/>
  <c r="H539" i="1"/>
  <c r="G539" i="1"/>
  <c r="H538" i="1"/>
  <c r="G538" i="1"/>
  <c r="H537" i="1"/>
  <c r="G537" i="1"/>
  <c r="H536" i="1"/>
  <c r="G536" i="1"/>
  <c r="H535" i="1"/>
  <c r="G535" i="1"/>
  <c r="H534" i="1"/>
  <c r="G534" i="1"/>
  <c r="H533" i="1"/>
  <c r="G533" i="1"/>
  <c r="H532" i="1"/>
  <c r="G532" i="1"/>
  <c r="H531" i="1"/>
  <c r="G531" i="1"/>
  <c r="H530" i="1"/>
  <c r="G530" i="1"/>
  <c r="H529" i="1"/>
  <c r="G529" i="1"/>
  <c r="H528" i="1"/>
  <c r="G528" i="1"/>
  <c r="H527" i="1"/>
  <c r="G527" i="1"/>
  <c r="H526" i="1"/>
  <c r="G526" i="1"/>
  <c r="H525" i="1"/>
  <c r="G525" i="1"/>
  <c r="H524" i="1"/>
  <c r="G524" i="1"/>
  <c r="H523" i="1"/>
  <c r="G523" i="1"/>
  <c r="H522" i="1"/>
  <c r="G522" i="1"/>
  <c r="H521" i="1"/>
  <c r="G521" i="1"/>
  <c r="H520" i="1"/>
  <c r="G520" i="1"/>
  <c r="H519" i="1"/>
  <c r="G519" i="1"/>
  <c r="H518" i="1"/>
  <c r="G518" i="1"/>
  <c r="H517" i="1"/>
  <c r="G517" i="1"/>
  <c r="H516" i="1"/>
  <c r="G516" i="1"/>
  <c r="H515" i="1"/>
  <c r="G515" i="1"/>
  <c r="H514" i="1"/>
  <c r="G514" i="1"/>
  <c r="H513" i="1"/>
  <c r="G513" i="1"/>
  <c r="H512" i="1"/>
  <c r="G512" i="1"/>
  <c r="H511" i="1"/>
  <c r="G511" i="1"/>
  <c r="H510" i="1"/>
  <c r="G510" i="1"/>
  <c r="H509" i="1"/>
  <c r="G509" i="1"/>
  <c r="H508" i="1"/>
  <c r="G508" i="1"/>
  <c r="H507" i="1"/>
  <c r="G507" i="1"/>
  <c r="H506" i="1"/>
  <c r="G506" i="1"/>
  <c r="H505" i="1"/>
  <c r="G505" i="1"/>
  <c r="H504" i="1"/>
  <c r="G504" i="1"/>
  <c r="H503" i="1"/>
  <c r="G503" i="1"/>
  <c r="H502" i="1"/>
  <c r="G502" i="1"/>
  <c r="H501" i="1"/>
  <c r="G501" i="1"/>
  <c r="H500" i="1"/>
  <c r="G500" i="1"/>
  <c r="H499" i="1"/>
  <c r="G499" i="1"/>
  <c r="H498" i="1"/>
  <c r="G498" i="1"/>
  <c r="H497" i="1"/>
  <c r="G497" i="1"/>
  <c r="H496" i="1"/>
  <c r="G496" i="1"/>
  <c r="H495" i="1"/>
  <c r="G495" i="1"/>
  <c r="H494" i="1"/>
  <c r="G494" i="1"/>
  <c r="H493" i="1"/>
  <c r="G493" i="1"/>
  <c r="H492" i="1"/>
  <c r="G492" i="1"/>
  <c r="H491" i="1"/>
  <c r="G491" i="1"/>
  <c r="H490" i="1"/>
  <c r="G490" i="1"/>
  <c r="H488" i="1"/>
  <c r="G488" i="1"/>
  <c r="H487" i="1"/>
  <c r="G487" i="1"/>
  <c r="H486" i="1"/>
  <c r="G486" i="1"/>
  <c r="H485" i="1"/>
  <c r="G485" i="1"/>
  <c r="H484" i="1"/>
  <c r="G484" i="1"/>
  <c r="H483" i="1"/>
  <c r="G483" i="1"/>
  <c r="H482" i="1"/>
  <c r="G482" i="1"/>
  <c r="H481" i="1"/>
  <c r="G481" i="1"/>
  <c r="H480" i="1"/>
  <c r="G480" i="1"/>
  <c r="H479" i="1"/>
  <c r="G479" i="1"/>
  <c r="H478" i="1"/>
  <c r="G478" i="1"/>
  <c r="H477" i="1"/>
  <c r="G477" i="1"/>
  <c r="H476" i="1"/>
  <c r="G476" i="1"/>
  <c r="H475" i="1"/>
  <c r="G475" i="1"/>
  <c r="H474" i="1"/>
  <c r="G474" i="1"/>
  <c r="H473" i="1"/>
  <c r="G473" i="1"/>
  <c r="H472" i="1"/>
  <c r="G472" i="1"/>
  <c r="H471" i="1"/>
  <c r="G471" i="1"/>
  <c r="H469" i="1"/>
  <c r="G469" i="1"/>
  <c r="H468" i="1"/>
  <c r="G468" i="1"/>
  <c r="H467" i="1"/>
  <c r="G467" i="1"/>
  <c r="H466" i="1"/>
  <c r="G466" i="1"/>
  <c r="H465" i="1"/>
  <c r="G465" i="1"/>
  <c r="H464" i="1"/>
  <c r="G464" i="1"/>
  <c r="H463" i="1"/>
  <c r="G463" i="1"/>
  <c r="H462" i="1"/>
  <c r="G462" i="1"/>
  <c r="H461" i="1"/>
  <c r="G461" i="1"/>
  <c r="H460" i="1"/>
  <c r="G460" i="1"/>
  <c r="H459" i="1"/>
  <c r="G459" i="1"/>
  <c r="H458" i="1"/>
  <c r="G458" i="1"/>
  <c r="H457" i="1"/>
  <c r="G457" i="1"/>
  <c r="H456" i="1"/>
  <c r="G456" i="1"/>
  <c r="H455" i="1"/>
  <c r="G455" i="1"/>
  <c r="H454" i="1"/>
  <c r="G454" i="1"/>
  <c r="H453" i="1"/>
  <c r="G453" i="1"/>
  <c r="H452" i="1"/>
  <c r="G452" i="1"/>
  <c r="H451" i="1"/>
  <c r="G451" i="1"/>
  <c r="H450" i="1"/>
  <c r="G450" i="1"/>
  <c r="H449" i="1"/>
  <c r="G449" i="1"/>
  <c r="H448" i="1"/>
  <c r="G448" i="1"/>
  <c r="H447" i="1"/>
  <c r="G447" i="1"/>
  <c r="H445" i="1"/>
  <c r="G445" i="1"/>
  <c r="H444" i="1"/>
  <c r="G444" i="1"/>
  <c r="H443" i="1"/>
  <c r="G443" i="1"/>
  <c r="H442" i="1"/>
  <c r="G442" i="1"/>
  <c r="H441" i="1"/>
  <c r="G441" i="1"/>
  <c r="H440" i="1"/>
  <c r="G440" i="1"/>
  <c r="H439" i="1"/>
  <c r="G439" i="1"/>
  <c r="H438" i="1"/>
  <c r="G438" i="1"/>
  <c r="H437" i="1"/>
  <c r="G437" i="1"/>
  <c r="H436" i="1"/>
  <c r="G436" i="1"/>
  <c r="H435" i="1"/>
  <c r="G435" i="1"/>
  <c r="H434" i="1"/>
  <c r="G434" i="1"/>
  <c r="H433" i="1"/>
  <c r="G433" i="1"/>
  <c r="H432" i="1"/>
  <c r="G432" i="1"/>
  <c r="H431" i="1"/>
  <c r="G431" i="1"/>
  <c r="H430" i="1"/>
  <c r="G430" i="1"/>
  <c r="H428" i="1"/>
  <c r="G428" i="1"/>
  <c r="H427" i="1"/>
  <c r="G427" i="1"/>
  <c r="H426" i="1"/>
  <c r="G426" i="1"/>
  <c r="H425" i="1"/>
  <c r="G425" i="1"/>
  <c r="H424" i="1"/>
  <c r="G424" i="1"/>
  <c r="H423" i="1"/>
  <c r="G423" i="1"/>
  <c r="H422" i="1"/>
  <c r="G422" i="1"/>
  <c r="H421" i="1"/>
  <c r="G421" i="1"/>
  <c r="H420" i="1"/>
  <c r="G420" i="1"/>
  <c r="H419" i="1"/>
  <c r="G419" i="1"/>
  <c r="H208" i="1"/>
  <c r="G208" i="1"/>
  <c r="H207" i="1"/>
  <c r="G207" i="1"/>
  <c r="H206" i="1"/>
  <c r="G206" i="1"/>
  <c r="H321" i="1"/>
  <c r="G321" i="1"/>
  <c r="H320" i="1"/>
  <c r="G320" i="1"/>
  <c r="H319" i="1"/>
  <c r="G319" i="1"/>
  <c r="H318" i="1"/>
  <c r="G318" i="1"/>
  <c r="H317" i="1"/>
  <c r="G317" i="1"/>
  <c r="H316" i="1"/>
  <c r="G316" i="1"/>
  <c r="H315" i="1"/>
  <c r="G315" i="1"/>
  <c r="H314" i="1"/>
  <c r="G314" i="1"/>
  <c r="H313" i="1"/>
  <c r="G313" i="1"/>
  <c r="H311" i="1"/>
  <c r="G311" i="1"/>
  <c r="H310" i="1"/>
  <c r="G310" i="1"/>
  <c r="H309" i="1"/>
  <c r="G309" i="1"/>
  <c r="H308" i="1"/>
  <c r="G308" i="1"/>
  <c r="H307" i="1"/>
  <c r="G307" i="1"/>
  <c r="H306" i="1"/>
  <c r="G306" i="1"/>
  <c r="H305" i="1"/>
  <c r="G305" i="1"/>
  <c r="H304" i="1"/>
  <c r="G304" i="1"/>
  <c r="H302" i="1"/>
  <c r="G302" i="1"/>
  <c r="H301" i="1"/>
  <c r="G301" i="1"/>
  <c r="H300" i="1"/>
  <c r="G300" i="1"/>
  <c r="H299" i="1"/>
  <c r="G299" i="1"/>
  <c r="H298" i="1"/>
  <c r="G298" i="1"/>
  <c r="H297" i="1"/>
  <c r="G297" i="1"/>
  <c r="H296" i="1"/>
  <c r="G296" i="1"/>
  <c r="H295" i="1"/>
  <c r="G295" i="1"/>
  <c r="H294" i="1"/>
  <c r="G294" i="1"/>
  <c r="H293" i="1"/>
  <c r="G293" i="1"/>
  <c r="H292" i="1"/>
  <c r="G292" i="1"/>
  <c r="H291" i="1"/>
  <c r="G291" i="1"/>
  <c r="H290" i="1"/>
  <c r="G290" i="1"/>
  <c r="H289" i="1"/>
  <c r="G289" i="1"/>
  <c r="H288" i="1"/>
  <c r="G288" i="1"/>
  <c r="H287" i="1"/>
  <c r="G287" i="1"/>
  <c r="H286" i="1"/>
  <c r="G286" i="1"/>
  <c r="H285" i="1"/>
  <c r="G285" i="1"/>
  <c r="H284" i="1"/>
  <c r="G284" i="1"/>
  <c r="H283" i="1"/>
  <c r="G283" i="1"/>
  <c r="H282" i="1"/>
  <c r="G282" i="1"/>
  <c r="H281" i="1"/>
  <c r="G281" i="1"/>
  <c r="H280" i="1"/>
  <c r="G280" i="1"/>
  <c r="H279" i="1"/>
  <c r="G279" i="1"/>
  <c r="H278" i="1"/>
  <c r="G278" i="1"/>
  <c r="H277" i="1"/>
  <c r="G277" i="1"/>
  <c r="H276" i="1"/>
  <c r="G276" i="1"/>
  <c r="H275" i="1"/>
  <c r="G275" i="1"/>
  <c r="H274" i="1"/>
  <c r="G274" i="1"/>
  <c r="H273" i="1"/>
  <c r="G273" i="1"/>
  <c r="H272" i="1"/>
  <c r="G272" i="1"/>
  <c r="H271" i="1"/>
  <c r="G271" i="1"/>
  <c r="H270" i="1"/>
  <c r="G270" i="1"/>
  <c r="H269" i="1"/>
  <c r="G269" i="1"/>
  <c r="H268" i="1"/>
  <c r="G268" i="1"/>
  <c r="H267" i="1"/>
  <c r="G267" i="1"/>
  <c r="H266" i="1"/>
  <c r="G266" i="1"/>
  <c r="H265" i="1"/>
  <c r="G265" i="1"/>
  <c r="H264" i="1"/>
  <c r="G264" i="1"/>
  <c r="H263" i="1"/>
  <c r="G263" i="1"/>
  <c r="H262" i="1"/>
  <c r="G262" i="1"/>
  <c r="H261" i="1"/>
  <c r="G261" i="1"/>
  <c r="H260" i="1"/>
  <c r="G260" i="1"/>
  <c r="H259" i="1"/>
  <c r="G259" i="1"/>
  <c r="H258" i="1"/>
  <c r="G258" i="1"/>
  <c r="H257" i="1"/>
  <c r="G257" i="1"/>
  <c r="H256" i="1"/>
  <c r="G256" i="1"/>
  <c r="H255" i="1"/>
  <c r="G255" i="1"/>
  <c r="H254" i="1"/>
  <c r="G254" i="1"/>
  <c r="H253" i="1"/>
  <c r="G253" i="1"/>
  <c r="H252" i="1"/>
  <c r="G252" i="1"/>
  <c r="H251" i="1"/>
  <c r="G251" i="1"/>
  <c r="H250" i="1"/>
  <c r="G250" i="1"/>
  <c r="H249" i="1"/>
  <c r="G249" i="1"/>
  <c r="H248" i="1"/>
  <c r="G248" i="1"/>
  <c r="H247" i="1"/>
  <c r="G247" i="1"/>
  <c r="H246" i="1"/>
  <c r="G246" i="1"/>
  <c r="H245" i="1"/>
  <c r="G245" i="1"/>
  <c r="H244" i="1"/>
  <c r="G244" i="1"/>
  <c r="H243" i="1"/>
  <c r="G243" i="1"/>
  <c r="H242" i="1"/>
  <c r="G242" i="1"/>
  <c r="H241" i="1"/>
  <c r="G241" i="1"/>
  <c r="H240" i="1"/>
  <c r="G240" i="1"/>
  <c r="H239" i="1"/>
  <c r="G239" i="1"/>
  <c r="H238" i="1"/>
  <c r="G238" i="1"/>
  <c r="H237" i="1"/>
  <c r="G237" i="1"/>
  <c r="H236" i="1"/>
  <c r="G236" i="1"/>
  <c r="H235" i="1"/>
  <c r="G235" i="1"/>
  <c r="H234" i="1"/>
  <c r="G234" i="1"/>
  <c r="H233" i="1"/>
  <c r="G233" i="1"/>
  <c r="H232" i="1"/>
  <c r="G232" i="1"/>
  <c r="H231" i="1"/>
  <c r="G231" i="1"/>
  <c r="H230" i="1"/>
  <c r="G230" i="1"/>
  <c r="H229" i="1"/>
  <c r="G229" i="1"/>
  <c r="H202" i="1"/>
  <c r="G202" i="1"/>
  <c r="H201" i="1"/>
  <c r="G201" i="1"/>
  <c r="H200" i="1"/>
  <c r="G200" i="1"/>
  <c r="H199" i="1"/>
  <c r="G199" i="1"/>
  <c r="H198" i="1"/>
  <c r="G198" i="1"/>
  <c r="H197" i="1"/>
  <c r="G197" i="1"/>
  <c r="H196" i="1"/>
  <c r="G196" i="1"/>
  <c r="H195" i="1"/>
  <c r="G195" i="1"/>
  <c r="H194" i="1"/>
  <c r="G194" i="1"/>
  <c r="H192" i="1"/>
  <c r="G192" i="1"/>
  <c r="H191" i="1"/>
  <c r="G191" i="1"/>
  <c r="H190" i="1"/>
  <c r="G190" i="1"/>
  <c r="H189" i="1"/>
  <c r="G189" i="1"/>
  <c r="H188" i="1"/>
  <c r="G188" i="1"/>
  <c r="H187" i="1"/>
  <c r="G187" i="1"/>
  <c r="H186" i="1"/>
  <c r="G186" i="1"/>
  <c r="H185" i="1"/>
  <c r="G185" i="1"/>
  <c r="G183" i="1"/>
  <c r="H182" i="1"/>
  <c r="G182" i="1"/>
  <c r="H181" i="1"/>
  <c r="G181" i="1"/>
  <c r="H180" i="1"/>
  <c r="G180" i="1"/>
  <c r="H179" i="1"/>
  <c r="G179" i="1"/>
  <c r="H178" i="1"/>
  <c r="G178" i="1"/>
  <c r="H177" i="1"/>
  <c r="G177" i="1"/>
  <c r="H176" i="1"/>
  <c r="G176" i="1"/>
  <c r="H175" i="1"/>
  <c r="G175" i="1"/>
  <c r="H174" i="1"/>
  <c r="G174" i="1"/>
  <c r="H173" i="1"/>
  <c r="G173" i="1"/>
  <c r="H172" i="1"/>
  <c r="G172" i="1"/>
  <c r="H171" i="1"/>
  <c r="G171" i="1"/>
  <c r="H170" i="1"/>
  <c r="G170" i="1"/>
  <c r="H169" i="1"/>
  <c r="G169" i="1"/>
  <c r="H168" i="1"/>
  <c r="G168" i="1"/>
  <c r="H167" i="1"/>
  <c r="G167" i="1"/>
  <c r="H166" i="1"/>
  <c r="G166" i="1"/>
  <c r="H165" i="1"/>
  <c r="G165" i="1"/>
  <c r="H164" i="1"/>
  <c r="G164" i="1"/>
  <c r="H163" i="1"/>
  <c r="G163" i="1"/>
  <c r="H162" i="1"/>
  <c r="G162" i="1"/>
  <c r="H161" i="1"/>
  <c r="G161" i="1"/>
  <c r="H160" i="1"/>
  <c r="G160" i="1"/>
  <c r="H159" i="1"/>
  <c r="G159" i="1"/>
  <c r="H158" i="1"/>
  <c r="G158" i="1"/>
  <c r="H157" i="1"/>
  <c r="G157" i="1"/>
  <c r="H156" i="1"/>
  <c r="G156" i="1"/>
  <c r="H155" i="1"/>
  <c r="G155" i="1"/>
  <c r="H154" i="1"/>
  <c r="G154" i="1"/>
  <c r="H153" i="1"/>
  <c r="G153" i="1"/>
  <c r="H152" i="1"/>
  <c r="G152" i="1"/>
  <c r="H151" i="1"/>
  <c r="G151" i="1"/>
  <c r="H150" i="1"/>
  <c r="G150" i="1"/>
  <c r="H149" i="1"/>
  <c r="G149" i="1"/>
  <c r="H148" i="1"/>
  <c r="G148" i="1"/>
  <c r="H147" i="1"/>
  <c r="G147" i="1"/>
  <c r="H146" i="1"/>
  <c r="G146" i="1"/>
  <c r="H145" i="1"/>
  <c r="G145" i="1"/>
  <c r="H144" i="1"/>
  <c r="G144" i="1"/>
  <c r="H143" i="1"/>
  <c r="G143" i="1"/>
  <c r="H142" i="1"/>
  <c r="G142" i="1"/>
  <c r="H141" i="1"/>
  <c r="G141" i="1"/>
  <c r="H140" i="1"/>
  <c r="G140" i="1"/>
  <c r="H139" i="1"/>
  <c r="G139" i="1"/>
  <c r="H138" i="1"/>
  <c r="G138" i="1"/>
  <c r="H137" i="1"/>
  <c r="G137" i="1"/>
  <c r="H136" i="1"/>
  <c r="G136" i="1"/>
  <c r="H135" i="1"/>
  <c r="G135" i="1"/>
  <c r="H134" i="1"/>
  <c r="G134" i="1"/>
  <c r="H133" i="1"/>
  <c r="G133" i="1"/>
  <c r="H132" i="1"/>
  <c r="G132" i="1"/>
  <c r="H131" i="1"/>
  <c r="G131" i="1"/>
  <c r="H130" i="1"/>
  <c r="G130" i="1"/>
  <c r="H129" i="1"/>
  <c r="G129" i="1"/>
  <c r="H128" i="1"/>
  <c r="G128" i="1"/>
  <c r="H127" i="1"/>
  <c r="G127" i="1"/>
  <c r="H126" i="1"/>
  <c r="G126" i="1"/>
  <c r="H125" i="1"/>
  <c r="G125" i="1"/>
  <c r="H124" i="1"/>
  <c r="G124" i="1"/>
  <c r="H123" i="1"/>
  <c r="G123" i="1"/>
  <c r="H122" i="1"/>
  <c r="G122" i="1"/>
  <c r="H121" i="1"/>
  <c r="G121" i="1"/>
  <c r="H120" i="1"/>
  <c r="G120" i="1"/>
  <c r="H119" i="1"/>
  <c r="G119" i="1"/>
  <c r="H118" i="1"/>
  <c r="G118" i="1"/>
  <c r="H117" i="1"/>
  <c r="G117" i="1"/>
  <c r="H116" i="1"/>
  <c r="G116" i="1"/>
  <c r="H115" i="1"/>
  <c r="G115" i="1"/>
  <c r="H114" i="1"/>
  <c r="G114" i="1"/>
  <c r="H113" i="1"/>
  <c r="G113" i="1"/>
  <c r="H112" i="1"/>
  <c r="G112" i="1"/>
  <c r="H111" i="1"/>
  <c r="G111" i="1"/>
  <c r="H110" i="1"/>
  <c r="G110" i="1"/>
  <c r="H106" i="1"/>
  <c r="H105" i="1"/>
  <c r="H104" i="1"/>
  <c r="H103" i="1"/>
  <c r="H102" i="1"/>
  <c r="H101" i="1"/>
  <c r="H100" i="1"/>
  <c r="H99" i="1"/>
  <c r="H98" i="1"/>
  <c r="H96" i="1"/>
  <c r="H95" i="1"/>
  <c r="H94" i="1"/>
  <c r="H93" i="1"/>
  <c r="H92" i="1"/>
  <c r="H91" i="1"/>
  <c r="H90" i="1"/>
  <c r="H89"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2" i="1"/>
  <c r="H30" i="1"/>
  <c r="H31" i="1"/>
  <c r="H29" i="1"/>
  <c r="H27" i="1"/>
  <c r="H28" i="1"/>
  <c r="H26" i="1"/>
  <c r="H24" i="1"/>
  <c r="H25" i="1"/>
  <c r="H23" i="1"/>
  <c r="H21" i="1"/>
  <c r="H22" i="1"/>
  <c r="H20" i="1"/>
  <c r="H18" i="1"/>
  <c r="H19" i="1"/>
  <c r="H17" i="1"/>
  <c r="H15" i="1"/>
  <c r="H16" i="1"/>
  <c r="H14" i="1"/>
  <c r="G106" i="1"/>
  <c r="G105" i="1"/>
  <c r="G104" i="1"/>
  <c r="G103" i="1"/>
  <c r="G102" i="1"/>
  <c r="G101" i="1"/>
  <c r="G100" i="1"/>
  <c r="G99" i="1"/>
  <c r="G98" i="1"/>
  <c r="G96" i="1"/>
  <c r="G95" i="1"/>
  <c r="G94" i="1"/>
  <c r="G93" i="1"/>
  <c r="G92" i="1"/>
  <c r="G91" i="1"/>
  <c r="G90" i="1"/>
  <c r="G89"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0" i="1"/>
  <c r="G31" i="1"/>
  <c r="G29" i="1"/>
  <c r="G27" i="1"/>
  <c r="G28" i="1"/>
  <c r="G26" i="1"/>
  <c r="G24" i="1"/>
  <c r="G25" i="1"/>
  <c r="G23" i="1"/>
  <c r="G21" i="1"/>
  <c r="G22" i="1"/>
  <c r="G20" i="1"/>
  <c r="G18" i="1"/>
  <c r="G19" i="1"/>
  <c r="G17" i="1"/>
  <c r="G15" i="1"/>
  <c r="G16" i="1"/>
  <c r="G14" i="1"/>
  <c r="G12" i="1"/>
  <c r="G11" i="1"/>
  <c r="G10" i="1"/>
  <c r="G9" i="1"/>
  <c r="G8" i="1"/>
  <c r="G7" i="1"/>
  <c r="G6" i="1"/>
  <c r="H33" i="1"/>
  <c r="H323" i="1"/>
  <c r="G323" i="1"/>
  <c r="J99" i="1"/>
  <c r="J34" i="1"/>
  <c r="J14" i="1"/>
  <c r="J46" i="1"/>
  <c r="J82" i="1"/>
  <c r="J26" i="1"/>
  <c r="J72" i="1"/>
  <c r="J56" i="1"/>
  <c r="J55" i="1"/>
  <c r="J39" i="1"/>
  <c r="J18" i="1"/>
  <c r="J38" i="1"/>
  <c r="J100" i="1"/>
  <c r="J94" i="1"/>
  <c r="J90" i="1"/>
  <c r="J73" i="1"/>
  <c r="J37" i="1"/>
  <c r="J17" i="1"/>
  <c r="J71" i="1"/>
  <c r="J54" i="1"/>
  <c r="J19" i="1"/>
  <c r="J76" i="1"/>
  <c r="J40" i="1"/>
  <c r="J20" i="1"/>
  <c r="J75" i="1"/>
  <c r="J101" i="1"/>
  <c r="J74" i="1"/>
  <c r="J21" i="1"/>
  <c r="J57" i="1"/>
  <c r="J41" i="1"/>
  <c r="J22" i="1"/>
  <c r="J59" i="1"/>
  <c r="J95" i="1"/>
  <c r="J91" i="1"/>
  <c r="J58" i="1"/>
  <c r="J42" i="1"/>
  <c r="J52" i="1"/>
  <c r="J32" i="1"/>
  <c r="J86" i="1"/>
  <c r="J69" i="1"/>
  <c r="J53" i="1"/>
  <c r="J33" i="1"/>
  <c r="J106" i="1"/>
  <c r="J87" i="1"/>
  <c r="J70" i="1"/>
  <c r="J84" i="1"/>
  <c r="J68" i="1"/>
  <c r="J67" i="1"/>
  <c r="J30" i="1"/>
  <c r="J66" i="1"/>
  <c r="J50" i="1"/>
  <c r="J31" i="1"/>
  <c r="J104" i="1"/>
  <c r="J85" i="1"/>
  <c r="J49" i="1"/>
  <c r="J29" i="1"/>
  <c r="J83" i="1"/>
  <c r="J51" i="1"/>
  <c r="J105" i="1"/>
  <c r="J62" i="1"/>
  <c r="J16" i="1"/>
  <c r="J23" i="1"/>
  <c r="J28" i="1"/>
  <c r="J35" i="1"/>
  <c r="J43" i="1"/>
  <c r="J63" i="1"/>
  <c r="J79" i="1"/>
  <c r="J96" i="1"/>
  <c r="J24" i="1"/>
  <c r="J45" i="1"/>
  <c r="J61" i="1"/>
  <c r="J65" i="1"/>
  <c r="J77" i="1"/>
  <c r="J81" i="1"/>
  <c r="J78" i="1"/>
  <c r="J47" i="1"/>
  <c r="J92" i="1"/>
  <c r="J102" i="1"/>
  <c r="J15" i="1"/>
  <c r="J25" i="1"/>
  <c r="J27" i="1"/>
  <c r="J36" i="1"/>
  <c r="J44" i="1"/>
  <c r="J48" i="1"/>
  <c r="J64" i="1"/>
  <c r="J80" i="1"/>
  <c r="J89" i="1"/>
  <c r="J93" i="1"/>
  <c r="Z111" i="1"/>
  <c r="AF6" i="1"/>
  <c r="AG6" i="1"/>
  <c r="AH6" i="1"/>
  <c r="Z113" i="1"/>
  <c r="AA113" i="1"/>
  <c r="Z114" i="1"/>
  <c r="AA114" i="1"/>
  <c r="Z115" i="1"/>
  <c r="AA115" i="1"/>
  <c r="Z116" i="1"/>
  <c r="AA116" i="1"/>
  <c r="Z117" i="1"/>
  <c r="AA117" i="1"/>
  <c r="Z118" i="1"/>
  <c r="AA118" i="1"/>
  <c r="Z119" i="1"/>
  <c r="AA119" i="1"/>
  <c r="Z120" i="1"/>
  <c r="AA120" i="1"/>
  <c r="Z121" i="1"/>
  <c r="AA121" i="1"/>
  <c r="AA122" i="1"/>
  <c r="Z123" i="1"/>
  <c r="AA123" i="1"/>
  <c r="Z132" i="1"/>
  <c r="AA132" i="1"/>
  <c r="Z122" i="1"/>
  <c r="Y64" i="6"/>
  <c r="AK108" i="6"/>
  <c r="Z108" i="6" s="1"/>
  <c r="G1015" i="6" s="1"/>
  <c r="B1015" i="6"/>
  <c r="G364" i="6"/>
  <c r="B374" i="6" s="1"/>
  <c r="C337" i="6"/>
  <c r="C327" i="6"/>
  <c r="C317" i="6"/>
  <c r="C307" i="6"/>
  <c r="C297" i="6"/>
  <c r="G591" i="6"/>
  <c r="V364" i="6"/>
  <c r="L374" i="6" s="1"/>
  <c r="AB175" i="6"/>
  <c r="AF175" i="6"/>
  <c r="T175" i="6"/>
  <c r="P175" i="6"/>
  <c r="X175" i="6"/>
  <c r="L175" i="6"/>
  <c r="AE505" i="6"/>
  <c r="Z505" i="6"/>
  <c r="P505" i="6"/>
  <c r="W480" i="6"/>
  <c r="G427" i="6"/>
  <c r="B364" i="6"/>
  <c r="L369" i="6"/>
  <c r="Q369" i="6"/>
  <c r="L427" i="6"/>
  <c r="B591" i="6"/>
  <c r="K505" i="6"/>
  <c r="AA563" i="6"/>
  <c r="B547" i="6"/>
  <c r="B410" i="6"/>
  <c r="M480" i="6"/>
  <c r="AB480" i="6"/>
  <c r="B995" i="6"/>
  <c r="AD995" i="6" s="1"/>
  <c r="B996" i="6"/>
  <c r="AD996" i="6" s="1"/>
  <c r="B994" i="6"/>
  <c r="AA3" i="6"/>
  <c r="AA6" i="6" s="1"/>
  <c r="E19" i="4"/>
  <c r="P8" i="4"/>
  <c r="P9" i="4"/>
  <c r="P10" i="4"/>
  <c r="P11" i="4"/>
  <c r="P12" i="4"/>
  <c r="P13" i="4"/>
  <c r="P14" i="4"/>
  <c r="P15" i="4"/>
  <c r="P16" i="4"/>
  <c r="P17" i="4"/>
  <c r="K7" i="4"/>
  <c r="P7" i="4"/>
  <c r="O8" i="4"/>
  <c r="O9" i="4"/>
  <c r="O10" i="4"/>
  <c r="O11" i="4"/>
  <c r="O12" i="4"/>
  <c r="O13" i="4"/>
  <c r="O14" i="4"/>
  <c r="O15" i="4"/>
  <c r="O16" i="4"/>
  <c r="O17" i="4"/>
  <c r="H7" i="4"/>
  <c r="L7" i="4"/>
  <c r="M7" i="4"/>
  <c r="O7" i="4"/>
  <c r="M8" i="4"/>
  <c r="M9" i="4"/>
  <c r="M10" i="4"/>
  <c r="M11" i="4"/>
  <c r="M12" i="4"/>
  <c r="M13" i="4"/>
  <c r="M14" i="4"/>
  <c r="M15" i="4"/>
  <c r="M16" i="4"/>
  <c r="M17" i="4"/>
  <c r="L8" i="4"/>
  <c r="L9" i="4"/>
  <c r="L10" i="4"/>
  <c r="L11" i="4"/>
  <c r="L12" i="4"/>
  <c r="L13" i="4"/>
  <c r="L14" i="4"/>
  <c r="L15" i="4"/>
  <c r="L16" i="4"/>
  <c r="L17" i="4"/>
  <c r="K8" i="4"/>
  <c r="K9" i="4"/>
  <c r="K10" i="4"/>
  <c r="K11" i="4"/>
  <c r="K12" i="4"/>
  <c r="K13" i="4"/>
  <c r="K14" i="4"/>
  <c r="K15" i="4"/>
  <c r="K16" i="4"/>
  <c r="K17" i="4"/>
  <c r="H8" i="4"/>
  <c r="H9" i="4"/>
  <c r="H10" i="4"/>
  <c r="H11" i="4"/>
  <c r="H12" i="4"/>
  <c r="H13" i="4"/>
  <c r="H14" i="4"/>
  <c r="H15" i="4"/>
  <c r="H16" i="4"/>
  <c r="H17" i="4"/>
  <c r="AB217" i="6"/>
  <c r="AB218" i="6"/>
  <c r="CM215" i="6" l="1"/>
  <c r="CM214" i="6"/>
  <c r="Z115" i="6"/>
  <c r="G505" i="6"/>
  <c r="I510" i="6" s="1"/>
  <c r="N510" i="6" s="1"/>
  <c r="B515" i="6" s="1"/>
  <c r="G515" i="6" s="1"/>
  <c r="L515" i="6" s="1"/>
  <c r="S389" i="6" s="1"/>
  <c r="G430" i="6"/>
  <c r="CM216" i="6"/>
  <c r="B369" i="6"/>
  <c r="Q374" i="6"/>
  <c r="J599" i="6"/>
  <c r="L364" i="6"/>
  <c r="G369" i="6" s="1"/>
  <c r="L483" i="6"/>
  <c r="F488" i="6" s="1"/>
  <c r="L547" i="6"/>
  <c r="S522" i="6" s="1"/>
  <c r="DT244" i="6"/>
  <c r="DO241" i="6"/>
  <c r="DP264" i="6"/>
  <c r="DP255" i="6"/>
  <c r="H480" i="6"/>
  <c r="V488" i="6" s="1"/>
  <c r="DO263" i="6"/>
  <c r="G594" i="6"/>
  <c r="DP239" i="6"/>
  <c r="DO247" i="6"/>
  <c r="DP267" i="6"/>
  <c r="DP223" i="6"/>
  <c r="DO235" i="6"/>
  <c r="P176" i="6"/>
  <c r="L176" i="6" s="1"/>
  <c r="P213" i="6"/>
  <c r="DR213" i="6" s="1"/>
  <c r="DO279" i="6"/>
  <c r="P216" i="6"/>
  <c r="DO216" i="6" s="1"/>
  <c r="DP251" i="6"/>
  <c r="DO275" i="6"/>
  <c r="DO259" i="6"/>
  <c r="DO243" i="6"/>
  <c r="DO231" i="6"/>
  <c r="P215" i="6"/>
  <c r="DR215" i="6" s="1"/>
  <c r="DO271" i="6"/>
  <c r="DO227" i="6"/>
  <c r="P214" i="6"/>
  <c r="DR214" i="6" s="1"/>
  <c r="V568" i="6"/>
  <c r="B573" i="6" s="1"/>
  <c r="DO234" i="6"/>
  <c r="DP266" i="6"/>
  <c r="DO274" i="6"/>
  <c r="DO262" i="6"/>
  <c r="DO254" i="6"/>
  <c r="DO246" i="6"/>
  <c r="DO222" i="6"/>
  <c r="DO282" i="6"/>
  <c r="DO238" i="6"/>
  <c r="DO230" i="6"/>
  <c r="DO258" i="6"/>
  <c r="DO250" i="6"/>
  <c r="DO242" i="6"/>
  <c r="DO218" i="6"/>
  <c r="DO245" i="6"/>
  <c r="DO229" i="6"/>
  <c r="DO217" i="6"/>
  <c r="DO261" i="6"/>
  <c r="DO249" i="6"/>
  <c r="DO233" i="6"/>
  <c r="DO221" i="6"/>
  <c r="DO265" i="6"/>
  <c r="DO253" i="6"/>
  <c r="DO237" i="6"/>
  <c r="DO225" i="6"/>
  <c r="DP240" i="6"/>
  <c r="DO278" i="6"/>
  <c r="DO270" i="6"/>
  <c r="DO257" i="6"/>
  <c r="DO224" i="6"/>
  <c r="DO220" i="6"/>
  <c r="DP248" i="6"/>
  <c r="DP256" i="6"/>
  <c r="DP268" i="6"/>
  <c r="DP232" i="6"/>
  <c r="DO281" i="6"/>
  <c r="DO277" i="6"/>
  <c r="DO273" i="6"/>
  <c r="DO269" i="6"/>
  <c r="DO260" i="6"/>
  <c r="DO252" i="6"/>
  <c r="DO244" i="6"/>
  <c r="DO236" i="6"/>
  <c r="DO228" i="6"/>
  <c r="DO280" i="6"/>
  <c r="DO276" i="6"/>
  <c r="DO272" i="6"/>
  <c r="DO226" i="6"/>
  <c r="DR278" i="6"/>
  <c r="DR256" i="6"/>
  <c r="DR246" i="6"/>
  <c r="DR224" i="6"/>
  <c r="DR218" i="6"/>
  <c r="DR272" i="6"/>
  <c r="DR262" i="6"/>
  <c r="DR240" i="6"/>
  <c r="DR230" i="6"/>
  <c r="DR260" i="6"/>
  <c r="DR250" i="6"/>
  <c r="DR244" i="6"/>
  <c r="DR270" i="6"/>
  <c r="DR254" i="6"/>
  <c r="DR238" i="6"/>
  <c r="DR222" i="6"/>
  <c r="DR276" i="6"/>
  <c r="DR228" i="6"/>
  <c r="DT257" i="6"/>
  <c r="DT231" i="6"/>
  <c r="DT275" i="6"/>
  <c r="DT269" i="6"/>
  <c r="DT253" i="6"/>
  <c r="DT243" i="6"/>
  <c r="DT227" i="6"/>
  <c r="DT265" i="6"/>
  <c r="DT249" i="6"/>
  <c r="DT223" i="6"/>
  <c r="DT261" i="6"/>
  <c r="DT245" i="6"/>
  <c r="DT235" i="6"/>
  <c r="DT219" i="6"/>
  <c r="DT279" i="6"/>
  <c r="DT241" i="6"/>
  <c r="DT233" i="6"/>
  <c r="DT225" i="6"/>
  <c r="DT273" i="6"/>
  <c r="DT281" i="6"/>
  <c r="B1020" i="6"/>
  <c r="G1020" i="6" s="1"/>
  <c r="B1025" i="6" s="1"/>
  <c r="X975" i="6" s="1"/>
  <c r="X994" i="6" s="1"/>
  <c r="AD994" i="6" s="1"/>
  <c r="DT228" i="6"/>
  <c r="DT218" i="6"/>
  <c r="DT260" i="6"/>
  <c r="DT264" i="6"/>
  <c r="DT248" i="6"/>
  <c r="DT232" i="6"/>
  <c r="DT276" i="6"/>
  <c r="DT278" i="6"/>
  <c r="DT268" i="6"/>
  <c r="DT252" i="6"/>
  <c r="DT236" i="6"/>
  <c r="DT220" i="6"/>
  <c r="DT272" i="6"/>
  <c r="DT282" i="6"/>
  <c r="DT256" i="6"/>
  <c r="DT240" i="6"/>
  <c r="DT224" i="6"/>
  <c r="DT280" i="6"/>
  <c r="S387" i="6"/>
  <c r="Q364" i="6"/>
  <c r="I378" i="6" s="1"/>
  <c r="U505" i="6"/>
  <c r="V599" i="6"/>
  <c r="N488" i="6" l="1"/>
  <c r="G410" i="6"/>
  <c r="L410" i="6" s="1"/>
  <c r="B488" i="6"/>
  <c r="B435" i="6"/>
  <c r="DO213" i="6"/>
  <c r="B607" i="6"/>
  <c r="AH599" i="6"/>
  <c r="Z599" i="6"/>
  <c r="AA493" i="6"/>
  <c r="AA547" i="6"/>
  <c r="AA410" i="6"/>
  <c r="AA440" i="6"/>
  <c r="AA462" i="6"/>
  <c r="V462" i="6" s="1"/>
  <c r="Y387" i="6" s="1"/>
  <c r="AF387" i="6" s="1"/>
  <c r="AA573" i="6"/>
  <c r="AA629" i="6"/>
  <c r="AF607" i="6"/>
  <c r="AA515" i="6"/>
  <c r="G573" i="6"/>
  <c r="Q573" i="6"/>
  <c r="L573" i="6"/>
  <c r="S523" i="6" s="1"/>
  <c r="DR216" i="6"/>
  <c r="T186" i="6" s="1"/>
  <c r="DO214" i="6"/>
  <c r="Q186" i="6" s="1"/>
  <c r="S196" i="6"/>
  <c r="L185" i="6"/>
  <c r="Q515" i="6" s="1"/>
  <c r="M389" i="6" s="1"/>
  <c r="T185" i="6"/>
  <c r="G483" i="6" s="1"/>
  <c r="L186" i="6"/>
  <c r="DO215" i="6"/>
  <c r="Z378" i="6"/>
  <c r="R378" i="6"/>
  <c r="B378" i="6"/>
  <c r="M387" i="6"/>
  <c r="N435" i="6" l="1"/>
  <c r="R435" i="6"/>
  <c r="Q563" i="6"/>
  <c r="S385" i="6"/>
  <c r="V435" i="6"/>
  <c r="Z435" i="6"/>
  <c r="Q410" i="6"/>
  <c r="M385" i="6" s="1"/>
  <c r="Q493" i="6"/>
  <c r="M388" i="6" s="1"/>
  <c r="V573" i="6"/>
  <c r="Y523" i="6" s="1"/>
  <c r="AF523" i="6" s="1"/>
  <c r="M523" i="6"/>
  <c r="Q185" i="6"/>
  <c r="B483" i="6" s="1"/>
  <c r="J488" i="6" s="1"/>
  <c r="L563" i="6"/>
  <c r="V515" i="6"/>
  <c r="Y389" i="6" s="1"/>
  <c r="AF389" i="6" s="1"/>
  <c r="P196" i="6"/>
  <c r="V427" i="6"/>
  <c r="V410" i="6" l="1"/>
  <c r="Y385" i="6" s="1"/>
  <c r="AF385" i="6" s="1"/>
  <c r="AA488" i="6"/>
  <c r="B493" i="6" s="1"/>
  <c r="L619" i="6" s="1"/>
  <c r="Q427" i="6"/>
  <c r="J435" i="6" s="1"/>
  <c r="AE435" i="6" s="1"/>
  <c r="B440" i="6" s="1"/>
  <c r="G619" i="6" l="1"/>
  <c r="B624" i="6" s="1"/>
  <c r="G624" i="6" s="1"/>
  <c r="B629" i="6" s="1"/>
  <c r="G629" i="6" s="1"/>
  <c r="L629" i="6" s="1"/>
  <c r="G493" i="6"/>
  <c r="L493" i="6" s="1"/>
  <c r="S388" i="6" s="1"/>
  <c r="Q440" i="6"/>
  <c r="M386" i="6" s="1"/>
  <c r="G440" i="6"/>
  <c r="L440" i="6" s="1"/>
  <c r="V493" i="6" l="1"/>
  <c r="Y388" i="6" s="1"/>
  <c r="AF388" i="6" s="1"/>
  <c r="S386" i="6"/>
  <c r="T213" i="6" l="1"/>
  <c r="X213" i="6"/>
  <c r="T215" i="6"/>
  <c r="X215" i="6"/>
  <c r="T216" i="6"/>
  <c r="X216" i="6"/>
  <c r="T214" i="6"/>
  <c r="X214" i="6"/>
  <c r="S525" i="6"/>
  <c r="V440" i="6"/>
  <c r="Y386" i="6" s="1"/>
  <c r="AF386" i="6" s="1"/>
  <c r="AA301" i="6" l="1"/>
  <c r="AF301" i="6" s="1"/>
  <c r="B637" i="6"/>
  <c r="L188" i="6"/>
  <c r="L594" i="6"/>
  <c r="O301" i="6" l="1"/>
  <c r="U301" i="6"/>
  <c r="AB213" i="6" l="1"/>
  <c r="AB216" i="6"/>
  <c r="AB215" i="6"/>
  <c r="L187" i="6"/>
  <c r="AB214" i="6"/>
  <c r="R599" i="6" l="1"/>
  <c r="S198" i="6"/>
  <c r="Q629" i="6" s="1"/>
  <c r="P198" i="6" l="1"/>
  <c r="Q547" i="6"/>
  <c r="V547" i="6"/>
  <c r="Y522" i="6" s="1"/>
  <c r="M522" i="6"/>
  <c r="M525" i="6"/>
  <c r="V629" i="6"/>
  <c r="Y525" i="6" s="1"/>
  <c r="AF525" i="6" s="1"/>
  <c r="AF522" i="6" l="1"/>
  <c r="G607" i="6"/>
  <c r="Q607" i="6" s="1"/>
  <c r="L607" i="6"/>
  <c r="S524" i="6" s="1"/>
  <c r="V607" i="6" l="1"/>
  <c r="AA607" i="6" s="1"/>
  <c r="Y524" i="6" s="1"/>
  <c r="M524" i="6"/>
  <c r="G637" i="6" l="1"/>
  <c r="B642" i="6" s="1"/>
  <c r="B647" i="6" s="1"/>
  <c r="AF524" i="6"/>
  <c r="AA302" i="6"/>
  <c r="AF302" i="6" l="1"/>
  <c r="O302" i="6"/>
  <c r="U302" i="6"/>
  <c r="I642" i="6"/>
  <c r="G647" i="6" l="1"/>
  <c r="AA303" i="6"/>
  <c r="AF303" i="6" s="1"/>
</calcChain>
</file>

<file path=xl/comments1.xml><?xml version="1.0" encoding="utf-8"?>
<comments xmlns="http://schemas.openxmlformats.org/spreadsheetml/2006/main">
  <authors>
    <author>Juan Camilo Torres</author>
  </authors>
  <commentList>
    <comment ref="B17" authorId="0" shapeId="0">
      <text>
        <r>
          <rPr>
            <b/>
            <sz val="9"/>
            <color indexed="81"/>
            <rFont val="Tahoma"/>
            <family val="2"/>
          </rPr>
          <t>Descripción detallada de la información contenida o incluida en el reporte. Se recomienda indicar los nombres de archivos o referencias suministradas, recomendadas o exigidas por el cliente.</t>
        </r>
      </text>
    </comment>
    <comment ref="V64" authorId="0" shapeId="0">
      <text>
        <r>
          <rPr>
            <b/>
            <sz val="9"/>
            <color indexed="81"/>
            <rFont val="Tahoma"/>
            <family val="2"/>
          </rPr>
          <t>Se debe ingresar el valor sólo en número.
(Los valores menores a 6 se asumen en pulgadas; los valores mayores o iguales a 6 se asumen en mm)</t>
        </r>
      </text>
    </comment>
    <comment ref="Z69" authorId="0" shapeId="0">
      <text>
        <r>
          <rPr>
            <b/>
            <sz val="9"/>
            <color indexed="81"/>
            <rFont val="Tahoma"/>
            <family val="2"/>
          </rPr>
          <t>Entre 4 y 20 veces el diámetro según ACI 318.
Estos valores pueden variar en función del producto especificado.
Consultar el ESR respectivo</t>
        </r>
      </text>
    </comment>
    <comment ref="R974" authorId="0" shapeId="0">
      <text>
        <r>
          <rPr>
            <b/>
            <sz val="9"/>
            <color indexed="81"/>
            <rFont val="Tahoma"/>
            <family val="2"/>
          </rPr>
          <t>Los # de item Hilti se deben ingresar manualmente para facilitar la cotización de los elementos.</t>
        </r>
      </text>
    </comment>
  </commentList>
</comments>
</file>

<file path=xl/comments2.xml><?xml version="1.0" encoding="utf-8"?>
<comments xmlns="http://schemas.openxmlformats.org/spreadsheetml/2006/main">
  <authors>
    <author>Juan Camilo Torres Cedano</author>
  </authors>
  <commentList>
    <comment ref="B17" authorId="0" shapeId="0">
      <text>
        <r>
          <rPr>
            <b/>
            <sz val="9"/>
            <color indexed="81"/>
            <rFont val="Tahoma"/>
            <family val="2"/>
          </rPr>
          <t>Para agregar nuevos sellos u obras de sellamiento, copie e inserte las tres filas de este formato.</t>
        </r>
      </text>
    </comment>
  </commentList>
</comments>
</file>

<file path=xl/sharedStrings.xml><?xml version="1.0" encoding="utf-8"?>
<sst xmlns="http://schemas.openxmlformats.org/spreadsheetml/2006/main" count="3039" uniqueCount="1043">
  <si>
    <t>L</t>
  </si>
  <si>
    <t>SUBTOTAL</t>
  </si>
  <si>
    <t>-</t>
  </si>
  <si>
    <t>X6</t>
  </si>
  <si>
    <t>$</t>
  </si>
  <si>
    <t>X5</t>
  </si>
  <si>
    <t>HDA-T 22 M12 x 125/50</t>
  </si>
  <si>
    <t>HDA-T 20 M10 x 100/20</t>
  </si>
  <si>
    <t>HDA-T 22 M12 x 125/30</t>
  </si>
  <si>
    <t>HDA-T 30 M16 x 190/40</t>
  </si>
  <si>
    <t>HDA-T 30 M16 x 190/60</t>
  </si>
  <si>
    <t xml:space="preserve">HSL-I M12 TN </t>
  </si>
  <si>
    <t>HSLG-R M 20/30</t>
  </si>
  <si>
    <t>HSLG-R M 12/25</t>
  </si>
  <si>
    <t xml:space="preserve">HSLG-R M 16/25 </t>
  </si>
  <si>
    <t>HSL-3 M 8/20</t>
  </si>
  <si>
    <t>HSL-3 M 8/40</t>
  </si>
  <si>
    <t>HSL-3 M 10/20</t>
  </si>
  <si>
    <t>HSL-3 M 10/40</t>
  </si>
  <si>
    <t>HSL-3 M 12/25</t>
  </si>
  <si>
    <t>HSL-3 M 12/50</t>
  </si>
  <si>
    <t>HSL-3 M 16/25</t>
  </si>
  <si>
    <t>HSL-3 M 16/50</t>
  </si>
  <si>
    <t>HSL-3 M 20/30</t>
  </si>
  <si>
    <t>HSL-3 M 20/60</t>
  </si>
  <si>
    <t>HSL-3 M 24/30</t>
  </si>
  <si>
    <t>HSL-3 M 24/60</t>
  </si>
  <si>
    <t>HSL-3-B M 12/5</t>
  </si>
  <si>
    <t>HSL-3-B M 12/25</t>
  </si>
  <si>
    <t>HSL-3-B M 12/50</t>
  </si>
  <si>
    <t>HSL-3-B M 16/10</t>
  </si>
  <si>
    <t>HSL-3-B M 16/25</t>
  </si>
  <si>
    <t>HSL-3-B M 20/30</t>
  </si>
  <si>
    <t>HSL-3-B M 24/30</t>
  </si>
  <si>
    <t>HSL-3-G M 8/20</t>
  </si>
  <si>
    <t>HSL-3-G M 10/20</t>
  </si>
  <si>
    <t>HSL-3-G M 12/25</t>
  </si>
  <si>
    <t>HSL-3-G M 12/50</t>
  </si>
  <si>
    <t>HSL-3-G M 16/25</t>
  </si>
  <si>
    <t>HSL-3-G M 16/50</t>
  </si>
  <si>
    <t>HSL-3-G M 20/30</t>
  </si>
  <si>
    <t>KB-TZ SS316 ¾" x 10"</t>
  </si>
  <si>
    <t>KB3 ¼" x 1 ¾"</t>
  </si>
  <si>
    <t>KB3 ¼" x 2 ¼"</t>
  </si>
  <si>
    <t>KB3 ½" x 2 ¾"</t>
  </si>
  <si>
    <t xml:space="preserve">KB3 ¾" x 12" </t>
  </si>
  <si>
    <t>KB3 1" x 6"</t>
  </si>
  <si>
    <t>KB3 1" x 9"</t>
  </si>
  <si>
    <t>KB3 ⅜" x 2 ¼"</t>
  </si>
  <si>
    <t>KB-TZ SS316 ⅝" x 6"</t>
  </si>
  <si>
    <t>KB-TZ SS304 ⅝" x 10"</t>
  </si>
  <si>
    <t>KB-TZ SS304 ⅝" x 4 ¾"</t>
  </si>
  <si>
    <t>KB-TZ SS304 ⅝" x 6"</t>
  </si>
  <si>
    <t>KB-TZ ⅝" x 10"</t>
  </si>
  <si>
    <t>KB-TZ ⅝" x 4 ¾"</t>
  </si>
  <si>
    <t>KB-TZ ⅝" x 6"</t>
  </si>
  <si>
    <t>HDA-T 37-M20 x 250/100</t>
  </si>
  <si>
    <t>HDA-T 37-M20 x 250/50</t>
  </si>
  <si>
    <t>HDA-TR 20-M10 x 100/20</t>
  </si>
  <si>
    <t>HDA-TR 22-M12 x 125/30</t>
  </si>
  <si>
    <t>HDA-TR 22-M12 x 125/50</t>
  </si>
  <si>
    <t>HDA-TR 30-M16 x 190/40</t>
  </si>
  <si>
    <t>HDA-TR 30-M16 x 190/60</t>
  </si>
  <si>
    <t>HDA-P 20 M10 x 100/20</t>
  </si>
  <si>
    <t>HDA-P 22 M12 x 125/30</t>
  </si>
  <si>
    <t>HDA-P 22 M12 x 125/50</t>
  </si>
  <si>
    <t>HDA-P 30 M16 x 190/40</t>
  </si>
  <si>
    <t>HDA-P 30 M16 x 190/60</t>
  </si>
  <si>
    <t>HDA-P 37-M20 x 250/50</t>
  </si>
  <si>
    <t>HDA-PR 20-M10 x 100/20</t>
  </si>
  <si>
    <t>HDA-PR 22-M12 x 125/30</t>
  </si>
  <si>
    <t>HDA-PR 22-M12 x 125/50</t>
  </si>
  <si>
    <t>HDA-PR 30-M16 x 190/40</t>
  </si>
  <si>
    <t>HDA-PR 30-M16 x 190/60</t>
  </si>
  <si>
    <t>HCA ¾" x 10"</t>
  </si>
  <si>
    <t>HCA ¾" x 6"</t>
  </si>
  <si>
    <t>HCA ⅝" x 5"</t>
  </si>
  <si>
    <t>HCA ⅝" x 8"</t>
  </si>
  <si>
    <t>HCA ½" x 3"</t>
  </si>
  <si>
    <t>HCA ½" x 4"</t>
  </si>
  <si>
    <t>HCA ½" x 7"</t>
  </si>
  <si>
    <t>KB-TZ ½" x 4 ½"</t>
  </si>
  <si>
    <t>KB-TZ ½" x 3 ¾"</t>
  </si>
  <si>
    <t>KB-TZ ½" x 5 ½"</t>
  </si>
  <si>
    <t>KB-TZ ½" x 7"</t>
  </si>
  <si>
    <t>KB-TZ ¾" x 10"</t>
  </si>
  <si>
    <t>KB-TZ ¾" x 5 ½"</t>
  </si>
  <si>
    <t>KB-TZ ¾" x 8"</t>
  </si>
  <si>
    <t>KB-TZ SS304 ¾" x 8"</t>
  </si>
  <si>
    <t>KB-TZ SS304 ½" x 3 ¾"</t>
  </si>
  <si>
    <t>KB-TZ SS304 ½" x 4 ½"</t>
  </si>
  <si>
    <t>KB-TZ SS304 ½" x 7"</t>
  </si>
  <si>
    <t>KB-TZ SS304 ¾" x 10"</t>
  </si>
  <si>
    <t>KB-TZ SS304 ¾" x 5 ½"</t>
  </si>
  <si>
    <t>KB-TZ SS304 ½" x 5 ½"</t>
  </si>
  <si>
    <t>KB3 ⅝" x 3 ¾"</t>
  </si>
  <si>
    <t>KB-TZ ⅝" x 8 ½"</t>
  </si>
  <si>
    <t>KB-TZ SS304 ⅝" x 8 ½"</t>
  </si>
  <si>
    <t>HCA ⅜" x 2 ¼"</t>
  </si>
  <si>
    <t>HCA ⅜" x 3"</t>
  </si>
  <si>
    <t>HCA ⅜" x 5"</t>
  </si>
  <si>
    <t>KB-TZ ⅜" x 3"</t>
  </si>
  <si>
    <t>KB-TZ ⅜" x 3 ¾"</t>
  </si>
  <si>
    <t>KB-TZ ⅜" x 5"</t>
  </si>
  <si>
    <t>KB-TZ SS304 ⅜" x 3"</t>
  </si>
  <si>
    <t>KB-TZ SS304 ⅜" x 5"</t>
  </si>
  <si>
    <t>HDI ½"</t>
  </si>
  <si>
    <t>HKB III ½" x 5 ½"</t>
  </si>
  <si>
    <t>HKB III ½" x 4 ½"</t>
  </si>
  <si>
    <t>HDI ¾"</t>
  </si>
  <si>
    <t>HKB II 304SS ½" x 3 ¾"</t>
  </si>
  <si>
    <t>HKB III ½" x 2 ¾"</t>
  </si>
  <si>
    <t>HKB III ½" x 3 ¾"</t>
  </si>
  <si>
    <t>HKB III ¾" x 4 ¾"</t>
  </si>
  <si>
    <t>HKB III ¾" x 5 ½"</t>
  </si>
  <si>
    <t>HKB II 304SS ¼" x 2 ¼"</t>
  </si>
  <si>
    <t>HKB III ¼" x 1 ¾"</t>
  </si>
  <si>
    <t>HKB III ¼" x 2 ¼"</t>
  </si>
  <si>
    <t>HKB III ¼" x 3 ¼"</t>
  </si>
  <si>
    <t>HKB III 1" x 6"</t>
  </si>
  <si>
    <t>HKB III 1" x 9"</t>
  </si>
  <si>
    <t>HLC AC ¼" x 2 ¼"</t>
  </si>
  <si>
    <t>HLC HX ½" x 2 ¼"</t>
  </si>
  <si>
    <t>HLC HX ¾" x 4 ¼"</t>
  </si>
  <si>
    <t>HLD 2"</t>
  </si>
  <si>
    <t>HLD 3"</t>
  </si>
  <si>
    <t>HLD 4"</t>
  </si>
  <si>
    <t>METAL HIT ¼" x 1"</t>
  </si>
  <si>
    <t>METAL HIT ¼" x 1 ½"</t>
  </si>
  <si>
    <t>HKB II 304SS ⅜" x 3 ¾"</t>
  </si>
  <si>
    <t>HKB II 316SS ⅜" x 3"</t>
  </si>
  <si>
    <t>HKB III ⅜" x 2 ¼"</t>
  </si>
  <si>
    <t>HKB III ⅜" x 3"</t>
  </si>
  <si>
    <t>HKB III ⅜" x 3 ¾"</t>
  </si>
  <si>
    <t>HKB III ⅝" x 3 ¾"</t>
  </si>
  <si>
    <t>HKB III ⅝" x 4 ¾"</t>
  </si>
  <si>
    <t>HKB III ⅝" x 6"</t>
  </si>
  <si>
    <t>HKB III ⅝" x 7"</t>
  </si>
  <si>
    <t>HKB III ½" x 7"</t>
  </si>
  <si>
    <t>HKB III ¾" x 7"</t>
  </si>
  <si>
    <t>HKB III ¾" x 8"</t>
  </si>
  <si>
    <t>HKB III ⅜" x 5"</t>
  </si>
  <si>
    <t>HLC AC ¼"x1 ⅜"</t>
  </si>
  <si>
    <t>HLC HX ½" x 3"</t>
  </si>
  <si>
    <t>HLC HX ½" x 4"</t>
  </si>
  <si>
    <t>HLC HX ⅜" x 3"</t>
  </si>
  <si>
    <t>HDI ⅝"</t>
  </si>
  <si>
    <t>HLC HX 5/16x1 ⅝"</t>
  </si>
  <si>
    <t>HLC HX 5/16x2 ⅝"</t>
  </si>
  <si>
    <t>HLC HX ⅝" x 2 ¼"</t>
  </si>
  <si>
    <t>HLC HX ⅝" x 4 ¼"</t>
  </si>
  <si>
    <t>HPS-1 ¼" x1 ⅝"</t>
  </si>
  <si>
    <t>HPS-1 5/16 x3 ⅝"</t>
  </si>
  <si>
    <t>KB-TZ SS316 ⅜" x 3"</t>
  </si>
  <si>
    <t>HLC HX ⅜" x 1 ⅞"</t>
  </si>
  <si>
    <t>KB3 304SS 1" x 6"</t>
  </si>
  <si>
    <t>KB3 304SS 1" x 9"</t>
  </si>
  <si>
    <t>KB3 304SS ¾" x 4 ¾"</t>
  </si>
  <si>
    <t>KB3 304SS ½" x 2 ¾"</t>
  </si>
  <si>
    <t>KB3 304SS ½" x 4 ½"</t>
  </si>
  <si>
    <t>KB3 304SS ¾" x 5 ½"</t>
  </si>
  <si>
    <t>KB3 304SS ¼" x 1 ¾"</t>
  </si>
  <si>
    <t>KB3 304SS ¼" x 2 ¼"</t>
  </si>
  <si>
    <t>KB3 304SS ¾" x 7"</t>
  </si>
  <si>
    <t>KB3 304SS ⅜" x 2 ¼"</t>
  </si>
  <si>
    <t>KB3 304SS ⅝" x 3 ¾"</t>
  </si>
  <si>
    <t>KB3 304SS ⅝" x 4 ¾"</t>
  </si>
  <si>
    <t>KB3 304SS ⅝" x 6"</t>
  </si>
  <si>
    <t>KB3 304SS Countersunk ¼" x 3"</t>
  </si>
  <si>
    <t>KB3 304SS Countersunk ⅜" x 4"</t>
  </si>
  <si>
    <t>HAS ⅜" x 5 ⅛"</t>
  </si>
  <si>
    <t>HAS ⅜" x 8"</t>
  </si>
  <si>
    <t>HAS ⅜" x 12"</t>
  </si>
  <si>
    <t>HAS ½" x 6 ½"</t>
  </si>
  <si>
    <t>HAS ½" x 8"</t>
  </si>
  <si>
    <t>HAS ½" x 12"</t>
  </si>
  <si>
    <t>HAS 1" x 12"</t>
  </si>
  <si>
    <t>HAS ⅞" x 19"</t>
  </si>
  <si>
    <t>HAS ⅝" x 8"</t>
  </si>
  <si>
    <t>HAS ⅝" x 9"</t>
  </si>
  <si>
    <t>HAS ⅝" x 12"</t>
  </si>
  <si>
    <t>HAS ¾" x 10"</t>
  </si>
  <si>
    <t>HAS ¾" x 14"</t>
  </si>
  <si>
    <t>HAS ¾" x 19"</t>
  </si>
  <si>
    <t>HAS ⅞" x 10"</t>
  </si>
  <si>
    <t>HAS ⅞" x 14"</t>
  </si>
  <si>
    <t>HAS 1" x 16"</t>
  </si>
  <si>
    <t>HAS 1" x 20"</t>
  </si>
  <si>
    <t>HAS 1 ¼" x 16"</t>
  </si>
  <si>
    <t>HAS 1 ¼" x 22"</t>
  </si>
  <si>
    <t xml:space="preserve">HAS HDG ⅜" x 5 ⅛" </t>
  </si>
  <si>
    <t>HAS HDG ⅜" x 8"</t>
  </si>
  <si>
    <t>HAS HDG ⅜" x 12"</t>
  </si>
  <si>
    <t xml:space="preserve">HAS HDG ½" x 6 ½" </t>
  </si>
  <si>
    <t>HAS HDG ½" x 8"</t>
  </si>
  <si>
    <t>HAS HDG ½" x 12"</t>
  </si>
  <si>
    <t>HAS HDG ⅝" x 8"</t>
  </si>
  <si>
    <t>HAS HDG ⅝" x 9"</t>
  </si>
  <si>
    <t>HAS HDG ⅝" x 12"</t>
  </si>
  <si>
    <t>HAS HDG ¾" x 10"</t>
  </si>
  <si>
    <t>HAS HDG ¾" x 14"</t>
  </si>
  <si>
    <t>HAS HDG ¾" x 19"</t>
  </si>
  <si>
    <t>HAS HDG ⅞" x 10"</t>
  </si>
  <si>
    <t>HAS HDG ⅞" x 14"</t>
  </si>
  <si>
    <t>HAS HDG ⅞" x 19"</t>
  </si>
  <si>
    <t>HAS HDG 1" x 12"</t>
  </si>
  <si>
    <t>HAS HDG 1" x 16"</t>
  </si>
  <si>
    <t>HAS HDG 1" x 20"</t>
  </si>
  <si>
    <t>HAS HDG 1 ¼" x 16"</t>
  </si>
  <si>
    <t>HAS HDG 1 ¼" x 22"</t>
  </si>
  <si>
    <t>HDI ½" SS 303</t>
  </si>
  <si>
    <t>HDI-L ½"</t>
  </si>
  <si>
    <t>HDI-P ½"</t>
  </si>
  <si>
    <t>HDI-S ½"</t>
  </si>
  <si>
    <t>HDI ¼" SS 303</t>
  </si>
  <si>
    <t>HDI-P ¼"</t>
  </si>
  <si>
    <t>HDI ⅜" SS 303</t>
  </si>
  <si>
    <t>HDI-P ⅜"</t>
  </si>
  <si>
    <t>HDI ¾" SS 303</t>
  </si>
  <si>
    <t>HDI ⅝" SS 303</t>
  </si>
  <si>
    <t>HDI-L ¼"</t>
  </si>
  <si>
    <t>HDI-L ⅜"</t>
  </si>
  <si>
    <t>HDI-S ¾"</t>
  </si>
  <si>
    <t>HIT-SC 12 x 50</t>
  </si>
  <si>
    <t>HIT-SC 12 x 85</t>
  </si>
  <si>
    <t>HIT-SC 16 x 50</t>
  </si>
  <si>
    <t>HIT-SC 16 x 85</t>
  </si>
  <si>
    <t>HIT-SC 18 x 50</t>
  </si>
  <si>
    <t>HIT-SC 18 x 85</t>
  </si>
  <si>
    <t>HIT-SC 22 x 50</t>
  </si>
  <si>
    <t>HIT-SC 22 x 85</t>
  </si>
  <si>
    <t>HIT-SC 26 x 125</t>
  </si>
  <si>
    <t>HIT-SC 26 x 200</t>
  </si>
  <si>
    <t>HIS ½"</t>
  </si>
  <si>
    <t>HIS-R ½" (316SS)</t>
  </si>
  <si>
    <t>HIS-R ⅜" (316SS)</t>
  </si>
  <si>
    <t>HIS ⅜"</t>
  </si>
  <si>
    <t>HIS-R ⅝" (316SS)</t>
  </si>
  <si>
    <t>HIS ⅝"</t>
  </si>
  <si>
    <t>HIS ¾"</t>
  </si>
  <si>
    <t>HIS-R ¾" (316SS)</t>
  </si>
  <si>
    <t>KH 3/8" x 2 1/8"</t>
  </si>
  <si>
    <t>KH 3/4" x 9"</t>
  </si>
  <si>
    <t>KH 3/8" x 3"</t>
  </si>
  <si>
    <t>KH 3/8" x 3 1/2"</t>
  </si>
  <si>
    <t>KH 3/8" x 4"</t>
  </si>
  <si>
    <t>KH 3/8" x 5"</t>
  </si>
  <si>
    <t>KH 1/2" x 3"</t>
  </si>
  <si>
    <t>KH 1/2" x 3 1/2"</t>
  </si>
  <si>
    <t>KH 1/2" x 4"</t>
  </si>
  <si>
    <t>KH 1/2" x 4 1/2"</t>
  </si>
  <si>
    <t>KH 1/2" x 5"</t>
  </si>
  <si>
    <t>KH 1/2" x 6"</t>
  </si>
  <si>
    <t>KH 5/8" x 4"</t>
  </si>
  <si>
    <t>KH 5/8" x 5 1/2"</t>
  </si>
  <si>
    <t>KH 5/8" x 6 1/2"</t>
  </si>
  <si>
    <t>KH 3/4" x 4 1/2"</t>
  </si>
  <si>
    <t>KH 3/4" x 5 1/2"</t>
  </si>
  <si>
    <t>KH 3/4" x 7"</t>
  </si>
  <si>
    <t>Φ</t>
  </si>
  <si>
    <t>(mm)</t>
  </si>
  <si>
    <t>--------------------</t>
  </si>
  <si>
    <t>Rebar #3</t>
  </si>
  <si>
    <t>Rebar #4</t>
  </si>
  <si>
    <t>Rebar #5</t>
  </si>
  <si>
    <t>Rebar #6</t>
  </si>
  <si>
    <t>Rebar #7</t>
  </si>
  <si>
    <t>Rebar #8</t>
  </si>
  <si>
    <t>Rebar #10</t>
  </si>
  <si>
    <t>Rebar #9</t>
  </si>
  <si>
    <t>Hilti Colombia S.A.S</t>
  </si>
  <si>
    <t xml:space="preserve"> </t>
  </si>
  <si>
    <t>DESCRIPCIÓN</t>
  </si>
  <si>
    <t>UBICACIÓN</t>
  </si>
  <si>
    <t>CODIGO</t>
  </si>
  <si>
    <t>#</t>
  </si>
  <si>
    <t>COMENTARIOS</t>
  </si>
  <si>
    <t>TITULO DE LA SECCIÓN</t>
  </si>
  <si>
    <t>ubicación dentro del proyecto</t>
  </si>
  <si>
    <t>arbitrario</t>
  </si>
  <si>
    <t>Anclajes</t>
  </si>
  <si>
    <t>PRODUCTO</t>
  </si>
  <si>
    <t>Ampolla HVU 1-¼" x 12"</t>
  </si>
  <si>
    <t>VARILLA</t>
  </si>
  <si>
    <t>Consumo adhesivo</t>
  </si>
  <si>
    <t>varilla total</t>
  </si>
  <si>
    <t>Producto subtotal</t>
  </si>
  <si>
    <t>ANCLAJE ADHESIVO</t>
  </si>
  <si>
    <t>Volumen perforación</t>
  </si>
  <si>
    <t>Perforacion</t>
  </si>
  <si>
    <r>
      <rPr>
        <sz val="8"/>
        <color theme="0"/>
        <rFont val="Arial"/>
        <family val="2"/>
      </rPr>
      <t>Empotramiento</t>
    </r>
    <r>
      <rPr>
        <b/>
        <sz val="9"/>
        <color theme="0"/>
        <rFont val="Arial"/>
        <family val="2"/>
      </rPr>
      <t/>
    </r>
  </si>
  <si>
    <r>
      <rPr>
        <sz val="8"/>
        <color theme="0"/>
        <rFont val="Arial"/>
        <family val="2"/>
      </rPr>
      <t>Extensión</t>
    </r>
    <r>
      <rPr>
        <b/>
        <sz val="9"/>
        <color theme="0"/>
        <rFont val="Arial"/>
        <family val="2"/>
      </rPr>
      <t/>
    </r>
  </si>
  <si>
    <t xml:space="preserve"> Longitud</t>
  </si>
  <si>
    <r>
      <t>h</t>
    </r>
    <r>
      <rPr>
        <b/>
        <sz val="7"/>
        <color theme="0"/>
        <rFont val="Arial"/>
        <family val="2"/>
      </rPr>
      <t>e</t>
    </r>
    <r>
      <rPr>
        <b/>
        <sz val="9"/>
        <color theme="0"/>
        <rFont val="Arial"/>
        <family val="2"/>
      </rPr>
      <t xml:space="preserve"> </t>
    </r>
  </si>
  <si>
    <r>
      <t>d</t>
    </r>
    <r>
      <rPr>
        <b/>
        <sz val="7"/>
        <color theme="0"/>
        <rFont val="Arial"/>
        <family val="2"/>
      </rPr>
      <t>s</t>
    </r>
    <r>
      <rPr>
        <b/>
        <sz val="9"/>
        <color theme="0"/>
        <rFont val="Arial"/>
        <family val="2"/>
      </rPr>
      <t xml:space="preserve"> </t>
    </r>
  </si>
  <si>
    <t>Desp</t>
  </si>
  <si>
    <t>%</t>
  </si>
  <si>
    <t>Para / To:</t>
  </si>
  <si>
    <t>De / From:</t>
  </si>
  <si>
    <t>Fecha /Date:</t>
  </si>
  <si>
    <t>Nombre de destinatario</t>
  </si>
  <si>
    <t xml:space="preserve">Asunto / Subject: </t>
  </si>
  <si>
    <t>Copias a / Copy to:</t>
  </si>
  <si>
    <t>Cargo, Nombre Apellido (email@domain.com); Otros…</t>
  </si>
  <si>
    <t>ESPECIFICACIONES DE LOS ANCLAJES POSTINSTALADOS</t>
  </si>
  <si>
    <t>Memo:</t>
  </si>
  <si>
    <t>1.1. Descripción general</t>
  </si>
  <si>
    <t>1.2. Proyecto</t>
  </si>
  <si>
    <t>1.3. Aplicación</t>
  </si>
  <si>
    <t>Incluir los comentarios y la descripcion de la aplicación para la cual se especifican los anclajes.</t>
  </si>
  <si>
    <r>
      <t>3.</t>
    </r>
    <r>
      <rPr>
        <sz val="7"/>
        <color theme="1"/>
        <rFont val="Times New Roman"/>
        <family val="1"/>
      </rPr>
      <t xml:space="preserve">      </t>
    </r>
    <r>
      <rPr>
        <sz val="10"/>
        <color theme="1"/>
        <rFont val="Arial"/>
        <family val="2"/>
      </rPr>
      <t>Evidencia de aseguramiento de calidad:</t>
    </r>
  </si>
  <si>
    <r>
      <t>a.</t>
    </r>
    <r>
      <rPr>
        <sz val="7"/>
        <color theme="1"/>
        <rFont val="Times New Roman"/>
        <family val="1"/>
      </rPr>
      <t xml:space="preserve">      </t>
    </r>
    <r>
      <rPr>
        <sz val="10"/>
        <color theme="1"/>
        <rFont val="Arial"/>
        <family val="2"/>
      </rPr>
      <t>Reportes de pruebas: los reportes de pruebas certificadas donde se demuestre el cumplimiento de las características de desempeño y propiedades físicas especificadas.</t>
    </r>
    <r>
      <rPr>
        <sz val="10"/>
        <color rgb="FF808080"/>
        <rFont val="Arial"/>
        <family val="2"/>
      </rPr>
      <t xml:space="preserve"> </t>
    </r>
  </si>
  <si>
    <r>
      <t>b.</t>
    </r>
    <r>
      <rPr>
        <sz val="7"/>
        <color theme="1"/>
        <rFont val="Times New Roman"/>
        <family val="1"/>
      </rPr>
      <t xml:space="preserve">      </t>
    </r>
    <r>
      <rPr>
        <sz val="10"/>
        <color theme="1"/>
        <rFont val="Arial"/>
        <family val="2"/>
      </rPr>
      <t>Certificaciones:</t>
    </r>
  </si>
  <si>
    <r>
      <t>1.</t>
    </r>
    <r>
      <rPr>
        <sz val="7"/>
        <color theme="1"/>
        <rFont val="Times New Roman"/>
        <family val="1"/>
      </rPr>
      <t xml:space="preserve">      </t>
    </r>
    <r>
      <rPr>
        <sz val="10"/>
        <color theme="1"/>
        <rFont val="Arial"/>
        <family val="2"/>
      </rPr>
      <t>Pernos y barras: ASTM A307; ASTM A449 donde se indique “alta resistencia”.</t>
    </r>
  </si>
  <si>
    <r>
      <t>2.</t>
    </r>
    <r>
      <rPr>
        <sz val="7"/>
        <color theme="1"/>
        <rFont val="Times New Roman"/>
        <family val="1"/>
      </rPr>
      <t xml:space="preserve">      </t>
    </r>
    <r>
      <rPr>
        <sz val="10"/>
        <color theme="1"/>
        <rFont val="Arial"/>
        <family val="2"/>
      </rPr>
      <t>Tuercas de acero al carbón y aleaciones: ASTM A563.</t>
    </r>
  </si>
  <si>
    <r>
      <t>3.</t>
    </r>
    <r>
      <rPr>
        <sz val="7"/>
        <color theme="1"/>
        <rFont val="Times New Roman"/>
        <family val="1"/>
      </rPr>
      <t xml:space="preserve">      </t>
    </r>
    <r>
      <rPr>
        <sz val="10"/>
        <color theme="1"/>
        <rFont val="Arial"/>
        <family val="2"/>
      </rPr>
      <t>Arandelas de acero al carbón: ASTM F436.</t>
    </r>
  </si>
  <si>
    <r>
      <t>4.</t>
    </r>
    <r>
      <rPr>
        <sz val="7"/>
        <color theme="1"/>
        <rFont val="Times New Roman"/>
        <family val="1"/>
      </rPr>
      <t xml:space="preserve">      </t>
    </r>
    <r>
      <rPr>
        <sz val="10"/>
        <color theme="1"/>
        <rFont val="Arial"/>
        <family val="2"/>
      </rPr>
      <t>Varillas roscadas de acero al carbón: ASTM A36, ASTM A193 Grado B7 o ISO 898 Clase 5.8.</t>
    </r>
  </si>
  <si>
    <r>
      <t>5.</t>
    </r>
    <r>
      <rPr>
        <sz val="7"/>
        <color theme="1"/>
        <rFont val="Times New Roman"/>
        <family val="1"/>
      </rPr>
      <t xml:space="preserve">      </t>
    </r>
    <r>
      <rPr>
        <sz val="10"/>
        <color theme="1"/>
        <rFont val="Arial"/>
        <family val="2"/>
      </rPr>
      <t>Anclajes de cuña: ASTM A510; o ASTM A108.</t>
    </r>
  </si>
  <si>
    <r>
      <t>6.</t>
    </r>
    <r>
      <rPr>
        <sz val="7"/>
        <color theme="1"/>
        <rFont val="Times New Roman"/>
        <family val="1"/>
      </rPr>
      <t xml:space="preserve">      </t>
    </r>
    <r>
      <rPr>
        <sz val="10"/>
        <color theme="1"/>
        <rFont val="Arial"/>
        <family val="2"/>
      </rPr>
      <t>Pernos de acero inox, tornillos de cabeza hexagonal y barras: ASTM F593.</t>
    </r>
  </si>
  <si>
    <r>
      <t>7.</t>
    </r>
    <r>
      <rPr>
        <sz val="7"/>
        <color theme="1"/>
        <rFont val="Times New Roman"/>
        <family val="1"/>
      </rPr>
      <t xml:space="preserve">      </t>
    </r>
    <r>
      <rPr>
        <sz val="10"/>
        <color theme="1"/>
        <rFont val="Arial"/>
        <family val="2"/>
      </rPr>
      <t>Tuercas de acero inox: ASTM F594.</t>
    </r>
  </si>
  <si>
    <r>
      <t>8.</t>
    </r>
    <r>
      <rPr>
        <sz val="7"/>
        <color theme="1"/>
        <rFont val="Times New Roman"/>
        <family val="1"/>
      </rPr>
      <t xml:space="preserve">      </t>
    </r>
    <r>
      <rPr>
        <sz val="10"/>
        <color theme="1"/>
        <rFont val="Arial"/>
        <family val="2"/>
      </rPr>
      <t>Recubrimiento de Zinc: ASTM B633.</t>
    </r>
  </si>
  <si>
    <r>
      <t>9.</t>
    </r>
    <r>
      <rPr>
        <sz val="7"/>
        <color theme="1"/>
        <rFont val="Times New Roman"/>
        <family val="1"/>
      </rPr>
      <t xml:space="preserve">      </t>
    </r>
    <r>
      <rPr>
        <sz val="10"/>
        <color theme="1"/>
        <rFont val="Arial"/>
        <family val="2"/>
      </rPr>
      <t>Galvanizado en caliente (HDG): ASTM A153.</t>
    </r>
  </si>
  <si>
    <r>
      <t>10.</t>
    </r>
    <r>
      <rPr>
        <sz val="7"/>
        <color theme="1"/>
        <rFont val="Times New Roman"/>
        <family val="1"/>
      </rPr>
      <t xml:space="preserve">    </t>
    </r>
    <r>
      <rPr>
        <sz val="10"/>
        <color theme="1"/>
        <rFont val="Arial"/>
        <family val="2"/>
      </rPr>
      <t>Pernos de anclaje milimétricos, tornillos y barras: ISO 898 Parte 1.</t>
    </r>
  </si>
  <si>
    <r>
      <t>11.</t>
    </r>
    <r>
      <rPr>
        <sz val="7"/>
        <color theme="1"/>
        <rFont val="Times New Roman"/>
        <family val="1"/>
      </rPr>
      <t xml:space="preserve">    </t>
    </r>
    <r>
      <rPr>
        <sz val="10"/>
        <color theme="1"/>
        <rFont val="Arial"/>
        <family val="2"/>
      </rPr>
      <t>Tuercas de anclaje milimétricas: EN 24033.</t>
    </r>
  </si>
  <si>
    <r>
      <t>12.</t>
    </r>
    <r>
      <rPr>
        <sz val="7"/>
        <color theme="1"/>
        <rFont val="Times New Roman"/>
        <family val="1"/>
      </rPr>
      <t xml:space="preserve">    </t>
    </r>
    <r>
      <rPr>
        <sz val="10"/>
        <color theme="1"/>
        <rFont val="Arial"/>
        <family val="2"/>
      </rPr>
      <t>Pernos de acero inox milimétricos, tornillos de cabeza hexagonal y barras: ISO 3506 Parte 1.</t>
    </r>
  </si>
  <si>
    <r>
      <t>13.</t>
    </r>
    <r>
      <rPr>
        <sz val="7"/>
        <color theme="1"/>
        <rFont val="Times New Roman"/>
        <family val="1"/>
      </rPr>
      <t xml:space="preserve">    </t>
    </r>
    <r>
      <rPr>
        <sz val="10"/>
        <color theme="1"/>
        <rFont val="Arial"/>
        <family val="2"/>
      </rPr>
      <t>Tuercas de anclaje en acero inox milimétricas: ISO 3506 Parte 2.</t>
    </r>
  </si>
  <si>
    <r>
      <t>A.</t>
    </r>
    <r>
      <rPr>
        <sz val="7"/>
        <color theme="1"/>
        <rFont val="Times New Roman"/>
        <family val="1"/>
      </rPr>
      <t xml:space="preserve">      </t>
    </r>
    <r>
      <rPr>
        <u/>
        <sz val="10"/>
        <color theme="1"/>
        <rFont val="Arial"/>
        <family val="2"/>
      </rPr>
      <t>Anclajes de cuña</t>
    </r>
    <r>
      <rPr>
        <sz val="10"/>
        <color theme="1"/>
        <rFont val="Arial"/>
        <family val="2"/>
      </rPr>
      <t>: de tipo cuña expansiva, controlados por torque, con sección de impacto en la cabeza para prevenir el daño de la rosca durante la instalación, junto con sus respectivas tuercas y arandelas. Suministrar anclajes con marcas de identificación de longitud de acuerdo a ICC ES AC-01 o ICC ES AC-193. Tipos y tamaños de anclajes según se indica en planos.</t>
    </r>
  </si>
  <si>
    <r>
      <t>1.</t>
    </r>
    <r>
      <rPr>
        <sz val="7"/>
        <color rgb="FF008000"/>
        <rFont val="Times New Roman"/>
        <family val="1"/>
      </rPr>
      <t xml:space="preserve">      </t>
    </r>
    <r>
      <rPr>
        <u/>
        <sz val="10"/>
        <color theme="1"/>
        <rFont val="Arial"/>
        <family val="2"/>
      </rPr>
      <t>Uso en interiores</t>
    </r>
    <r>
      <rPr>
        <sz val="10"/>
        <color theme="1"/>
        <rFont val="Arial"/>
        <family val="2"/>
      </rPr>
      <t>: a menos que se especifique de otra forma en planos, suministrar anclajes en acero al carbón zincados (recubrimiento de zinc) de acuerdo con el estándar ASTM B633, Tipo III Fe/Zn 5 (SC1).</t>
    </r>
  </si>
  <si>
    <r>
      <t>2.</t>
    </r>
    <r>
      <rPr>
        <sz val="7"/>
        <color theme="1"/>
        <rFont val="Times New Roman"/>
        <family val="1"/>
      </rPr>
      <t xml:space="preserve">      </t>
    </r>
    <r>
      <rPr>
        <u/>
        <sz val="10"/>
        <color theme="1"/>
        <rFont val="Arial"/>
        <family val="2"/>
      </rPr>
      <t>Uso en exteriores</t>
    </r>
    <r>
      <rPr>
        <sz val="10"/>
        <color theme="1"/>
        <rFont val="Arial"/>
        <family val="2"/>
      </rPr>
      <t xml:space="preserve">: como se indique en los planos, suministrar anclajes en acero inox. Los anclajes en acero inox deben ser Acero Inoxidable AISI </t>
    </r>
    <r>
      <rPr>
        <b/>
        <sz val="10"/>
        <color theme="1"/>
        <rFont val="Arial"/>
        <family val="2"/>
      </rPr>
      <t>Tipo 304</t>
    </r>
    <r>
      <rPr>
        <sz val="10"/>
        <color theme="1"/>
        <rFont val="Arial"/>
        <family val="2"/>
      </rPr>
      <t xml:space="preserve"> y/o </t>
    </r>
    <r>
      <rPr>
        <b/>
        <sz val="10"/>
        <color theme="1"/>
        <rFont val="Arial"/>
        <family val="2"/>
      </rPr>
      <t>Tipo 316</t>
    </r>
    <r>
      <rPr>
        <sz val="10"/>
        <color theme="1"/>
        <rFont val="Arial"/>
        <family val="2"/>
      </rPr>
      <t xml:space="preserve"> suministrados con sus respectivas tuercas y arandelas en acero inox del grupo de aleaciones adecuado y resistencia mínima comprobada igual o superior a la resistencia a tensión mínima especificada para el fijador roscado externamente. Las tuercas en acero inox deben ser conformes con ASTM F594 a menos que se especifique de otra forma. Evitar la instalación de los anclajes en acero inox en contacto con metales galvánicamente diferentes.</t>
    </r>
  </si>
  <si>
    <r>
      <t>1.</t>
    </r>
    <r>
      <rPr>
        <sz val="7"/>
        <color theme="1"/>
        <rFont val="Times New Roman"/>
        <family val="1"/>
      </rPr>
      <t xml:space="preserve">      </t>
    </r>
    <r>
      <rPr>
        <u/>
        <sz val="10"/>
        <color theme="1"/>
        <rFont val="Arial"/>
        <family val="2"/>
      </rPr>
      <t>Uso en interiores</t>
    </r>
    <r>
      <rPr>
        <sz val="10"/>
        <color theme="1"/>
        <rFont val="Arial"/>
        <family val="2"/>
      </rPr>
      <t>: a menos que se especifique de otra forma en planos, suministrar anclajes en acero al carbón con recubrimiento de zinc equivalente a DIN EN ISO 4042 (8</t>
    </r>
    <r>
      <rPr>
        <sz val="10"/>
        <color theme="1"/>
        <rFont val="Symbol"/>
        <family val="1"/>
        <charset val="2"/>
      </rPr>
      <t>m</t>
    </r>
    <r>
      <rPr>
        <sz val="10"/>
        <color theme="1"/>
        <rFont val="Arial"/>
        <family val="2"/>
      </rPr>
      <t>m min.).</t>
    </r>
  </si>
  <si>
    <r>
      <t>c.</t>
    </r>
    <r>
      <rPr>
        <sz val="7"/>
        <color theme="1"/>
        <rFont val="Times New Roman"/>
        <family val="1"/>
      </rPr>
      <t xml:space="preserve">      </t>
    </r>
    <r>
      <rPr>
        <sz val="10"/>
        <color theme="1"/>
        <rFont val="Arial"/>
        <family val="2"/>
      </rPr>
      <t>Hilti Kwik-HUS (KH), no certificado y limitado para uso en aplicaciones no estructurales sin responsabilidad sísmica.</t>
    </r>
  </si>
  <si>
    <r>
      <t>1.</t>
    </r>
    <r>
      <rPr>
        <sz val="7"/>
        <color theme="1"/>
        <rFont val="Times New Roman"/>
        <family val="1"/>
      </rPr>
      <t xml:space="preserve">      </t>
    </r>
    <r>
      <rPr>
        <u/>
        <sz val="10"/>
        <color theme="1"/>
        <rFont val="Arial"/>
        <family val="2"/>
      </rPr>
      <t>Uso en interiores</t>
    </r>
    <r>
      <rPr>
        <sz val="10"/>
        <color theme="1"/>
        <rFont val="Arial"/>
        <family val="2"/>
      </rPr>
      <t>: a menos que se especifique de otra forma en planos, suministrar anclajes en acero al carbón zincados (recubrimiento de zinc) equivalentes con el estándar ASTM B633, Tipo III Fe/Zn 5 (5</t>
    </r>
    <r>
      <rPr>
        <sz val="10"/>
        <color theme="1"/>
        <rFont val="Symbol"/>
        <family val="1"/>
        <charset val="2"/>
      </rPr>
      <t>m</t>
    </r>
    <r>
      <rPr>
        <sz val="10"/>
        <color theme="1"/>
        <rFont val="Arial"/>
        <family val="2"/>
      </rPr>
      <t>m min.), fabricados con materiales conformes con ISO 898 Parte 1.</t>
    </r>
  </si>
  <si>
    <r>
      <t>2.</t>
    </r>
    <r>
      <rPr>
        <sz val="7"/>
        <color theme="1"/>
        <rFont val="Times New Roman"/>
        <family val="1"/>
      </rPr>
      <t xml:space="preserve">      </t>
    </r>
    <r>
      <rPr>
        <u/>
        <sz val="10"/>
        <color theme="1"/>
        <rFont val="Arial"/>
        <family val="2"/>
      </rPr>
      <t>Uso en exteriores</t>
    </r>
    <r>
      <rPr>
        <sz val="10"/>
        <color theme="1"/>
        <rFont val="Arial"/>
        <family val="2"/>
      </rPr>
      <t xml:space="preserve">: como se indica en los planos, suministrar anclajes en acero inoxidable. Los anclajes en acero inox deben ser fabricados con materiales conformes con ISO 3506 Parte 1 y deben presentar una resistencia a la corrosión equivalente a acero inoxidable AISI </t>
    </r>
    <r>
      <rPr>
        <b/>
        <sz val="10"/>
        <color theme="1"/>
        <rFont val="Arial"/>
        <family val="2"/>
      </rPr>
      <t>Tipo 304</t>
    </r>
    <r>
      <rPr>
        <sz val="10"/>
        <color theme="1"/>
        <rFont val="Arial"/>
        <family val="2"/>
      </rPr>
      <t xml:space="preserve"> y/o </t>
    </r>
    <r>
      <rPr>
        <b/>
        <sz val="10"/>
        <color theme="1"/>
        <rFont val="Arial"/>
        <family val="2"/>
      </rPr>
      <t>Tipo 316</t>
    </r>
    <r>
      <rPr>
        <sz val="10"/>
        <color theme="1"/>
        <rFont val="Arial"/>
        <family val="2"/>
      </rPr>
      <t xml:space="preserve">. Los anclajes en acero inox deben ser suministrados con sus respectivas tuercas y arandelas en acero inox del grupo de aleaciones adecuado y resistencia mínima comprobada igual o superior a la resistencia a tensión mínima especificada para el fijador roscado externamente. Las tuercas en acero inox deben ser conformes con ISO 3506 Parte 2 a menos que se especifique de otra forma. Evitar la instalación de los anclajes en acero inox en contacto con metales galvánicamente diferentes. </t>
    </r>
  </si>
  <si>
    <r>
      <t>2.</t>
    </r>
    <r>
      <rPr>
        <sz val="7"/>
        <color theme="1"/>
        <rFont val="Times New Roman"/>
        <family val="1"/>
      </rPr>
      <t xml:space="preserve">      </t>
    </r>
    <r>
      <rPr>
        <u/>
        <sz val="10"/>
        <color theme="1"/>
        <rFont val="Arial"/>
        <family val="2"/>
      </rPr>
      <t>Uso en exteriores</t>
    </r>
    <r>
      <rPr>
        <sz val="10"/>
        <color theme="1"/>
        <rFont val="Arial"/>
        <family val="2"/>
      </rPr>
      <t>: como se indica en planos, suministrar anclajes zincados o en acero inox. Los anclajes zincados deben ser fabricados con materiales conformes con ISO 898 Parte 1 y deben tener una resistencia a la corrosión equivalente a ASTM-A153 con recubrimiento de zinc (50</t>
    </r>
    <r>
      <rPr>
        <sz val="10"/>
        <color theme="1"/>
        <rFont val="Symbol"/>
        <family val="1"/>
        <charset val="2"/>
      </rPr>
      <t>m</t>
    </r>
    <r>
      <rPr>
        <sz val="10"/>
        <color theme="1"/>
        <rFont val="Arial"/>
        <family val="2"/>
      </rPr>
      <t xml:space="preserve">m min.). Los anclajes en acero inox deben ser fabricados con materiales conformes ISO 3506 Parte 1 y deben tener una resistencia a la corrosión equivalente a acero inoxidable AISI </t>
    </r>
    <r>
      <rPr>
        <b/>
        <sz val="10"/>
        <color theme="1"/>
        <rFont val="Arial"/>
        <family val="2"/>
      </rPr>
      <t>Tipo 316</t>
    </r>
    <r>
      <rPr>
        <sz val="10"/>
        <color theme="1"/>
        <rFont val="Arial"/>
        <family val="2"/>
      </rPr>
      <t xml:space="preserve">. Los anclajes en acero inox deben ser suministrados con sus respectivas tuercas y arandelas en acero inox del grupo de aleaciones adecuado y resistencia mínima comprobada igual o superior a la resistencia a tensión mínima especificada para el fijador roscado externamente. Las tuercas en acero inox deben ser conformes con ISO 3506 Parte 2 a menos que se especifique de otra forma. Evitar la instalación de los anclajes en acero inox en contacto con metales galvánicamente diferentes. </t>
    </r>
  </si>
  <si>
    <r>
      <t>1.</t>
    </r>
    <r>
      <rPr>
        <sz val="7"/>
        <color theme="1"/>
        <rFont val="Times New Roman"/>
        <family val="1"/>
      </rPr>
      <t xml:space="preserve">      </t>
    </r>
    <r>
      <rPr>
        <u/>
        <sz val="10"/>
        <color theme="1"/>
        <rFont val="Arial"/>
        <family val="2"/>
      </rPr>
      <t>Uso en interiores</t>
    </r>
    <r>
      <rPr>
        <sz val="10"/>
        <color theme="1"/>
        <rFont val="Arial"/>
        <family val="2"/>
      </rPr>
      <t>: a menos que se especifique de otra forma en planos, suministrar varillas roscadas en acero al carbón conformes con ASTM A36, ASTM A 193 Tipo B7 o ISO 898 Clase 5.8 con recubrimiento de zinc de acuerdo con ASTM B633, Tipo III Fe/Zn 5 (SC1) o varillas HIT-Z en acero al carbón conformes con ASTM A510 fabricadas de material según AISI 1038.</t>
    </r>
  </si>
  <si>
    <r>
      <t>2.</t>
    </r>
    <r>
      <rPr>
        <sz val="7"/>
        <color theme="1"/>
        <rFont val="Times New Roman"/>
        <family val="1"/>
      </rPr>
      <t xml:space="preserve">      </t>
    </r>
    <r>
      <rPr>
        <u/>
        <sz val="10"/>
        <color theme="1"/>
        <rFont val="Arial"/>
        <family val="2"/>
      </rPr>
      <t>Uso en exteriores</t>
    </r>
    <r>
      <rPr>
        <sz val="10"/>
        <color theme="1"/>
        <rFont val="Arial"/>
        <family val="2"/>
      </rPr>
      <t xml:space="preserve">: como se indica en los planos, suministrar anclajes en acero inoxidable. Los anclajes en acero inox deben ser fabricados con materiales conformes con AISI </t>
    </r>
    <r>
      <rPr>
        <b/>
        <sz val="10"/>
        <color theme="1"/>
        <rFont val="Arial"/>
        <family val="2"/>
      </rPr>
      <t>Tipo 304</t>
    </r>
    <r>
      <rPr>
        <sz val="10"/>
        <color theme="1"/>
        <rFont val="Arial"/>
        <family val="2"/>
      </rPr>
      <t xml:space="preserve"> y/o </t>
    </r>
    <r>
      <rPr>
        <b/>
        <sz val="10"/>
        <color theme="1"/>
        <rFont val="Arial"/>
        <family val="2"/>
      </rPr>
      <t>Tipo 316</t>
    </r>
    <r>
      <rPr>
        <sz val="10"/>
        <color theme="1"/>
        <rFont val="Arial"/>
        <family val="2"/>
      </rPr>
      <t>. Los anclajes en acero inox deben ser suministrados con sus respectivas tuercas y arandelas en acero inox del grupo de aleaciones adecuado y resistencia mínima comprobada igual o superior a la resistencia a tensión mínima especificada para el fijador roscado externamente. Las tuercas en acero inox deben ser conformes con ASTM F594 a menos que se especifique de otra forma. Evitar la instalación de los anclajes en acero inox en contacto con metales galvánicamente diferentes.</t>
    </r>
  </si>
  <si>
    <r>
      <t>f.</t>
    </r>
    <r>
      <rPr>
        <sz val="7"/>
        <color theme="1"/>
        <rFont val="Times New Roman"/>
        <family val="1"/>
      </rPr>
      <t xml:space="preserve">       </t>
    </r>
    <r>
      <rPr>
        <sz val="10"/>
        <color theme="1"/>
        <rFont val="Arial"/>
        <family val="2"/>
      </rPr>
      <t>Varilla roscada Hilti HAS con sistema HIT-MM Plus para anclaje a concreto, sin certificaciones y limitado para uso en aplicaciones no estructurales sin responsabilidad sísmica.</t>
    </r>
  </si>
  <si>
    <r>
      <t>g.</t>
    </r>
    <r>
      <rPr>
        <sz val="7"/>
        <color theme="1"/>
        <rFont val="Times New Roman"/>
        <family val="1"/>
      </rPr>
      <t xml:space="preserve">      </t>
    </r>
    <r>
      <rPr>
        <sz val="10"/>
        <color theme="1"/>
        <rFont val="Arial"/>
        <family val="2"/>
      </rPr>
      <t>Varillas corrugadas de construcción con sistema HIT-MM Plus para anclaje a concreto, sin certificaciones y limitado para uso en aplicaciones no estructurales sin responsabilidad sísmica.</t>
    </r>
  </si>
  <si>
    <r>
      <t>1.</t>
    </r>
    <r>
      <rPr>
        <sz val="7"/>
        <color theme="1"/>
        <rFont val="Times New Roman"/>
        <family val="1"/>
      </rPr>
      <t xml:space="preserve">      </t>
    </r>
    <r>
      <rPr>
        <u/>
        <sz val="10"/>
        <color theme="1"/>
        <rFont val="Arial"/>
        <family val="2"/>
      </rPr>
      <t>Uso en interiores</t>
    </r>
    <r>
      <rPr>
        <sz val="10"/>
        <color theme="1"/>
        <rFont val="Arial"/>
        <family val="2"/>
      </rPr>
      <t>: a menos que se especifique de otra forma en planos, suministrar varillas roscadas en acero al carbón con punta tipo cincel conformes con ASTM A36, ASTM A 193 Tipo B7 o ISO 898 Clase 5.8 con recubrimiento de zinc de acuerdo a ASTM B633, Tipo III Fe/Zn 5 (SC1).</t>
    </r>
  </si>
  <si>
    <t xml:space="preserve">2.4. DESPACHO, ALMACENAMIENTO Y MANIPULACIÓN  </t>
  </si>
  <si>
    <r>
      <t>a.</t>
    </r>
    <r>
      <rPr>
        <sz val="7"/>
        <color theme="1"/>
        <rFont val="Times New Roman"/>
        <family val="1"/>
      </rPr>
      <t xml:space="preserve">      </t>
    </r>
    <r>
      <rPr>
        <sz val="10"/>
        <color theme="1"/>
        <rFont val="Arial"/>
        <family val="2"/>
      </rPr>
      <t>Varillas de anclaje Hilti HIT-Z con el sistema HIT-HY 200 SafeSet™ para anclaje a concreto, según certificación ICC ESR-3187.</t>
    </r>
  </si>
  <si>
    <r>
      <t>b.</t>
    </r>
    <r>
      <rPr>
        <sz val="7"/>
        <color theme="1"/>
        <rFont val="Times New Roman"/>
        <family val="1"/>
      </rPr>
      <t xml:space="preserve">      </t>
    </r>
    <r>
      <rPr>
        <sz val="10"/>
        <color theme="1"/>
        <rFont val="Arial"/>
        <family val="2"/>
      </rPr>
      <t>Varilla roscada Hilti HAS con sistema HIT-HY 200 SafeSet™ usando el sistema de brocas huecas Hilti TE-CD/TE-YD para anclaje a concreto, según certificación ICC ESR-3187.</t>
    </r>
  </si>
  <si>
    <r>
      <t>c.</t>
    </r>
    <r>
      <rPr>
        <sz val="7"/>
        <color theme="1"/>
        <rFont val="Times New Roman"/>
        <family val="1"/>
      </rPr>
      <t xml:space="preserve">      </t>
    </r>
    <r>
      <rPr>
        <sz val="10"/>
        <color theme="1"/>
        <rFont val="Arial"/>
        <family val="2"/>
      </rPr>
      <t>Varillas corrugadas de construcción con sistema HIT-HY 200 SafeSet™ usando el sistema de brocas huecas Hilti TE-CD/TE-YD para anclaje a concreto, según certificación ICC ESR-3187</t>
    </r>
  </si>
  <si>
    <r>
      <t>d.</t>
    </r>
    <r>
      <rPr>
        <sz val="7"/>
        <color theme="1"/>
        <rFont val="Times New Roman"/>
        <family val="1"/>
      </rPr>
      <t xml:space="preserve">      </t>
    </r>
    <r>
      <rPr>
        <sz val="10"/>
        <color theme="1"/>
        <rFont val="Arial"/>
        <family val="2"/>
      </rPr>
      <t>Varilla roscada Hilti HAS con sistema HIT-RE 500 SD para anclaje a concreto, según certificación ICC ESR-2322.</t>
    </r>
  </si>
  <si>
    <r>
      <t>e.</t>
    </r>
    <r>
      <rPr>
        <sz val="7"/>
        <color theme="1"/>
        <rFont val="Times New Roman"/>
        <family val="1"/>
      </rPr>
      <t xml:space="preserve">      </t>
    </r>
    <r>
      <rPr>
        <sz val="10"/>
        <color theme="1"/>
        <rFont val="Arial"/>
        <family val="2"/>
      </rPr>
      <t>Varillas corrugadas de construcción con sistema HIT-RE 500 SD para anclaje a concreto, según certificación ICC ESR-2322</t>
    </r>
  </si>
  <si>
    <r>
      <t>a.</t>
    </r>
    <r>
      <rPr>
        <sz val="7"/>
        <color theme="1"/>
        <rFont val="Times New Roman"/>
        <family val="1"/>
      </rPr>
      <t xml:space="preserve">      </t>
    </r>
    <r>
      <rPr>
        <sz val="10"/>
        <color theme="1"/>
        <rFont val="Arial"/>
        <family val="2"/>
      </rPr>
      <t>Hilti Kwik Bolt 3 (HKB-3), según certificaciones ICC ESR-1385 y ESR-2302.</t>
    </r>
  </si>
  <si>
    <r>
      <t>a.</t>
    </r>
    <r>
      <rPr>
        <sz val="7"/>
        <color theme="1"/>
        <rFont val="Times New Roman"/>
        <family val="1"/>
      </rPr>
      <t xml:space="preserve">      </t>
    </r>
    <r>
      <rPr>
        <sz val="10"/>
        <color theme="1"/>
        <rFont val="Arial"/>
        <family val="2"/>
      </rPr>
      <t>Hilti Kwik-HUS-EZ (KH-EZ), según certificación ICC ESR-3027.</t>
    </r>
  </si>
  <si>
    <r>
      <t>b.</t>
    </r>
    <r>
      <rPr>
        <sz val="7"/>
        <color theme="1"/>
        <rFont val="Times New Roman"/>
        <family val="1"/>
      </rPr>
      <t xml:space="preserve">      </t>
    </r>
    <r>
      <rPr>
        <sz val="10"/>
        <color theme="1"/>
        <rFont val="Arial"/>
        <family val="2"/>
      </rPr>
      <t>Hilti Kwik-HUS EZ-I (KH-EZ-I), según certificación ICC ESR-3027.</t>
    </r>
  </si>
  <si>
    <r>
      <t>b.</t>
    </r>
    <r>
      <rPr>
        <sz val="7"/>
        <color theme="1"/>
        <rFont val="Times New Roman"/>
        <family val="1"/>
      </rPr>
      <t xml:space="preserve">      </t>
    </r>
    <r>
      <rPr>
        <sz val="10"/>
        <color theme="1"/>
        <rFont val="Arial"/>
        <family val="2"/>
      </rPr>
      <t>Hilti HSL-3, HSL-3-G, o HSL-3-B, según certificación ICC ESR-1545.</t>
    </r>
  </si>
  <si>
    <r>
      <t>a.</t>
    </r>
    <r>
      <rPr>
        <sz val="7"/>
        <color theme="1"/>
        <rFont val="Times New Roman"/>
        <family val="1"/>
      </rPr>
      <t xml:space="preserve">      </t>
    </r>
    <r>
      <rPr>
        <sz val="10"/>
        <color theme="1"/>
        <rFont val="Arial"/>
        <family val="2"/>
      </rPr>
      <t>Hilti HDA, según certificación ICC ESR-1546.</t>
    </r>
  </si>
  <si>
    <r>
      <t>a.</t>
    </r>
    <r>
      <rPr>
        <sz val="7"/>
        <color theme="1"/>
        <rFont val="Times New Roman"/>
        <family val="1"/>
      </rPr>
      <t xml:space="preserve">      </t>
    </r>
    <r>
      <rPr>
        <sz val="10"/>
        <color theme="1"/>
        <rFont val="Arial"/>
        <family val="2"/>
      </rPr>
      <t>Sistema adhesivo de anclaje Hilti HVA con capsula adhesiva HVU en combinación con cualquiera de los elementos indicados en esta sección (3.2.F).</t>
    </r>
  </si>
  <si>
    <t>ITEM</t>
  </si>
  <si>
    <t>Cantidad total</t>
  </si>
  <si>
    <r>
      <t>El costo de los diferentes productos se puede consultar en el documento de cotización anexo “</t>
    </r>
    <r>
      <rPr>
        <b/>
        <i/>
        <sz val="10"/>
        <color theme="1"/>
        <rFont val="Arial"/>
        <family val="2"/>
      </rPr>
      <t>NombreDeArchivo.pdf</t>
    </r>
    <r>
      <rPr>
        <sz val="10"/>
        <color theme="1"/>
        <rFont val="Arial"/>
        <family val="2"/>
      </rPr>
      <t>”  prevenir el daño de la rosca durante la instalación, junto con sus respectivas tuercas</t>
    </r>
  </si>
  <si>
    <t>Precio unitario</t>
  </si>
  <si>
    <t>Cantidad</t>
  </si>
  <si>
    <t>Precio total</t>
  </si>
  <si>
    <r>
      <t>2.</t>
    </r>
    <r>
      <rPr>
        <sz val="7"/>
        <color theme="1"/>
        <rFont val="Times New Roman"/>
        <family val="1"/>
      </rPr>
      <t xml:space="preserve">      </t>
    </r>
    <r>
      <rPr>
        <sz val="10"/>
        <color theme="1"/>
        <rFont val="Arial"/>
        <family val="2"/>
      </rPr>
      <t>Técnicas de preparación y limpieza de la perforación.</t>
    </r>
  </si>
  <si>
    <r>
      <t>4.</t>
    </r>
    <r>
      <rPr>
        <sz val="7"/>
        <color theme="1"/>
        <rFont val="Times New Roman"/>
        <family val="1"/>
      </rPr>
      <t xml:space="preserve">      </t>
    </r>
    <r>
      <rPr>
        <sz val="10"/>
        <color theme="1"/>
        <rFont val="Arial"/>
        <family val="2"/>
      </rPr>
      <t>Preparación e instalación de las varillas de anclaje.</t>
    </r>
  </si>
  <si>
    <r>
      <t>1.</t>
    </r>
    <r>
      <rPr>
        <sz val="7"/>
        <color theme="1"/>
        <rFont val="Times New Roman"/>
        <family val="1"/>
      </rPr>
      <t xml:space="preserve">      </t>
    </r>
    <r>
      <rPr>
        <sz val="10"/>
        <color theme="1"/>
        <rFont val="Arial"/>
        <family val="2"/>
      </rPr>
      <t>Satisfacer los requerimientos de almacenamiento y manipulación de acuerdo con las indicaciones de la hoja de seguridad (MSDS) suministrada por el fabricante para cada producto.</t>
    </r>
  </si>
  <si>
    <t>HIT-Z ⅜" x 4 ⅜"</t>
  </si>
  <si>
    <t>HIT-Z ⅜" x 5 ⅛"</t>
  </si>
  <si>
    <t>HIT-Z ⅜" x 6 ⅜"</t>
  </si>
  <si>
    <t>HIT-Z ½" x 4 ½"</t>
  </si>
  <si>
    <t>HIT-Z ½" x 6 ½"</t>
  </si>
  <si>
    <t>HIT-Z ½" x 7 ¾"</t>
  </si>
  <si>
    <t>HIT-Z ⅝" x 6"</t>
  </si>
  <si>
    <t>HIT-Z ⅝" x 8"</t>
  </si>
  <si>
    <t>HIT-Z ⅝" x 9 ½"</t>
  </si>
  <si>
    <t>HIT-Z ¾" x 8 ½"</t>
  </si>
  <si>
    <t>HIT-Z ¾" x 9 ¾"</t>
  </si>
  <si>
    <r>
      <t>2.</t>
    </r>
    <r>
      <rPr>
        <sz val="7"/>
        <color theme="1"/>
        <rFont val="Times New Roman"/>
        <family val="1"/>
      </rPr>
      <t xml:space="preserve">      </t>
    </r>
    <r>
      <rPr>
        <sz val="10"/>
        <color theme="1"/>
        <rFont val="Arial"/>
        <family val="2"/>
      </rPr>
      <t>Trabajos en mampostería – NSR-10 Titulo D; IBC División 4.</t>
    </r>
  </si>
  <si>
    <r>
      <t>3.</t>
    </r>
    <r>
      <rPr>
        <sz val="7"/>
        <color theme="1"/>
        <rFont val="Times New Roman"/>
        <family val="1"/>
      </rPr>
      <t xml:space="preserve">      </t>
    </r>
    <r>
      <rPr>
        <sz val="10"/>
        <color theme="1"/>
        <rFont val="Arial"/>
        <family val="2"/>
      </rPr>
      <t>Trabajos en metal – NSR-10 Titulo F; IBC División 5; AISC 316-10.</t>
    </r>
  </si>
  <si>
    <r>
      <t>4.</t>
    </r>
    <r>
      <rPr>
        <sz val="7"/>
        <color theme="1"/>
        <rFont val="Times New Roman"/>
        <family val="1"/>
      </rPr>
      <t xml:space="preserve">      </t>
    </r>
    <r>
      <rPr>
        <sz val="10"/>
        <color theme="1"/>
        <rFont val="Arial"/>
        <family val="2"/>
      </rPr>
      <t>Trabajos de soportería para instalaciones – NSR-10 Titulo K; IBC Divisiones 22,23 y 26; NFPA-13.</t>
    </r>
  </si>
  <si>
    <t>Diámetro de anclajes</t>
  </si>
  <si>
    <t>PARTE 5 – OBSERVACIONES Y COMENTARIOS</t>
  </si>
  <si>
    <t>X</t>
  </si>
  <si>
    <t>Y</t>
  </si>
  <si>
    <t>Z</t>
  </si>
  <si>
    <t>TRACCION (kN)</t>
  </si>
  <si>
    <t>CORTANTE (kN)</t>
  </si>
  <si>
    <t>…</t>
  </si>
  <si>
    <t>n</t>
  </si>
  <si>
    <r>
      <t>A.</t>
    </r>
    <r>
      <rPr>
        <sz val="7"/>
        <color theme="1"/>
        <rFont val="Times New Roman"/>
        <family val="1"/>
      </rPr>
      <t xml:space="preserve">      </t>
    </r>
    <r>
      <rPr>
        <sz val="10"/>
        <color theme="1"/>
        <rFont val="Arial"/>
        <family val="2"/>
      </rPr>
      <t>Fallo por acero:</t>
    </r>
    <r>
      <rPr>
        <sz val="10"/>
        <color rgb="FF808080"/>
        <rFont val="Arial"/>
        <family val="2"/>
      </rPr>
      <t xml:space="preserve"> </t>
    </r>
  </si>
  <si>
    <t>Variables</t>
  </si>
  <si>
    <t>Calculos</t>
  </si>
  <si>
    <t>Resultados</t>
  </si>
  <si>
    <t>UTILIZACIÓN
(%)</t>
  </si>
  <si>
    <t>CAPACIDAD
(kN)</t>
  </si>
  <si>
    <t>CARGA
(kN)</t>
  </si>
  <si>
    <r>
      <t>A.</t>
    </r>
    <r>
      <rPr>
        <sz val="7"/>
        <color theme="1"/>
        <rFont val="Times New Roman"/>
        <family val="1"/>
      </rPr>
      <t xml:space="preserve">      </t>
    </r>
    <r>
      <rPr>
        <sz val="10"/>
        <color theme="1"/>
        <rFont val="Arial"/>
        <family val="2"/>
      </rPr>
      <t>Fallo por acero sin brazo de palanca:</t>
    </r>
    <r>
      <rPr>
        <sz val="10"/>
        <color rgb="FF808080"/>
        <rFont val="Arial"/>
        <family val="2"/>
      </rPr>
      <t xml:space="preserve"> </t>
    </r>
  </si>
  <si>
    <r>
      <t>B.</t>
    </r>
    <r>
      <rPr>
        <sz val="7"/>
        <color theme="1"/>
        <rFont val="Times New Roman"/>
        <family val="1"/>
      </rPr>
      <t xml:space="preserve">      </t>
    </r>
    <r>
      <rPr>
        <sz val="10"/>
        <color theme="1"/>
        <rFont val="Arial"/>
        <family val="2"/>
      </rPr>
      <t>Fallo por acero con brazo de palanca:</t>
    </r>
    <r>
      <rPr>
        <sz val="10"/>
        <color rgb="FF808080"/>
        <rFont val="Arial"/>
        <family val="2"/>
      </rPr>
      <t xml:space="preserve"> </t>
    </r>
  </si>
  <si>
    <t>1.4. Especificación</t>
  </si>
  <si>
    <t>PARTE 2 – MEMORIA DE CALCULO</t>
  </si>
  <si>
    <t>001</t>
  </si>
  <si>
    <t>Resistencia a tensión</t>
  </si>
  <si>
    <t>Peso Normal</t>
  </si>
  <si>
    <r>
      <rPr>
        <b/>
        <sz val="10"/>
        <color theme="1"/>
        <rFont val="Arial"/>
        <family val="2"/>
      </rPr>
      <t>λ</t>
    </r>
    <r>
      <rPr>
        <sz val="10"/>
        <color theme="1"/>
        <rFont val="Arial"/>
        <family val="2"/>
      </rPr>
      <t xml:space="preserve"> =</t>
    </r>
  </si>
  <si>
    <t>Espesor de elemento</t>
  </si>
  <si>
    <t>Diámetro</t>
  </si>
  <si>
    <r>
      <rPr>
        <b/>
        <sz val="10"/>
        <color theme="1"/>
        <rFont val="Arial"/>
        <family val="2"/>
      </rPr>
      <t>X</t>
    </r>
    <r>
      <rPr>
        <sz val="10"/>
        <color theme="1"/>
        <rFont val="Arial"/>
        <family val="2"/>
      </rPr>
      <t xml:space="preserve"> =</t>
    </r>
  </si>
  <si>
    <r>
      <rPr>
        <b/>
        <sz val="10"/>
        <color theme="1"/>
        <rFont val="Arial"/>
        <family val="2"/>
      </rPr>
      <t>Y</t>
    </r>
    <r>
      <rPr>
        <sz val="10"/>
        <color theme="1"/>
        <rFont val="Arial"/>
        <family val="2"/>
      </rPr>
      <t xml:space="preserve"> =</t>
    </r>
  </si>
  <si>
    <r>
      <rPr>
        <b/>
        <sz val="10"/>
        <color theme="1"/>
        <rFont val="Arial"/>
        <family val="2"/>
      </rPr>
      <t>t</t>
    </r>
    <r>
      <rPr>
        <sz val="10"/>
        <color theme="1"/>
        <rFont val="Arial"/>
        <family val="2"/>
      </rPr>
      <t xml:space="preserve"> =</t>
    </r>
  </si>
  <si>
    <t>Completo</t>
  </si>
  <si>
    <t>Tipo de anclaje</t>
  </si>
  <si>
    <t>Adhesivo</t>
  </si>
  <si>
    <t>Referencia</t>
  </si>
  <si>
    <t>Hilti HIT-RE 500-SD</t>
  </si>
  <si>
    <t>Factor de concreto ligero</t>
  </si>
  <si>
    <t>Resistencia de refuerzo calculada</t>
  </si>
  <si>
    <t>factor de grupo</t>
  </si>
  <si>
    <t>Carga muerta</t>
  </si>
  <si>
    <t>Carga viva</t>
  </si>
  <si>
    <t>Fuerza sísmica</t>
  </si>
  <si>
    <t>VALOR (kN)</t>
  </si>
  <si>
    <r>
      <t>Tensión (</t>
    </r>
    <r>
      <rPr>
        <b/>
        <i/>
        <sz val="8"/>
        <color theme="1"/>
        <rFont val="Arial"/>
        <family val="2"/>
      </rPr>
      <t>N</t>
    </r>
    <r>
      <rPr>
        <i/>
        <sz val="8"/>
        <color theme="1"/>
        <rFont val="Arial"/>
        <family val="2"/>
      </rPr>
      <t>)</t>
    </r>
  </si>
  <si>
    <r>
      <t>Compresión (</t>
    </r>
    <r>
      <rPr>
        <b/>
        <i/>
        <sz val="8"/>
        <color theme="1"/>
        <rFont val="Arial"/>
        <family val="2"/>
      </rPr>
      <t>C</t>
    </r>
    <r>
      <rPr>
        <i/>
        <sz val="8"/>
        <color theme="1"/>
        <rFont val="Arial"/>
        <family val="2"/>
      </rPr>
      <t>)</t>
    </r>
  </si>
  <si>
    <t>2.1. DATOS DE ENTRADA</t>
  </si>
  <si>
    <t>Las fuerzas resultantes en cada uno de los anclajes se presentan en las siguientes tablas.</t>
  </si>
  <si>
    <t>Resistencia a compresión</t>
  </si>
  <si>
    <t>Fisuramiento :</t>
  </si>
  <si>
    <t>Refuerzo principal :</t>
  </si>
  <si>
    <t>Profundidad de empotramiento</t>
  </si>
  <si>
    <t>Condiciones de instalación</t>
  </si>
  <si>
    <t>Torque de instalación :</t>
  </si>
  <si>
    <t>Dimensiones de platina</t>
  </si>
  <si>
    <t>Separación de diseño</t>
  </si>
  <si>
    <t>Distancia a borde de diseño</t>
  </si>
  <si>
    <t>Temperatura</t>
  </si>
  <si>
    <t>Otras condiciones</t>
  </si>
  <si>
    <r>
      <t>A.</t>
    </r>
    <r>
      <rPr>
        <sz val="7"/>
        <color theme="1"/>
        <rFont val="Times New Roman"/>
        <family val="1"/>
      </rPr>
      <t xml:space="preserve">      </t>
    </r>
    <r>
      <rPr>
        <sz val="10"/>
        <color theme="1"/>
        <rFont val="Arial"/>
        <family val="2"/>
      </rPr>
      <t>Condiciones básicas de diseño para anclajes:</t>
    </r>
    <r>
      <rPr>
        <sz val="10"/>
        <color rgb="FF808080"/>
        <rFont val="Arial"/>
        <family val="2"/>
      </rPr>
      <t xml:space="preserve"> </t>
    </r>
  </si>
  <si>
    <r>
      <t>B.</t>
    </r>
    <r>
      <rPr>
        <sz val="7"/>
        <color theme="1"/>
        <rFont val="Times New Roman"/>
        <family val="1"/>
      </rPr>
      <t xml:space="preserve">      </t>
    </r>
    <r>
      <rPr>
        <sz val="10"/>
        <color theme="1"/>
        <rFont val="Arial"/>
        <family val="2"/>
      </rPr>
      <t>Condiciones específicas de diseño según certificaciones y/o aprobaciones:</t>
    </r>
    <r>
      <rPr>
        <sz val="10"/>
        <color rgb="FF808080"/>
        <rFont val="Arial"/>
        <family val="2"/>
      </rPr>
      <t xml:space="preserve"> </t>
    </r>
  </si>
  <si>
    <t>Aprobación / Homologación</t>
  </si>
  <si>
    <t>Acero de diseño</t>
  </si>
  <si>
    <r>
      <rPr>
        <b/>
        <sz val="10"/>
        <color theme="1"/>
        <rFont val="Arial"/>
        <family val="2"/>
      </rPr>
      <t>ℓ</t>
    </r>
    <r>
      <rPr>
        <sz val="10"/>
        <color theme="1"/>
        <rFont val="Arial"/>
        <family val="2"/>
      </rPr>
      <t xml:space="preserve"> = </t>
    </r>
  </si>
  <si>
    <t>Adhesivo de diseño</t>
  </si>
  <si>
    <t>Longitud de rigidez uniforme</t>
  </si>
  <si>
    <r>
      <rPr>
        <sz val="10"/>
        <color theme="1"/>
        <rFont val="Arial"/>
        <family val="2"/>
        <scheme val="minor"/>
      </rPr>
      <t>A.</t>
    </r>
    <r>
      <rPr>
        <sz val="7"/>
        <color theme="1"/>
        <rFont val="Arial"/>
        <family val="2"/>
        <scheme val="minor"/>
      </rPr>
      <t xml:space="preserve">      </t>
    </r>
    <r>
      <rPr>
        <sz val="10"/>
        <color theme="1"/>
        <rFont val="Arial"/>
        <family val="2"/>
        <scheme val="minor"/>
      </rPr>
      <t>Efecto de grupo sobre los anclajes:</t>
    </r>
    <r>
      <rPr>
        <sz val="10"/>
        <color rgb="FF808080"/>
        <rFont val="Arial"/>
        <family val="2"/>
        <scheme val="minor"/>
      </rPr>
      <t xml:space="preserve"> </t>
    </r>
  </si>
  <si>
    <r>
      <t>h</t>
    </r>
    <r>
      <rPr>
        <i/>
        <sz val="8"/>
        <color theme="1"/>
        <rFont val="Arial"/>
        <family val="2"/>
      </rPr>
      <t>ef</t>
    </r>
  </si>
  <si>
    <r>
      <t>3·h</t>
    </r>
    <r>
      <rPr>
        <i/>
        <sz val="8"/>
        <color theme="1"/>
        <rFont val="Arial"/>
        <family val="2"/>
      </rPr>
      <t>ef</t>
    </r>
    <r>
      <rPr>
        <sz val="10"/>
        <color theme="1"/>
        <rFont val="Arial"/>
        <family val="2"/>
      </rPr>
      <t xml:space="preserve"> (mm)</t>
    </r>
  </si>
  <si>
    <r>
      <t>2·C</t>
    </r>
    <r>
      <rPr>
        <i/>
        <sz val="8"/>
        <color theme="1"/>
        <rFont val="Arial"/>
        <family val="2"/>
      </rPr>
      <t>na</t>
    </r>
    <r>
      <rPr>
        <sz val="10"/>
        <color theme="1"/>
        <rFont val="Arial"/>
        <family val="2"/>
      </rPr>
      <t xml:space="preserve"> (mm)</t>
    </r>
  </si>
  <si>
    <r>
      <t>3·C</t>
    </r>
    <r>
      <rPr>
        <i/>
        <sz val="8"/>
        <color theme="1"/>
        <rFont val="Arial"/>
        <family val="2"/>
      </rPr>
      <t>a,x</t>
    </r>
    <r>
      <rPr>
        <sz val="10"/>
        <color theme="1"/>
        <rFont val="Arial"/>
        <family val="2"/>
      </rPr>
      <t xml:space="preserve">  (mm)</t>
    </r>
  </si>
  <si>
    <r>
      <t>3·C</t>
    </r>
    <r>
      <rPr>
        <i/>
        <sz val="8"/>
        <color theme="1"/>
        <rFont val="Arial"/>
        <family val="2"/>
      </rPr>
      <t xml:space="preserve">a,y  </t>
    </r>
    <r>
      <rPr>
        <sz val="10"/>
        <color theme="1"/>
        <rFont val="Arial"/>
        <family val="2"/>
      </rPr>
      <t>(mm)</t>
    </r>
  </si>
  <si>
    <r>
      <rPr>
        <sz val="10"/>
        <color theme="1"/>
        <rFont val="Arial"/>
        <family val="2"/>
      </rPr>
      <t>Falla concreto en tensión   (</t>
    </r>
    <r>
      <rPr>
        <b/>
        <sz val="10"/>
        <color theme="1"/>
        <rFont val="Arial"/>
        <family val="2"/>
      </rPr>
      <t>N</t>
    </r>
    <r>
      <rPr>
        <sz val="10"/>
        <color theme="1"/>
        <rFont val="Arial"/>
        <family val="2"/>
      </rPr>
      <t>)</t>
    </r>
  </si>
  <si>
    <r>
      <rPr>
        <sz val="10"/>
        <color theme="1"/>
        <rFont val="Arial"/>
        <family val="2"/>
      </rPr>
      <t>Falla adherencia en 
tensión   (</t>
    </r>
    <r>
      <rPr>
        <b/>
        <sz val="10"/>
        <color theme="1"/>
        <rFont val="Arial"/>
        <family val="2"/>
      </rPr>
      <t>N</t>
    </r>
    <r>
      <rPr>
        <sz val="10"/>
        <color theme="1"/>
        <rFont val="Arial"/>
        <family val="2"/>
      </rPr>
      <t>)</t>
    </r>
  </si>
  <si>
    <r>
      <t>S</t>
    </r>
    <r>
      <rPr>
        <i/>
        <sz val="8"/>
        <color theme="1"/>
        <rFont val="Arial"/>
        <family val="2"/>
      </rPr>
      <t>a,min</t>
    </r>
  </si>
  <si>
    <r>
      <t>h</t>
    </r>
    <r>
      <rPr>
        <i/>
        <sz val="8"/>
        <color theme="1"/>
        <rFont val="Arial"/>
        <family val="2"/>
      </rPr>
      <t>ef</t>
    </r>
    <r>
      <rPr>
        <sz val="10"/>
        <color theme="1"/>
        <rFont val="Arial"/>
        <family val="2"/>
      </rPr>
      <t xml:space="preserve"> (mm)</t>
    </r>
  </si>
  <si>
    <r>
      <t>S</t>
    </r>
    <r>
      <rPr>
        <i/>
        <sz val="8"/>
        <color theme="1"/>
        <rFont val="Arial"/>
        <family val="2"/>
      </rPr>
      <t>a,min</t>
    </r>
    <r>
      <rPr>
        <sz val="10"/>
        <color theme="1"/>
        <rFont val="Arial"/>
        <family val="2"/>
      </rPr>
      <t xml:space="preserve"> (mm)</t>
    </r>
  </si>
  <si>
    <r>
      <t>C</t>
    </r>
    <r>
      <rPr>
        <i/>
        <sz val="8"/>
        <color theme="1"/>
        <rFont val="Arial"/>
        <family val="2"/>
      </rPr>
      <t>a</t>
    </r>
    <r>
      <rPr>
        <sz val="10"/>
        <color theme="1"/>
        <rFont val="Arial"/>
        <family val="2"/>
      </rPr>
      <t xml:space="preserve"> (mm)</t>
    </r>
  </si>
  <si>
    <r>
      <t>h</t>
    </r>
    <r>
      <rPr>
        <i/>
        <sz val="8"/>
        <color theme="1"/>
        <rFont val="Arial"/>
        <family val="2"/>
      </rPr>
      <t>a</t>
    </r>
    <r>
      <rPr>
        <sz val="10"/>
        <color theme="1"/>
        <rFont val="Arial"/>
        <family val="2"/>
      </rPr>
      <t xml:space="preserve">  (mm)</t>
    </r>
  </si>
  <si>
    <r>
      <t>h</t>
    </r>
    <r>
      <rPr>
        <i/>
        <sz val="8"/>
        <color theme="1"/>
        <rFont val="Arial"/>
        <family val="2"/>
      </rPr>
      <t xml:space="preserve">ef  </t>
    </r>
    <r>
      <rPr>
        <sz val="10"/>
        <color theme="1"/>
        <rFont val="Arial"/>
        <family val="2"/>
      </rPr>
      <t>(mm)</t>
    </r>
  </si>
  <si>
    <r>
      <t>C</t>
    </r>
    <r>
      <rPr>
        <i/>
        <sz val="8"/>
        <color theme="1"/>
        <rFont val="Arial"/>
        <family val="2"/>
      </rPr>
      <t>na</t>
    </r>
    <r>
      <rPr>
        <sz val="10"/>
        <color theme="1"/>
        <rFont val="Arial"/>
        <family val="2"/>
      </rPr>
      <t xml:space="preserve"> (mm)</t>
    </r>
  </si>
  <si>
    <t>Incluir el nombre y descripcion corta del proyecto.</t>
  </si>
  <si>
    <t>Las fuerzas equivalentes aplicadas en el grupo/conjunto de anclajes se resumen a continuación.</t>
  </si>
  <si>
    <r>
      <t>N</t>
    </r>
    <r>
      <rPr>
        <i/>
        <sz val="8"/>
        <color theme="1"/>
        <rFont val="Arial"/>
        <family val="2"/>
      </rPr>
      <t>sa</t>
    </r>
    <r>
      <rPr>
        <sz val="10"/>
        <color theme="1"/>
        <rFont val="Arial"/>
        <family val="2"/>
      </rPr>
      <t xml:space="preserve"> (kN)</t>
    </r>
  </si>
  <si>
    <t xml:space="preserve"> - Anclaje más solícitado a tensión:</t>
  </si>
  <si>
    <t xml:space="preserve"> - Anclaje más solícitado a cortante:</t>
  </si>
  <si>
    <r>
      <t>ɸ</t>
    </r>
    <r>
      <rPr>
        <i/>
        <sz val="8"/>
        <color theme="1"/>
        <rFont val="Arial"/>
        <family val="2"/>
      </rPr>
      <t>steel</t>
    </r>
  </si>
  <si>
    <r>
      <rPr>
        <b/>
        <sz val="10"/>
        <color theme="1"/>
        <rFont val="Arial"/>
        <family val="2"/>
      </rPr>
      <t>N</t>
    </r>
    <r>
      <rPr>
        <i/>
        <sz val="8"/>
        <color theme="1"/>
        <rFont val="Arial"/>
        <family val="2"/>
      </rPr>
      <t>sa</t>
    </r>
    <r>
      <rPr>
        <sz val="10"/>
        <color theme="1"/>
        <rFont val="Arial"/>
        <family val="2"/>
      </rPr>
      <t xml:space="preserve"> (kN)</t>
    </r>
  </si>
  <si>
    <r>
      <t>ɸN</t>
    </r>
    <r>
      <rPr>
        <i/>
        <sz val="8"/>
        <color theme="1"/>
        <rFont val="Arial"/>
        <family val="2"/>
      </rPr>
      <t>sa</t>
    </r>
    <r>
      <rPr>
        <sz val="10"/>
        <color theme="1"/>
        <rFont val="Arial"/>
        <family val="2"/>
      </rPr>
      <t xml:space="preserve"> (kN)</t>
    </r>
  </si>
  <si>
    <r>
      <rPr>
        <b/>
        <sz val="10"/>
        <color theme="1"/>
        <rFont val="Arial"/>
        <family val="2"/>
      </rPr>
      <t>N</t>
    </r>
    <r>
      <rPr>
        <i/>
        <sz val="8"/>
        <color theme="1"/>
        <rFont val="Arial"/>
        <family val="2"/>
      </rPr>
      <t>ua</t>
    </r>
    <r>
      <rPr>
        <sz val="10"/>
        <color theme="1"/>
        <rFont val="Arial"/>
        <family val="2"/>
      </rPr>
      <t xml:space="preserve"> (kN)</t>
    </r>
  </si>
  <si>
    <r>
      <t xml:space="preserve">ANCLAJE 
</t>
    </r>
    <r>
      <rPr>
        <b/>
        <sz val="8"/>
        <color theme="1"/>
        <rFont val="Arial"/>
        <family val="2"/>
      </rPr>
      <t>#</t>
    </r>
  </si>
  <si>
    <r>
      <t xml:space="preserve">TRACCION 
</t>
    </r>
    <r>
      <rPr>
        <b/>
        <sz val="10"/>
        <color theme="1"/>
        <rFont val="Arial"/>
        <family val="2"/>
      </rPr>
      <t>N</t>
    </r>
    <r>
      <rPr>
        <i/>
        <sz val="8"/>
        <color theme="1"/>
        <rFont val="Arial"/>
        <family val="2"/>
      </rPr>
      <t xml:space="preserve">ua </t>
    </r>
    <r>
      <rPr>
        <sz val="8"/>
        <color theme="1"/>
        <rFont val="Arial"/>
        <family val="2"/>
      </rPr>
      <t>(kN)</t>
    </r>
  </si>
  <si>
    <r>
      <rPr>
        <b/>
        <sz val="10"/>
        <color theme="1"/>
        <rFont val="Arial"/>
        <family val="2"/>
      </rPr>
      <t>N</t>
    </r>
    <r>
      <rPr>
        <i/>
        <sz val="8"/>
        <color theme="1"/>
        <rFont val="Arial"/>
        <family val="2"/>
      </rPr>
      <t>sa</t>
    </r>
  </si>
  <si>
    <t>Hace referencia al ICC-ES ESR respectivo.</t>
  </si>
  <si>
    <r>
      <rPr>
        <b/>
        <sz val="10"/>
        <color theme="1"/>
        <rFont val="Arial"/>
        <family val="2"/>
      </rPr>
      <t>ɸN</t>
    </r>
    <r>
      <rPr>
        <i/>
        <sz val="8"/>
        <color theme="1"/>
        <rFont val="Arial"/>
        <family val="2"/>
      </rPr>
      <t>sa</t>
    </r>
    <r>
      <rPr>
        <sz val="10"/>
        <color theme="1"/>
        <rFont val="Arial"/>
        <family val="2"/>
      </rPr>
      <t xml:space="preserve"> ≥ </t>
    </r>
    <r>
      <rPr>
        <b/>
        <sz val="10"/>
        <color theme="1"/>
        <rFont val="Arial"/>
        <family val="2"/>
      </rPr>
      <t>N</t>
    </r>
    <r>
      <rPr>
        <i/>
        <sz val="8"/>
        <color theme="1"/>
        <rFont val="Arial"/>
        <family val="2"/>
      </rPr>
      <t>ua</t>
    </r>
  </si>
  <si>
    <t>ACI 318-11, Tabla D.4.1.1</t>
  </si>
  <si>
    <r>
      <t>B.</t>
    </r>
    <r>
      <rPr>
        <sz val="7"/>
        <color theme="1"/>
        <rFont val="Times New Roman"/>
        <family val="1"/>
      </rPr>
      <t xml:space="preserve">      </t>
    </r>
    <r>
      <rPr>
        <sz val="10"/>
        <color theme="1"/>
        <rFont val="Arial"/>
        <family val="2"/>
      </rPr>
      <t>Fallo por rotura de concreto:</t>
    </r>
    <r>
      <rPr>
        <sz val="10"/>
        <color rgb="FF808080"/>
        <rFont val="Arial"/>
        <family val="2"/>
      </rPr>
      <t xml:space="preserve"> </t>
    </r>
  </si>
  <si>
    <r>
      <t>C.</t>
    </r>
    <r>
      <rPr>
        <sz val="7"/>
        <color theme="1"/>
        <rFont val="Times New Roman"/>
        <family val="1"/>
      </rPr>
      <t xml:space="preserve">      </t>
    </r>
    <r>
      <rPr>
        <sz val="10"/>
        <color theme="1"/>
        <rFont val="Arial"/>
        <family val="2"/>
      </rPr>
      <t>Fallo por extracción:</t>
    </r>
    <r>
      <rPr>
        <sz val="10"/>
        <color rgb="FF808080"/>
        <rFont val="Arial"/>
        <family val="2"/>
      </rPr>
      <t xml:space="preserve"> </t>
    </r>
  </si>
  <si>
    <r>
      <t>D.</t>
    </r>
    <r>
      <rPr>
        <sz val="7"/>
        <color theme="1"/>
        <rFont val="Times New Roman"/>
        <family val="1"/>
      </rPr>
      <t xml:space="preserve">      </t>
    </r>
    <r>
      <rPr>
        <sz val="10"/>
        <color theme="1"/>
        <rFont val="Arial"/>
        <family val="2"/>
      </rPr>
      <t>Fallo por adherencia:</t>
    </r>
    <r>
      <rPr>
        <sz val="10"/>
        <color rgb="FF808080"/>
        <rFont val="Arial"/>
        <family val="2"/>
      </rPr>
      <t xml:space="preserve"> </t>
    </r>
  </si>
  <si>
    <r>
      <rPr>
        <b/>
        <sz val="10"/>
        <color theme="1"/>
        <rFont val="Arial"/>
        <family val="2"/>
      </rPr>
      <t>N</t>
    </r>
    <r>
      <rPr>
        <i/>
        <sz val="8"/>
        <color theme="1"/>
        <rFont val="Arial"/>
        <family val="2"/>
      </rPr>
      <t>cbg</t>
    </r>
    <r>
      <rPr>
        <sz val="10"/>
        <color theme="1"/>
        <rFont val="Arial"/>
        <family val="2"/>
      </rPr>
      <t xml:space="preserve"> (kN)</t>
    </r>
  </si>
  <si>
    <r>
      <t>ɸ</t>
    </r>
    <r>
      <rPr>
        <i/>
        <sz val="8"/>
        <color theme="1"/>
        <rFont val="Arial"/>
        <family val="2"/>
      </rPr>
      <t>concrete</t>
    </r>
  </si>
  <si>
    <r>
      <t>ɸN</t>
    </r>
    <r>
      <rPr>
        <i/>
        <sz val="8"/>
        <color theme="1"/>
        <rFont val="Arial"/>
        <family val="2"/>
      </rPr>
      <t>cbg</t>
    </r>
    <r>
      <rPr>
        <sz val="10"/>
        <color theme="1"/>
        <rFont val="Arial"/>
        <family val="2"/>
      </rPr>
      <t xml:space="preserve"> (kN)</t>
    </r>
  </si>
  <si>
    <r>
      <t>N</t>
    </r>
    <r>
      <rPr>
        <i/>
        <sz val="8"/>
        <color theme="1"/>
        <rFont val="Arial"/>
        <family val="2"/>
      </rPr>
      <t>b</t>
    </r>
    <r>
      <rPr>
        <sz val="10"/>
        <color theme="1"/>
        <rFont val="Arial"/>
        <family val="2"/>
      </rPr>
      <t xml:space="preserve"> (kN)</t>
    </r>
  </si>
  <si>
    <r>
      <t>N</t>
    </r>
    <r>
      <rPr>
        <i/>
        <sz val="8"/>
        <color theme="1"/>
        <rFont val="Arial"/>
        <family val="2"/>
      </rPr>
      <t>cbg</t>
    </r>
    <r>
      <rPr>
        <sz val="10"/>
        <color theme="1"/>
        <rFont val="Arial"/>
        <family val="2"/>
      </rPr>
      <t xml:space="preserve"> (kN)</t>
    </r>
  </si>
  <si>
    <r>
      <rPr>
        <b/>
        <sz val="12"/>
        <color theme="1"/>
        <rFont val="Arial"/>
        <family val="2"/>
      </rPr>
      <t>ψ</t>
    </r>
    <r>
      <rPr>
        <i/>
        <sz val="8"/>
        <color theme="1"/>
        <rFont val="Arial"/>
        <family val="2"/>
      </rPr>
      <t>ec,N</t>
    </r>
  </si>
  <si>
    <r>
      <rPr>
        <b/>
        <sz val="12"/>
        <color theme="1"/>
        <rFont val="Arial"/>
        <family val="2"/>
      </rPr>
      <t>ψ</t>
    </r>
    <r>
      <rPr>
        <i/>
        <sz val="8"/>
        <color theme="1"/>
        <rFont val="Arial"/>
        <family val="2"/>
      </rPr>
      <t>ed,N</t>
    </r>
  </si>
  <si>
    <r>
      <rPr>
        <b/>
        <sz val="12"/>
        <color theme="1"/>
        <rFont val="Arial"/>
        <family val="2"/>
      </rPr>
      <t>ψ</t>
    </r>
    <r>
      <rPr>
        <i/>
        <sz val="8"/>
        <color theme="1"/>
        <rFont val="Arial"/>
        <family val="2"/>
      </rPr>
      <t>c,N</t>
    </r>
  </si>
  <si>
    <r>
      <rPr>
        <b/>
        <sz val="12"/>
        <color theme="1"/>
        <rFont val="Arial"/>
        <family val="2"/>
      </rPr>
      <t>ψ</t>
    </r>
    <r>
      <rPr>
        <i/>
        <sz val="8"/>
        <color theme="1"/>
        <rFont val="Arial"/>
        <family val="2"/>
      </rPr>
      <t>cp,N</t>
    </r>
  </si>
  <si>
    <r>
      <t>C</t>
    </r>
    <r>
      <rPr>
        <i/>
        <sz val="8"/>
        <color theme="1"/>
        <rFont val="Arial"/>
        <family val="2"/>
      </rPr>
      <t>a</t>
    </r>
  </si>
  <si>
    <r>
      <t>h</t>
    </r>
    <r>
      <rPr>
        <i/>
        <sz val="8"/>
        <color theme="1"/>
        <rFont val="Arial"/>
        <family val="2"/>
      </rPr>
      <t>a</t>
    </r>
  </si>
  <si>
    <r>
      <t>e</t>
    </r>
    <r>
      <rPr>
        <i/>
        <sz val="8"/>
        <color theme="1"/>
        <rFont val="Arial"/>
        <family val="2"/>
      </rPr>
      <t>cx,N</t>
    </r>
    <r>
      <rPr>
        <sz val="10"/>
        <color theme="1"/>
        <rFont val="Arial"/>
        <family val="2"/>
      </rPr>
      <t xml:space="preserve"> (mm)</t>
    </r>
  </si>
  <si>
    <r>
      <t>e</t>
    </r>
    <r>
      <rPr>
        <i/>
        <sz val="8"/>
        <color theme="1"/>
        <rFont val="Arial"/>
        <family val="2"/>
      </rPr>
      <t>cy,N</t>
    </r>
    <r>
      <rPr>
        <sz val="10"/>
        <color theme="1"/>
        <rFont val="Arial"/>
        <family val="2"/>
      </rPr>
      <t xml:space="preserve"> (mm)</t>
    </r>
  </si>
  <si>
    <r>
      <t>C</t>
    </r>
    <r>
      <rPr>
        <i/>
        <sz val="8"/>
        <color theme="1"/>
        <rFont val="Arial"/>
        <family val="2"/>
      </rPr>
      <t>a,min</t>
    </r>
    <r>
      <rPr>
        <sz val="10"/>
        <color theme="1"/>
        <rFont val="Arial"/>
        <family val="2"/>
      </rPr>
      <t xml:space="preserve"> (mm)</t>
    </r>
  </si>
  <si>
    <r>
      <t>C</t>
    </r>
    <r>
      <rPr>
        <i/>
        <sz val="8"/>
        <color theme="1"/>
        <rFont val="Arial"/>
        <family val="2"/>
      </rPr>
      <t>ac</t>
    </r>
    <r>
      <rPr>
        <sz val="10"/>
        <color theme="1"/>
        <rFont val="Arial"/>
        <family val="2"/>
      </rPr>
      <t xml:space="preserve"> (mm)</t>
    </r>
  </si>
  <si>
    <r>
      <t>k</t>
    </r>
    <r>
      <rPr>
        <i/>
        <sz val="10"/>
        <color theme="1"/>
        <rFont val="Arial"/>
        <family val="2"/>
      </rPr>
      <t>c</t>
    </r>
  </si>
  <si>
    <r>
      <t>λ</t>
    </r>
    <r>
      <rPr>
        <i/>
        <sz val="8"/>
        <color theme="1"/>
        <rFont val="Arial"/>
        <family val="2"/>
      </rPr>
      <t xml:space="preserve">a </t>
    </r>
  </si>
  <si>
    <r>
      <rPr>
        <b/>
        <sz val="10"/>
        <color theme="1"/>
        <rFont val="Arial"/>
        <family val="2"/>
      </rPr>
      <t>Ƭ</t>
    </r>
    <r>
      <rPr>
        <i/>
        <sz val="8"/>
        <color theme="1"/>
        <rFont val="Arial"/>
        <family val="2"/>
      </rPr>
      <t>uncr</t>
    </r>
    <r>
      <rPr>
        <sz val="10"/>
        <color theme="1"/>
        <rFont val="Arial"/>
        <family val="2"/>
      </rPr>
      <t xml:space="preserve"> = </t>
    </r>
  </si>
  <si>
    <r>
      <rPr>
        <b/>
        <sz val="10"/>
        <color theme="1"/>
        <rFont val="Arial"/>
        <family val="2"/>
      </rPr>
      <t>Ƭ</t>
    </r>
    <r>
      <rPr>
        <i/>
        <sz val="8"/>
        <color theme="1"/>
        <rFont val="Arial"/>
        <family val="2"/>
      </rPr>
      <t>cr</t>
    </r>
    <r>
      <rPr>
        <sz val="10"/>
        <color theme="1"/>
        <rFont val="Arial"/>
        <family val="2"/>
      </rPr>
      <t xml:space="preserve"> = </t>
    </r>
  </si>
  <si>
    <r>
      <rPr>
        <b/>
        <sz val="10"/>
        <color theme="1"/>
        <rFont val="Arial"/>
        <family val="2"/>
      </rPr>
      <t>f</t>
    </r>
    <r>
      <rPr>
        <i/>
        <sz val="8"/>
        <color theme="1"/>
        <rFont val="Arial"/>
        <family val="2"/>
      </rPr>
      <t>uta</t>
    </r>
    <r>
      <rPr>
        <sz val="10"/>
        <color theme="1"/>
        <rFont val="Arial"/>
        <family val="2"/>
      </rPr>
      <t xml:space="preserve"> = </t>
    </r>
  </si>
  <si>
    <r>
      <rPr>
        <b/>
        <sz val="10"/>
        <color theme="1"/>
        <rFont val="Arial"/>
        <family val="2"/>
      </rPr>
      <t>f</t>
    </r>
    <r>
      <rPr>
        <i/>
        <sz val="8"/>
        <color theme="1"/>
        <rFont val="Arial"/>
        <family val="2"/>
      </rPr>
      <t>y</t>
    </r>
    <r>
      <rPr>
        <sz val="10"/>
        <color theme="1"/>
        <rFont val="Arial"/>
        <family val="2"/>
      </rPr>
      <t xml:space="preserve"> = </t>
    </r>
  </si>
  <si>
    <r>
      <rPr>
        <b/>
        <sz val="10"/>
        <color theme="1"/>
        <rFont val="Arial"/>
        <family val="2"/>
      </rPr>
      <t>ɸ</t>
    </r>
    <r>
      <rPr>
        <i/>
        <sz val="8"/>
        <color theme="1"/>
        <rFont val="Arial"/>
        <family val="2"/>
      </rPr>
      <t>nn</t>
    </r>
    <r>
      <rPr>
        <sz val="10"/>
        <color theme="1"/>
        <rFont val="Arial"/>
        <family val="2"/>
      </rPr>
      <t xml:space="preserve"> = </t>
    </r>
  </si>
  <si>
    <r>
      <rPr>
        <b/>
        <sz val="10"/>
        <color theme="1"/>
        <rFont val="Arial"/>
        <family val="2"/>
      </rPr>
      <t>k</t>
    </r>
    <r>
      <rPr>
        <i/>
        <sz val="8"/>
        <color theme="1"/>
        <rFont val="Arial"/>
        <family val="2"/>
      </rPr>
      <t>c</t>
    </r>
    <r>
      <rPr>
        <sz val="10"/>
        <color theme="1"/>
        <rFont val="Arial"/>
        <family val="2"/>
      </rPr>
      <t xml:space="preserve"> = </t>
    </r>
  </si>
  <si>
    <r>
      <rPr>
        <b/>
        <sz val="10"/>
        <color theme="1"/>
        <rFont val="Arial"/>
        <family val="2"/>
      </rPr>
      <t>ψ</t>
    </r>
    <r>
      <rPr>
        <i/>
        <sz val="8"/>
        <color theme="1"/>
        <rFont val="Arial"/>
        <family val="2"/>
      </rPr>
      <t>c,N</t>
    </r>
    <r>
      <rPr>
        <sz val="10"/>
        <color theme="1"/>
        <rFont val="Arial"/>
        <family val="2"/>
      </rPr>
      <t xml:space="preserve"> = </t>
    </r>
  </si>
  <si>
    <r>
      <rPr>
        <b/>
        <sz val="10"/>
        <color theme="1"/>
        <rFont val="Arial"/>
        <family val="2"/>
      </rPr>
      <t>α</t>
    </r>
    <r>
      <rPr>
        <i/>
        <sz val="8"/>
        <color theme="1"/>
        <rFont val="Arial"/>
        <family val="2"/>
      </rPr>
      <t>N,seis</t>
    </r>
    <r>
      <rPr>
        <sz val="10"/>
        <color theme="1"/>
        <rFont val="Arial"/>
        <family val="2"/>
      </rPr>
      <t xml:space="preserve"> = </t>
    </r>
  </si>
  <si>
    <r>
      <rPr>
        <b/>
        <sz val="10"/>
        <color theme="1"/>
        <rFont val="Arial"/>
        <family val="2"/>
      </rPr>
      <t>T</t>
    </r>
    <r>
      <rPr>
        <i/>
        <sz val="8"/>
        <color theme="1"/>
        <rFont val="Arial"/>
        <family val="2"/>
      </rPr>
      <t>max,red</t>
    </r>
    <r>
      <rPr>
        <sz val="10"/>
        <color theme="1"/>
        <rFont val="Arial"/>
        <family val="2"/>
      </rPr>
      <t xml:space="preserve"> = </t>
    </r>
  </si>
  <si>
    <r>
      <rPr>
        <b/>
        <sz val="10"/>
        <color theme="1"/>
        <rFont val="Arial"/>
        <family val="2"/>
      </rPr>
      <t>T</t>
    </r>
    <r>
      <rPr>
        <i/>
        <sz val="8"/>
        <color theme="1"/>
        <rFont val="Arial"/>
        <family val="2"/>
      </rPr>
      <t>max</t>
    </r>
    <r>
      <rPr>
        <sz val="10"/>
        <color theme="1"/>
        <rFont val="Arial"/>
        <family val="2"/>
      </rPr>
      <t xml:space="preserve"> = </t>
    </r>
  </si>
  <si>
    <r>
      <rPr>
        <b/>
        <sz val="10"/>
        <color theme="1"/>
        <rFont val="Arial"/>
        <family val="2"/>
      </rPr>
      <t>C</t>
    </r>
    <r>
      <rPr>
        <i/>
        <sz val="8"/>
        <color theme="1"/>
        <rFont val="Arial"/>
        <family val="2"/>
      </rPr>
      <t>min</t>
    </r>
    <r>
      <rPr>
        <sz val="10"/>
        <color theme="1"/>
        <rFont val="Arial"/>
        <family val="2"/>
      </rPr>
      <t xml:space="preserve"> = </t>
    </r>
  </si>
  <si>
    <r>
      <rPr>
        <b/>
        <sz val="10"/>
        <color theme="1"/>
        <rFont val="Arial"/>
        <family val="2"/>
      </rPr>
      <t>S</t>
    </r>
    <r>
      <rPr>
        <i/>
        <sz val="8"/>
        <color theme="1"/>
        <rFont val="Arial"/>
        <family val="2"/>
      </rPr>
      <t>min</t>
    </r>
    <r>
      <rPr>
        <sz val="10"/>
        <color theme="1"/>
        <rFont val="Arial"/>
        <family val="2"/>
      </rPr>
      <t xml:space="preserve"> = </t>
    </r>
  </si>
  <si>
    <r>
      <rPr>
        <b/>
        <sz val="10"/>
        <color theme="1"/>
        <rFont val="Arial"/>
        <family val="2"/>
      </rPr>
      <t>C</t>
    </r>
    <r>
      <rPr>
        <i/>
        <sz val="8"/>
        <color theme="1"/>
        <rFont val="Arial"/>
        <family val="2"/>
      </rPr>
      <t>ac</t>
    </r>
    <r>
      <rPr>
        <sz val="10"/>
        <color theme="1"/>
        <rFont val="Arial"/>
        <family val="2"/>
      </rPr>
      <t xml:space="preserve"> = </t>
    </r>
  </si>
  <si>
    <r>
      <rPr>
        <b/>
        <sz val="10"/>
        <color theme="1"/>
        <rFont val="Arial"/>
        <family val="2"/>
      </rPr>
      <t>C</t>
    </r>
    <r>
      <rPr>
        <sz val="8"/>
        <color theme="1"/>
        <rFont val="Arial"/>
        <family val="2"/>
      </rPr>
      <t>na</t>
    </r>
    <r>
      <rPr>
        <sz val="10"/>
        <color theme="1"/>
        <rFont val="Arial"/>
        <family val="2"/>
      </rPr>
      <t xml:space="preserve"> = </t>
    </r>
  </si>
  <si>
    <r>
      <rPr>
        <b/>
        <sz val="10"/>
        <color theme="1"/>
        <rFont val="Arial"/>
        <family val="2"/>
      </rPr>
      <t>h</t>
    </r>
    <r>
      <rPr>
        <i/>
        <sz val="8"/>
        <color theme="1"/>
        <rFont val="Arial"/>
        <family val="2"/>
      </rPr>
      <t>min</t>
    </r>
    <r>
      <rPr>
        <sz val="10"/>
        <color theme="1"/>
        <rFont val="Arial"/>
        <family val="2"/>
      </rPr>
      <t xml:space="preserve"> = </t>
    </r>
  </si>
  <si>
    <r>
      <rPr>
        <b/>
        <sz val="10"/>
        <color theme="1"/>
        <rFont val="Arial"/>
        <family val="2"/>
      </rPr>
      <t>λ</t>
    </r>
    <r>
      <rPr>
        <i/>
        <sz val="8"/>
        <color theme="1"/>
        <rFont val="Arial"/>
        <family val="2"/>
      </rPr>
      <t>a</t>
    </r>
    <r>
      <rPr>
        <sz val="10"/>
        <color theme="1"/>
        <rFont val="Arial"/>
        <family val="2"/>
      </rPr>
      <t xml:space="preserve"> = </t>
    </r>
  </si>
  <si>
    <r>
      <rPr>
        <b/>
        <sz val="10"/>
        <color theme="1"/>
        <rFont val="Arial"/>
        <family val="2"/>
      </rPr>
      <t>N</t>
    </r>
    <r>
      <rPr>
        <i/>
        <sz val="8"/>
        <color theme="1"/>
        <rFont val="Arial"/>
        <family val="2"/>
      </rPr>
      <t>cb'</t>
    </r>
    <r>
      <rPr>
        <sz val="10"/>
        <color theme="1"/>
        <rFont val="Arial"/>
        <family val="2"/>
      </rPr>
      <t xml:space="preserve"> =</t>
    </r>
  </si>
  <si>
    <r>
      <rPr>
        <b/>
        <sz val="10"/>
        <color theme="1"/>
        <rFont val="Arial"/>
        <family val="2"/>
      </rPr>
      <t>V</t>
    </r>
    <r>
      <rPr>
        <i/>
        <sz val="8"/>
        <color theme="1"/>
        <rFont val="Arial"/>
        <family val="2"/>
      </rPr>
      <t>cb'</t>
    </r>
    <r>
      <rPr>
        <sz val="10"/>
        <color theme="1"/>
        <rFont val="Arial"/>
        <family val="2"/>
      </rPr>
      <t xml:space="preserve"> =</t>
    </r>
  </si>
  <si>
    <r>
      <rPr>
        <b/>
        <sz val="10"/>
        <color theme="1"/>
        <rFont val="Arial"/>
        <family val="2"/>
      </rPr>
      <t>d</t>
    </r>
    <r>
      <rPr>
        <i/>
        <sz val="8"/>
        <color theme="1"/>
        <rFont val="Arial"/>
        <family val="2"/>
      </rPr>
      <t>a</t>
    </r>
    <r>
      <rPr>
        <sz val="10"/>
        <color theme="1"/>
        <rFont val="Arial"/>
        <family val="2"/>
      </rPr>
      <t xml:space="preserve"> = </t>
    </r>
  </si>
  <si>
    <r>
      <rPr>
        <b/>
        <sz val="10"/>
        <color theme="1"/>
        <rFont val="Arial"/>
        <family val="2"/>
      </rPr>
      <t>h</t>
    </r>
    <r>
      <rPr>
        <sz val="8"/>
        <color theme="1"/>
        <rFont val="Arial"/>
        <family val="2"/>
      </rPr>
      <t>ef</t>
    </r>
    <r>
      <rPr>
        <sz val="10"/>
        <color theme="1"/>
        <rFont val="Arial"/>
        <family val="2"/>
      </rPr>
      <t xml:space="preserve"> =</t>
    </r>
  </si>
  <si>
    <r>
      <rPr>
        <b/>
        <sz val="10"/>
        <color theme="1"/>
        <rFont val="Arial"/>
        <family val="2"/>
      </rPr>
      <t>h</t>
    </r>
    <r>
      <rPr>
        <sz val="8"/>
        <color theme="1"/>
        <rFont val="Arial"/>
        <family val="2"/>
      </rPr>
      <t>ef,min</t>
    </r>
    <r>
      <rPr>
        <sz val="10"/>
        <color theme="1"/>
        <rFont val="Arial"/>
        <family val="2"/>
      </rPr>
      <t xml:space="preserve"> = </t>
    </r>
  </si>
  <si>
    <r>
      <rPr>
        <b/>
        <sz val="10"/>
        <color theme="1"/>
        <rFont val="Arial"/>
        <family val="2"/>
      </rPr>
      <t>h</t>
    </r>
    <r>
      <rPr>
        <sz val="8"/>
        <color theme="1"/>
        <rFont val="Arial"/>
        <family val="2"/>
      </rPr>
      <t>ef,max</t>
    </r>
    <r>
      <rPr>
        <sz val="10"/>
        <color theme="1"/>
        <rFont val="Arial"/>
        <family val="2"/>
      </rPr>
      <t xml:space="preserve"> = </t>
    </r>
  </si>
  <si>
    <r>
      <rPr>
        <b/>
        <sz val="10"/>
        <color theme="1"/>
        <rFont val="Arial"/>
        <family val="2"/>
      </rPr>
      <t>C</t>
    </r>
    <r>
      <rPr>
        <sz val="8"/>
        <color theme="1"/>
        <rFont val="Arial"/>
        <family val="2"/>
      </rPr>
      <t>a,x</t>
    </r>
    <r>
      <rPr>
        <sz val="10"/>
        <color theme="1"/>
        <rFont val="Arial"/>
        <family val="2"/>
      </rPr>
      <t xml:space="preserve"> = </t>
    </r>
  </si>
  <si>
    <r>
      <rPr>
        <b/>
        <sz val="10"/>
        <color theme="1"/>
        <rFont val="Arial"/>
        <family val="2"/>
      </rPr>
      <t>C</t>
    </r>
    <r>
      <rPr>
        <sz val="8"/>
        <color theme="1"/>
        <rFont val="Arial"/>
        <family val="2"/>
      </rPr>
      <t>a,y</t>
    </r>
    <r>
      <rPr>
        <sz val="10"/>
        <color theme="1"/>
        <rFont val="Arial"/>
        <family val="2"/>
      </rPr>
      <t xml:space="preserve"> = </t>
    </r>
  </si>
  <si>
    <r>
      <rPr>
        <b/>
        <sz val="10"/>
        <color theme="1"/>
        <rFont val="Arial"/>
        <family val="2"/>
      </rPr>
      <t>f'</t>
    </r>
    <r>
      <rPr>
        <i/>
        <sz val="8"/>
        <color theme="1"/>
        <rFont val="Arial"/>
        <family val="2"/>
      </rPr>
      <t>c,grout</t>
    </r>
    <r>
      <rPr>
        <sz val="10"/>
        <color theme="1"/>
        <rFont val="Arial"/>
        <family val="2"/>
      </rPr>
      <t xml:space="preserve"> = </t>
    </r>
  </si>
  <si>
    <r>
      <rPr>
        <b/>
        <sz val="10"/>
        <color theme="1"/>
        <rFont val="Arial"/>
        <family val="2"/>
      </rPr>
      <t>f'</t>
    </r>
    <r>
      <rPr>
        <i/>
        <sz val="8"/>
        <color theme="1"/>
        <rFont val="Arial"/>
        <family val="2"/>
      </rPr>
      <t>c</t>
    </r>
    <r>
      <rPr>
        <sz val="10"/>
        <color theme="1"/>
        <rFont val="Arial"/>
        <family val="2"/>
      </rPr>
      <t xml:space="preserve"> = </t>
    </r>
  </si>
  <si>
    <r>
      <rPr>
        <b/>
        <sz val="10"/>
        <color theme="1"/>
        <rFont val="Arial"/>
        <family val="2"/>
      </rPr>
      <t>f'</t>
    </r>
    <r>
      <rPr>
        <i/>
        <sz val="8"/>
        <color theme="1"/>
        <rFont val="Arial"/>
        <family val="2"/>
      </rPr>
      <t>ct</t>
    </r>
    <r>
      <rPr>
        <sz val="10"/>
        <color theme="1"/>
        <rFont val="Arial"/>
        <family val="2"/>
      </rPr>
      <t xml:space="preserve"> = </t>
    </r>
  </si>
  <si>
    <r>
      <t xml:space="preserve">Instalación </t>
    </r>
    <r>
      <rPr>
        <b/>
        <sz val="10"/>
        <color theme="1"/>
        <rFont val="Arial"/>
        <family val="2"/>
      </rPr>
      <t>T</t>
    </r>
    <r>
      <rPr>
        <i/>
        <sz val="8"/>
        <color theme="1"/>
        <rFont val="Arial"/>
        <family val="2"/>
      </rPr>
      <t>o</t>
    </r>
    <r>
      <rPr>
        <sz val="10"/>
        <color theme="1"/>
        <rFont val="Arial"/>
        <family val="2"/>
      </rPr>
      <t xml:space="preserve"> = </t>
    </r>
  </si>
  <si>
    <r>
      <t xml:space="preserve">Corto plazo </t>
    </r>
    <r>
      <rPr>
        <b/>
        <sz val="10"/>
        <color theme="1"/>
        <rFont val="Arial"/>
        <family val="2"/>
      </rPr>
      <t>T</t>
    </r>
    <r>
      <rPr>
        <i/>
        <sz val="8"/>
        <color theme="1"/>
        <rFont val="Arial"/>
        <family val="2"/>
      </rPr>
      <t>c</t>
    </r>
    <r>
      <rPr>
        <sz val="10"/>
        <color theme="1"/>
        <rFont val="Arial"/>
        <family val="2"/>
      </rPr>
      <t xml:space="preserve"> = </t>
    </r>
  </si>
  <si>
    <r>
      <t xml:space="preserve">Largo plazo </t>
    </r>
    <r>
      <rPr>
        <b/>
        <sz val="10"/>
        <color theme="1"/>
        <rFont val="Arial"/>
        <family val="2"/>
      </rPr>
      <t>T</t>
    </r>
    <r>
      <rPr>
        <i/>
        <sz val="8"/>
        <color theme="1"/>
        <rFont val="Arial"/>
        <family val="2"/>
      </rPr>
      <t>e</t>
    </r>
    <r>
      <rPr>
        <sz val="10"/>
        <color theme="1"/>
        <rFont val="Arial"/>
        <family val="2"/>
      </rPr>
      <t xml:space="preserve"> = </t>
    </r>
  </si>
  <si>
    <r>
      <t>f'</t>
    </r>
    <r>
      <rPr>
        <i/>
        <sz val="8"/>
        <color theme="1"/>
        <rFont val="Arial"/>
        <family val="2"/>
      </rPr>
      <t>c</t>
    </r>
    <r>
      <rPr>
        <sz val="10"/>
        <color theme="1"/>
        <rFont val="Arial"/>
        <family val="2"/>
      </rPr>
      <t xml:space="preserve">  (MPa)</t>
    </r>
  </si>
  <si>
    <r>
      <t>ψ</t>
    </r>
    <r>
      <rPr>
        <i/>
        <sz val="8"/>
        <color theme="1"/>
        <rFont val="Arial"/>
        <family val="2"/>
      </rPr>
      <t>c,P</t>
    </r>
  </si>
  <si>
    <r>
      <t>N</t>
    </r>
    <r>
      <rPr>
        <i/>
        <sz val="8"/>
        <color theme="1"/>
        <rFont val="Arial"/>
        <family val="2"/>
      </rPr>
      <t>p</t>
    </r>
    <r>
      <rPr>
        <sz val="10"/>
        <color theme="1"/>
        <rFont val="Arial"/>
        <family val="2"/>
      </rPr>
      <t xml:space="preserve">  (kN)</t>
    </r>
  </si>
  <si>
    <r>
      <t>N</t>
    </r>
    <r>
      <rPr>
        <i/>
        <sz val="8"/>
        <color theme="1"/>
        <rFont val="Arial"/>
        <family val="2"/>
      </rPr>
      <t>pn</t>
    </r>
    <r>
      <rPr>
        <sz val="10"/>
        <color theme="1"/>
        <rFont val="Arial"/>
        <family val="2"/>
      </rPr>
      <t xml:space="preserve">  (kN)</t>
    </r>
  </si>
  <si>
    <r>
      <t>E.</t>
    </r>
    <r>
      <rPr>
        <sz val="7"/>
        <color theme="1"/>
        <rFont val="Times New Roman"/>
        <family val="1"/>
      </rPr>
      <t xml:space="preserve">      </t>
    </r>
    <r>
      <rPr>
        <sz val="10"/>
        <color theme="1"/>
        <rFont val="Arial"/>
        <family val="2"/>
      </rPr>
      <t>Fallo por desprendimiento lateral de borde:</t>
    </r>
    <r>
      <rPr>
        <sz val="10"/>
        <color rgb="FF808080"/>
        <rFont val="Arial"/>
        <family val="2"/>
      </rPr>
      <t xml:space="preserve"> </t>
    </r>
  </si>
  <si>
    <t>Fallo por adherencia</t>
  </si>
  <si>
    <t>Fallo por extracción</t>
  </si>
  <si>
    <t>Fallo por acero</t>
  </si>
  <si>
    <t>Fallo por rotura de concreto</t>
  </si>
  <si>
    <t>Fallo por desprendimiento lateral</t>
  </si>
  <si>
    <r>
      <rPr>
        <b/>
        <sz val="12"/>
        <color theme="1"/>
        <rFont val="Arial"/>
        <family val="2"/>
      </rPr>
      <t>ψ</t>
    </r>
    <r>
      <rPr>
        <i/>
        <sz val="8"/>
        <color theme="1"/>
        <rFont val="Arial"/>
        <family val="2"/>
      </rPr>
      <t>ec,Na</t>
    </r>
  </si>
  <si>
    <r>
      <rPr>
        <b/>
        <sz val="12"/>
        <color theme="1"/>
        <rFont val="Arial"/>
        <family val="2"/>
      </rPr>
      <t>ψ</t>
    </r>
    <r>
      <rPr>
        <i/>
        <sz val="8"/>
        <color theme="1"/>
        <rFont val="Arial"/>
        <family val="2"/>
      </rPr>
      <t>ed,Na</t>
    </r>
  </si>
  <si>
    <r>
      <rPr>
        <b/>
        <sz val="12"/>
        <color theme="1"/>
        <rFont val="Arial"/>
        <family val="2"/>
      </rPr>
      <t>ψ</t>
    </r>
    <r>
      <rPr>
        <i/>
        <sz val="8"/>
        <color theme="1"/>
        <rFont val="Arial"/>
        <family val="2"/>
      </rPr>
      <t>cp,Na</t>
    </r>
  </si>
  <si>
    <r>
      <t>N</t>
    </r>
    <r>
      <rPr>
        <i/>
        <sz val="8"/>
        <color theme="1"/>
        <rFont val="Arial"/>
        <family val="2"/>
      </rPr>
      <t>ba</t>
    </r>
    <r>
      <rPr>
        <sz val="10"/>
        <color theme="1"/>
        <rFont val="Arial"/>
        <family val="2"/>
      </rPr>
      <t xml:space="preserve"> (kN)</t>
    </r>
  </si>
  <si>
    <r>
      <t>N</t>
    </r>
    <r>
      <rPr>
        <i/>
        <sz val="8"/>
        <color theme="1"/>
        <rFont val="Arial"/>
        <family val="2"/>
      </rPr>
      <t>a</t>
    </r>
    <r>
      <rPr>
        <sz val="10"/>
        <color theme="1"/>
        <rFont val="Arial"/>
        <family val="2"/>
      </rPr>
      <t xml:space="preserve"> (kN)</t>
    </r>
  </si>
  <si>
    <r>
      <rPr>
        <b/>
        <sz val="10"/>
        <color theme="1"/>
        <rFont val="Arial"/>
        <family val="2"/>
      </rPr>
      <t>N</t>
    </r>
    <r>
      <rPr>
        <i/>
        <sz val="8"/>
        <color theme="1"/>
        <rFont val="Arial"/>
        <family val="2"/>
      </rPr>
      <t>a</t>
    </r>
    <r>
      <rPr>
        <sz val="10"/>
        <color theme="1"/>
        <rFont val="Arial"/>
        <family val="2"/>
      </rPr>
      <t xml:space="preserve"> (kN)</t>
    </r>
  </si>
  <si>
    <r>
      <t>Ƭ</t>
    </r>
    <r>
      <rPr>
        <i/>
        <sz val="8"/>
        <color theme="1"/>
        <rFont val="Arial"/>
        <family val="2"/>
      </rPr>
      <t>k,c</t>
    </r>
    <r>
      <rPr>
        <sz val="10"/>
        <color theme="1"/>
        <rFont val="Arial"/>
        <family val="2"/>
      </rPr>
      <t xml:space="preserve">  (MPa)</t>
    </r>
  </si>
  <si>
    <r>
      <t>A</t>
    </r>
    <r>
      <rPr>
        <i/>
        <sz val="8"/>
        <color theme="1"/>
        <rFont val="Arial"/>
        <family val="2"/>
      </rPr>
      <t>Na</t>
    </r>
    <r>
      <rPr>
        <sz val="10"/>
        <color theme="1"/>
        <rFont val="Arial"/>
        <family val="2"/>
      </rPr>
      <t xml:space="preserve"> (     )</t>
    </r>
  </si>
  <si>
    <r>
      <t>A</t>
    </r>
    <r>
      <rPr>
        <i/>
        <sz val="8"/>
        <color theme="1"/>
        <rFont val="Arial"/>
        <family val="2"/>
      </rPr>
      <t>Na0</t>
    </r>
    <r>
      <rPr>
        <sz val="8"/>
        <color theme="1"/>
        <rFont val="Arial"/>
        <family val="2"/>
      </rPr>
      <t xml:space="preserve"> </t>
    </r>
    <r>
      <rPr>
        <sz val="10"/>
        <color theme="1"/>
        <rFont val="Arial"/>
        <family val="2"/>
      </rPr>
      <t>(     )</t>
    </r>
  </si>
  <si>
    <r>
      <t>A</t>
    </r>
    <r>
      <rPr>
        <i/>
        <sz val="8"/>
        <color theme="1"/>
        <rFont val="Arial"/>
        <family val="2"/>
      </rPr>
      <t>Nc0</t>
    </r>
    <r>
      <rPr>
        <sz val="8"/>
        <color theme="1"/>
        <rFont val="Arial"/>
        <family val="2"/>
      </rPr>
      <t xml:space="preserve"> </t>
    </r>
    <r>
      <rPr>
        <sz val="10"/>
        <color theme="1"/>
        <rFont val="Arial"/>
        <family val="2"/>
      </rPr>
      <t>(     )</t>
    </r>
  </si>
  <si>
    <r>
      <t>A</t>
    </r>
    <r>
      <rPr>
        <i/>
        <sz val="8"/>
        <color theme="1"/>
        <rFont val="Arial"/>
        <family val="2"/>
      </rPr>
      <t>se,N</t>
    </r>
    <r>
      <rPr>
        <sz val="10"/>
        <color theme="1"/>
        <rFont val="Arial"/>
        <family val="2"/>
      </rPr>
      <t xml:space="preserve"> (        )</t>
    </r>
  </si>
  <si>
    <r>
      <t>d</t>
    </r>
    <r>
      <rPr>
        <i/>
        <sz val="8"/>
        <color theme="1"/>
        <rFont val="Arial"/>
        <family val="2"/>
      </rPr>
      <t xml:space="preserve">a  </t>
    </r>
    <r>
      <rPr>
        <sz val="10"/>
        <color theme="1"/>
        <rFont val="Arial"/>
        <family val="2"/>
      </rPr>
      <t>(mm)</t>
    </r>
  </si>
  <si>
    <r>
      <t>C</t>
    </r>
    <r>
      <rPr>
        <i/>
        <sz val="8"/>
        <color theme="1"/>
        <rFont val="Arial"/>
        <family val="2"/>
      </rPr>
      <t>Na</t>
    </r>
    <r>
      <rPr>
        <sz val="10"/>
        <color theme="1"/>
        <rFont val="Arial"/>
        <family val="2"/>
      </rPr>
      <t xml:space="preserve"> (mm)</t>
    </r>
  </si>
  <si>
    <r>
      <t>C</t>
    </r>
    <r>
      <rPr>
        <i/>
        <sz val="8"/>
        <color theme="1"/>
        <rFont val="Arial"/>
        <family val="2"/>
      </rPr>
      <t>ax,min</t>
    </r>
    <r>
      <rPr>
        <sz val="10"/>
        <color theme="1"/>
        <rFont val="Arial"/>
        <family val="2"/>
      </rPr>
      <t xml:space="preserve"> (mm)</t>
    </r>
  </si>
  <si>
    <r>
      <t>C</t>
    </r>
    <r>
      <rPr>
        <i/>
        <sz val="8"/>
        <color theme="1"/>
        <rFont val="Arial"/>
        <family val="2"/>
      </rPr>
      <t>ay,min</t>
    </r>
    <r>
      <rPr>
        <sz val="10"/>
        <color theme="1"/>
        <rFont val="Arial"/>
        <family val="2"/>
      </rPr>
      <t xml:space="preserve"> (mm)</t>
    </r>
  </si>
  <si>
    <t>Hidrostática</t>
  </si>
  <si>
    <t>FUERZAS (kN)</t>
  </si>
  <si>
    <t>MOMENTOS (kNm)</t>
  </si>
  <si>
    <r>
      <rPr>
        <b/>
        <sz val="10"/>
        <color theme="1"/>
        <rFont val="Arial"/>
        <family val="2"/>
      </rPr>
      <t>ɸ</t>
    </r>
    <r>
      <rPr>
        <i/>
        <sz val="8"/>
        <color theme="1"/>
        <rFont val="Arial"/>
        <family val="2"/>
      </rPr>
      <t>non-ductile</t>
    </r>
    <r>
      <rPr>
        <sz val="10"/>
        <color theme="1"/>
        <rFont val="Arial"/>
        <family val="2"/>
      </rPr>
      <t xml:space="preserve"> = </t>
    </r>
  </si>
  <si>
    <t>Diseño sísmico</t>
  </si>
  <si>
    <r>
      <t>A</t>
    </r>
    <r>
      <rPr>
        <i/>
        <sz val="8"/>
        <color theme="1"/>
        <rFont val="Arial"/>
        <family val="2"/>
      </rPr>
      <t>se,V</t>
    </r>
    <r>
      <rPr>
        <sz val="10"/>
        <color theme="1"/>
        <rFont val="Arial"/>
        <family val="2"/>
      </rPr>
      <t xml:space="preserve"> (        )</t>
    </r>
  </si>
  <si>
    <r>
      <t>V</t>
    </r>
    <r>
      <rPr>
        <i/>
        <sz val="8"/>
        <color theme="1"/>
        <rFont val="Arial"/>
        <family val="2"/>
      </rPr>
      <t>sa</t>
    </r>
    <r>
      <rPr>
        <sz val="10"/>
        <color theme="1"/>
        <rFont val="Arial"/>
        <family val="2"/>
      </rPr>
      <t xml:space="preserve"> (kN)</t>
    </r>
  </si>
  <si>
    <r>
      <rPr>
        <b/>
        <sz val="10"/>
        <color theme="1"/>
        <rFont val="Arial"/>
        <family val="2"/>
      </rPr>
      <t>V</t>
    </r>
    <r>
      <rPr>
        <i/>
        <sz val="8"/>
        <color theme="1"/>
        <rFont val="Arial"/>
        <family val="2"/>
      </rPr>
      <t>sa</t>
    </r>
    <r>
      <rPr>
        <sz val="10"/>
        <color theme="1"/>
        <rFont val="Arial"/>
        <family val="2"/>
      </rPr>
      <t xml:space="preserve"> (kN)</t>
    </r>
  </si>
  <si>
    <r>
      <t>ɸV</t>
    </r>
    <r>
      <rPr>
        <i/>
        <sz val="8"/>
        <color theme="1"/>
        <rFont val="Arial"/>
        <family val="2"/>
      </rPr>
      <t>sa</t>
    </r>
    <r>
      <rPr>
        <sz val="10"/>
        <color theme="1"/>
        <rFont val="Arial"/>
        <family val="2"/>
      </rPr>
      <t xml:space="preserve"> (kN)</t>
    </r>
  </si>
  <si>
    <r>
      <rPr>
        <b/>
        <sz val="10"/>
        <color theme="1"/>
        <rFont val="Arial"/>
        <family val="2"/>
      </rPr>
      <t>V</t>
    </r>
    <r>
      <rPr>
        <i/>
        <sz val="8"/>
        <color theme="1"/>
        <rFont val="Arial"/>
        <family val="2"/>
      </rPr>
      <t>ua</t>
    </r>
    <r>
      <rPr>
        <sz val="10"/>
        <color theme="1"/>
        <rFont val="Arial"/>
        <family val="2"/>
      </rPr>
      <t xml:space="preserve"> (kN)</t>
    </r>
  </si>
  <si>
    <t>Fallo por acero (efecto de palanca)</t>
  </si>
  <si>
    <r>
      <rPr>
        <sz val="14"/>
        <color theme="1"/>
        <rFont val="Arial"/>
        <family val="2"/>
      </rPr>
      <t>α</t>
    </r>
    <r>
      <rPr>
        <i/>
        <sz val="8"/>
        <color theme="1"/>
        <rFont val="Arial"/>
        <family val="2"/>
      </rPr>
      <t>M</t>
    </r>
  </si>
  <si>
    <t>Ecuación de flexión</t>
  </si>
  <si>
    <t>Resistencia resultante a flexión del anclaje</t>
  </si>
  <si>
    <t>Resistencia caracteristica a flexión del anclaje</t>
  </si>
  <si>
    <t>Factor de reducción por tensión y cortante simultaneas</t>
  </si>
  <si>
    <t>Modulo elástico de sección en el plano de superficie</t>
  </si>
  <si>
    <t>Longitud del brazo de palanca ajustado por "spalling"</t>
  </si>
  <si>
    <r>
      <t>M</t>
    </r>
    <r>
      <rPr>
        <i/>
        <sz val="8"/>
        <color theme="1"/>
        <rFont val="Arial"/>
        <family val="2"/>
      </rPr>
      <t>s</t>
    </r>
    <r>
      <rPr>
        <sz val="10"/>
        <color theme="1"/>
        <rFont val="Arial"/>
        <family val="2"/>
      </rPr>
      <t xml:space="preserve">  (kNm)</t>
    </r>
  </si>
  <si>
    <r>
      <rPr>
        <b/>
        <sz val="10"/>
        <color theme="1"/>
        <rFont val="Arial"/>
        <family val="2"/>
      </rPr>
      <t>V</t>
    </r>
    <r>
      <rPr>
        <i/>
        <sz val="8"/>
        <color theme="1"/>
        <rFont val="Arial"/>
        <family val="2"/>
      </rPr>
      <t>sM</t>
    </r>
    <r>
      <rPr>
        <sz val="10"/>
        <color theme="1"/>
        <rFont val="Arial"/>
        <family val="2"/>
      </rPr>
      <t xml:space="preserve">  (kN)</t>
    </r>
  </si>
  <si>
    <t xml:space="preserve">         (kNm)</t>
  </si>
  <si>
    <r>
      <t>f</t>
    </r>
    <r>
      <rPr>
        <i/>
        <sz val="8"/>
        <color theme="1"/>
        <rFont val="Arial"/>
        <family val="2"/>
      </rPr>
      <t>u,min</t>
    </r>
    <r>
      <rPr>
        <sz val="10"/>
        <color theme="1"/>
        <rFont val="Arial"/>
        <family val="2"/>
      </rPr>
      <t xml:space="preserve"> (MPa)</t>
    </r>
  </si>
  <si>
    <r>
      <t>f</t>
    </r>
    <r>
      <rPr>
        <i/>
        <sz val="8"/>
        <color theme="1"/>
        <rFont val="Arial"/>
        <family val="2"/>
      </rPr>
      <t>uta</t>
    </r>
    <r>
      <rPr>
        <sz val="10"/>
        <color theme="1"/>
        <rFont val="Arial"/>
        <family val="2"/>
      </rPr>
      <t xml:space="preserve"> (MPa)</t>
    </r>
  </si>
  <si>
    <r>
      <t>N</t>
    </r>
    <r>
      <rPr>
        <i/>
        <sz val="8"/>
        <color theme="1"/>
        <rFont val="Arial"/>
        <family val="2"/>
      </rPr>
      <t>sb</t>
    </r>
    <r>
      <rPr>
        <sz val="10"/>
        <color theme="1"/>
        <rFont val="Arial"/>
        <family val="2"/>
      </rPr>
      <t xml:space="preserve">  (kN)</t>
    </r>
  </si>
  <si>
    <r>
      <t>N</t>
    </r>
    <r>
      <rPr>
        <i/>
        <sz val="8"/>
        <color theme="1"/>
        <rFont val="Arial"/>
        <family val="2"/>
      </rPr>
      <t>sbg</t>
    </r>
    <r>
      <rPr>
        <sz val="10"/>
        <color theme="1"/>
        <rFont val="Arial"/>
        <family val="2"/>
      </rPr>
      <t xml:space="preserve">  (kN)</t>
    </r>
  </si>
  <si>
    <r>
      <t>z</t>
    </r>
    <r>
      <rPr>
        <i/>
        <sz val="10"/>
        <color theme="1"/>
        <rFont val="Arial"/>
        <family val="2"/>
      </rPr>
      <t xml:space="preserve">  </t>
    </r>
    <r>
      <rPr>
        <sz val="10"/>
        <color theme="1"/>
        <rFont val="Arial"/>
        <family val="2"/>
      </rPr>
      <t>(mm)</t>
    </r>
  </si>
  <si>
    <r>
      <t>d</t>
    </r>
    <r>
      <rPr>
        <i/>
        <sz val="8"/>
        <color theme="1"/>
        <rFont val="Arial"/>
        <family val="2"/>
      </rPr>
      <t>0</t>
    </r>
    <r>
      <rPr>
        <i/>
        <sz val="10"/>
        <color theme="1"/>
        <rFont val="Arial"/>
        <family val="2"/>
      </rPr>
      <t xml:space="preserve">  </t>
    </r>
    <r>
      <rPr>
        <sz val="10"/>
        <color theme="1"/>
        <rFont val="Arial"/>
        <family val="2"/>
      </rPr>
      <t>(mm)</t>
    </r>
  </si>
  <si>
    <t xml:space="preserve">         (kN)</t>
  </si>
  <si>
    <t>Factor de Utilización</t>
  </si>
  <si>
    <r>
      <rPr>
        <b/>
        <sz val="12"/>
        <color theme="1"/>
        <rFont val="Arial"/>
        <family val="2"/>
      </rPr>
      <t>κ</t>
    </r>
    <r>
      <rPr>
        <i/>
        <sz val="8"/>
        <color theme="1"/>
        <rFont val="Arial"/>
        <family val="2"/>
      </rPr>
      <t>cp</t>
    </r>
  </si>
  <si>
    <r>
      <t>N</t>
    </r>
    <r>
      <rPr>
        <i/>
        <sz val="8"/>
        <color theme="1"/>
        <rFont val="Arial"/>
        <family val="2"/>
      </rPr>
      <t>cp</t>
    </r>
    <r>
      <rPr>
        <sz val="10"/>
        <color theme="1"/>
        <rFont val="Arial"/>
        <family val="2"/>
      </rPr>
      <t xml:space="preserve">  (kN)</t>
    </r>
  </si>
  <si>
    <r>
      <t>V</t>
    </r>
    <r>
      <rPr>
        <i/>
        <sz val="8"/>
        <color theme="1"/>
        <rFont val="Arial"/>
        <family val="2"/>
      </rPr>
      <t>cp</t>
    </r>
    <r>
      <rPr>
        <sz val="10"/>
        <color theme="1"/>
        <rFont val="Arial"/>
        <family val="2"/>
      </rPr>
      <t xml:space="preserve">  (kN)</t>
    </r>
  </si>
  <si>
    <r>
      <rPr>
        <b/>
        <sz val="10"/>
        <color theme="1"/>
        <rFont val="Arial"/>
        <family val="2"/>
      </rPr>
      <t>N</t>
    </r>
    <r>
      <rPr>
        <i/>
        <sz val="8"/>
        <color theme="1"/>
        <rFont val="Arial"/>
        <family val="2"/>
      </rPr>
      <t>pn</t>
    </r>
    <r>
      <rPr>
        <sz val="10"/>
        <color theme="1"/>
        <rFont val="Arial"/>
        <family val="2"/>
      </rPr>
      <t xml:space="preserve"> (kN)</t>
    </r>
  </si>
  <si>
    <r>
      <t>ɸN</t>
    </r>
    <r>
      <rPr>
        <i/>
        <sz val="8"/>
        <color theme="1"/>
        <rFont val="Arial"/>
        <family val="2"/>
      </rPr>
      <t>pn</t>
    </r>
    <r>
      <rPr>
        <sz val="10"/>
        <color theme="1"/>
        <rFont val="Arial"/>
        <family val="2"/>
      </rPr>
      <t xml:space="preserve"> (kN)</t>
    </r>
  </si>
  <si>
    <r>
      <t>ɸN</t>
    </r>
    <r>
      <rPr>
        <i/>
        <sz val="8"/>
        <color theme="1"/>
        <rFont val="Arial"/>
        <family val="2"/>
      </rPr>
      <t>a</t>
    </r>
    <r>
      <rPr>
        <sz val="10"/>
        <color theme="1"/>
        <rFont val="Arial"/>
        <family val="2"/>
      </rPr>
      <t xml:space="preserve"> (kN)</t>
    </r>
  </si>
  <si>
    <r>
      <rPr>
        <b/>
        <sz val="10"/>
        <color theme="1"/>
        <rFont val="Arial"/>
        <family val="2"/>
      </rPr>
      <t>N</t>
    </r>
    <r>
      <rPr>
        <i/>
        <sz val="8"/>
        <color theme="1"/>
        <rFont val="Arial"/>
        <family val="2"/>
      </rPr>
      <t>sbg</t>
    </r>
    <r>
      <rPr>
        <sz val="10"/>
        <color theme="1"/>
        <rFont val="Arial"/>
        <family val="2"/>
      </rPr>
      <t xml:space="preserve"> (kN)</t>
    </r>
  </si>
  <si>
    <r>
      <t>ɸN</t>
    </r>
    <r>
      <rPr>
        <i/>
        <sz val="8"/>
        <color theme="1"/>
        <rFont val="Arial"/>
        <family val="2"/>
      </rPr>
      <t>sbg</t>
    </r>
    <r>
      <rPr>
        <sz val="10"/>
        <color theme="1"/>
        <rFont val="Arial"/>
        <family val="2"/>
      </rPr>
      <t xml:space="preserve"> (kN)</t>
    </r>
  </si>
  <si>
    <r>
      <t>L</t>
    </r>
    <r>
      <rPr>
        <i/>
        <sz val="8"/>
        <color theme="1"/>
        <rFont val="Arial"/>
        <family val="2"/>
      </rPr>
      <t>b</t>
    </r>
    <r>
      <rPr>
        <i/>
        <sz val="10"/>
        <color theme="1"/>
        <rFont val="Arial"/>
        <family val="2"/>
      </rPr>
      <t xml:space="preserve">  </t>
    </r>
    <r>
      <rPr>
        <sz val="10"/>
        <color theme="1"/>
        <rFont val="Arial"/>
        <family val="2"/>
      </rPr>
      <t>(mm)</t>
    </r>
  </si>
  <si>
    <r>
      <t>C.</t>
    </r>
    <r>
      <rPr>
        <sz val="7"/>
        <color theme="1"/>
        <rFont val="Times New Roman"/>
        <family val="1"/>
      </rPr>
      <t xml:space="preserve">      </t>
    </r>
    <r>
      <rPr>
        <sz val="10"/>
        <color theme="1"/>
        <rFont val="Arial"/>
        <family val="2"/>
      </rPr>
      <t>Fallo por rotura de borde de concreto:</t>
    </r>
    <r>
      <rPr>
        <sz val="10"/>
        <color rgb="FF808080"/>
        <rFont val="Arial"/>
        <family val="2"/>
      </rPr>
      <t xml:space="preserve"> </t>
    </r>
  </si>
  <si>
    <r>
      <t>D.</t>
    </r>
    <r>
      <rPr>
        <sz val="7"/>
        <color theme="1"/>
        <rFont val="Times New Roman"/>
        <family val="1"/>
      </rPr>
      <t xml:space="preserve">      </t>
    </r>
    <r>
      <rPr>
        <sz val="10"/>
        <color theme="1"/>
        <rFont val="Arial"/>
        <family val="2"/>
      </rPr>
      <t>Fallo por dislocamiento:</t>
    </r>
    <r>
      <rPr>
        <sz val="10"/>
        <color rgb="FF808080"/>
        <rFont val="Arial"/>
        <family val="2"/>
      </rPr>
      <t xml:space="preserve"> </t>
    </r>
  </si>
  <si>
    <t>PARTE 1 – RESUMEN DE ESPECIFICACIÓN</t>
  </si>
  <si>
    <t>PARTE 3 – ESPECIFICACIONES TÉCNICAS</t>
  </si>
  <si>
    <t>PARTE 4 – PRODUCTOS</t>
  </si>
  <si>
    <r>
      <rPr>
        <b/>
        <sz val="12"/>
        <color theme="1"/>
        <rFont val="Arial"/>
        <family val="2"/>
      </rPr>
      <t>ψ</t>
    </r>
    <r>
      <rPr>
        <i/>
        <sz val="8"/>
        <color theme="1"/>
        <rFont val="Arial"/>
        <family val="2"/>
      </rPr>
      <t>ec,V</t>
    </r>
  </si>
  <si>
    <r>
      <rPr>
        <b/>
        <sz val="12"/>
        <color theme="1"/>
        <rFont val="Arial"/>
        <family val="2"/>
      </rPr>
      <t>ψ</t>
    </r>
    <r>
      <rPr>
        <i/>
        <sz val="8"/>
        <color theme="1"/>
        <rFont val="Arial"/>
        <family val="2"/>
      </rPr>
      <t>c,V</t>
    </r>
  </si>
  <si>
    <r>
      <rPr>
        <b/>
        <sz val="12"/>
        <color theme="1"/>
        <rFont val="Arial"/>
        <family val="2"/>
      </rPr>
      <t>ψ</t>
    </r>
    <r>
      <rPr>
        <i/>
        <sz val="8"/>
        <color theme="1"/>
        <rFont val="Arial"/>
        <family val="2"/>
      </rPr>
      <t>h,N</t>
    </r>
  </si>
  <si>
    <r>
      <t>e</t>
    </r>
    <r>
      <rPr>
        <i/>
        <sz val="8"/>
        <color theme="1"/>
        <rFont val="Arial"/>
        <family val="2"/>
      </rPr>
      <t>c,V</t>
    </r>
    <r>
      <rPr>
        <sz val="10"/>
        <color theme="1"/>
        <rFont val="Arial"/>
        <family val="2"/>
      </rPr>
      <t xml:space="preserve"> (mm)</t>
    </r>
  </si>
  <si>
    <r>
      <t>C</t>
    </r>
    <r>
      <rPr>
        <i/>
        <sz val="8"/>
        <color theme="1"/>
        <rFont val="Arial"/>
        <family val="2"/>
      </rPr>
      <t>a,x</t>
    </r>
    <r>
      <rPr>
        <sz val="10"/>
        <color theme="1"/>
        <rFont val="Arial"/>
        <family val="2"/>
      </rPr>
      <t xml:space="preserve"> (mm)</t>
    </r>
  </si>
  <si>
    <r>
      <t>C</t>
    </r>
    <r>
      <rPr>
        <i/>
        <sz val="8"/>
        <color theme="1"/>
        <rFont val="Arial"/>
        <family val="2"/>
      </rPr>
      <t>a,y</t>
    </r>
    <r>
      <rPr>
        <sz val="10"/>
        <color theme="1"/>
        <rFont val="Arial"/>
        <family val="2"/>
      </rPr>
      <t xml:space="preserve"> (mm)</t>
    </r>
  </si>
  <si>
    <r>
      <rPr>
        <b/>
        <sz val="10"/>
        <color theme="1"/>
        <rFont val="Arial"/>
        <family val="2"/>
      </rPr>
      <t>ℓ</t>
    </r>
    <r>
      <rPr>
        <i/>
        <sz val="8"/>
        <color theme="1"/>
        <rFont val="Arial"/>
        <family val="2"/>
      </rPr>
      <t>e</t>
    </r>
    <r>
      <rPr>
        <sz val="10"/>
        <color theme="1"/>
        <rFont val="Arial"/>
        <family val="2"/>
      </rPr>
      <t xml:space="preserve"> = </t>
    </r>
  </si>
  <si>
    <r>
      <t>ℓ</t>
    </r>
    <r>
      <rPr>
        <i/>
        <sz val="8"/>
        <color theme="1"/>
        <rFont val="Arial"/>
        <family val="2"/>
      </rPr>
      <t>e</t>
    </r>
    <r>
      <rPr>
        <sz val="10"/>
        <color theme="1"/>
        <rFont val="Arial"/>
        <family val="2"/>
      </rPr>
      <t xml:space="preserve">  (mm)</t>
    </r>
  </si>
  <si>
    <t>COORDENADAS</t>
  </si>
  <si>
    <t>y  (mm)</t>
  </si>
  <si>
    <t>x  (mm)</t>
  </si>
  <si>
    <t>Sensibilidad a la instalación  :</t>
  </si>
  <si>
    <t>Cabeceo de anclaje :</t>
  </si>
  <si>
    <t>Holgura en platina :</t>
  </si>
  <si>
    <t>; Para anclajes embebidos
; Para cualquier otro caso</t>
  </si>
  <si>
    <t>Resistencia a cortante</t>
  </si>
  <si>
    <t>Resistencia a cargas simultaneas</t>
  </si>
  <si>
    <t>3.2. EVIDENCIA SUMINISTRADA</t>
  </si>
  <si>
    <r>
      <t>A.</t>
    </r>
    <r>
      <rPr>
        <sz val="7"/>
        <color theme="1"/>
        <rFont val="Times New Roman"/>
        <family val="1"/>
      </rPr>
      <t xml:space="preserve">      </t>
    </r>
    <r>
      <rPr>
        <sz val="10"/>
        <color theme="1"/>
        <rFont val="Arial"/>
        <family val="2"/>
      </rPr>
      <t>Texto</t>
    </r>
  </si>
  <si>
    <r>
      <t>1.</t>
    </r>
    <r>
      <rPr>
        <sz val="7"/>
        <color theme="1"/>
        <rFont val="Times New Roman"/>
        <family val="1"/>
      </rPr>
      <t xml:space="preserve">      </t>
    </r>
    <r>
      <rPr>
        <sz val="10"/>
        <color theme="1"/>
        <rFont val="Arial"/>
        <family val="2"/>
      </rPr>
      <t>Texto</t>
    </r>
  </si>
  <si>
    <t>5.1. TEXTO</t>
  </si>
  <si>
    <r>
      <t>A.</t>
    </r>
    <r>
      <rPr>
        <sz val="7"/>
        <color theme="1"/>
        <rFont val="Times New Roman"/>
        <family val="1"/>
      </rPr>
      <t xml:space="preserve">      </t>
    </r>
    <r>
      <rPr>
        <sz val="10"/>
        <color theme="1"/>
        <rFont val="Arial"/>
        <family val="2"/>
      </rPr>
      <t>Fallo por cargas permanentes a largo plazo (creep):</t>
    </r>
    <r>
      <rPr>
        <sz val="10"/>
        <color rgb="FF808080"/>
        <rFont val="Arial"/>
        <family val="2"/>
      </rPr>
      <t xml:space="preserve"> </t>
    </r>
  </si>
  <si>
    <r>
      <t>a.</t>
    </r>
    <r>
      <rPr>
        <sz val="7"/>
        <color theme="1"/>
        <rFont val="Times New Roman"/>
        <family val="1"/>
      </rPr>
      <t xml:space="preserve">      </t>
    </r>
    <r>
      <rPr>
        <sz val="10"/>
        <color theme="1"/>
        <rFont val="Arial"/>
        <family val="2"/>
      </rPr>
      <t>Hilti HSLG (no certificado y limitado para uso en aplicaciones sin responsabilidad sísmica).</t>
    </r>
  </si>
  <si>
    <r>
      <t>3.</t>
    </r>
    <r>
      <rPr>
        <sz val="7"/>
        <color theme="1"/>
        <rFont val="Times New Roman"/>
        <family val="1"/>
      </rPr>
      <t xml:space="preserve">      </t>
    </r>
    <r>
      <rPr>
        <sz val="10"/>
        <color theme="1"/>
        <rFont val="Arial"/>
        <family val="2"/>
      </rPr>
      <t>Las varillas corrugadas de refuerzo deben ser A706 Grado 60.</t>
    </r>
  </si>
  <si>
    <t>4.1. MATERIALES</t>
  </si>
  <si>
    <r>
      <t>3.</t>
    </r>
    <r>
      <rPr>
        <sz val="7"/>
        <color theme="1"/>
        <rFont val="Times New Roman"/>
        <family val="1"/>
      </rPr>
      <t xml:space="preserve">      </t>
    </r>
    <r>
      <rPr>
        <sz val="10"/>
        <color theme="1"/>
        <rFont val="Arial"/>
        <family val="2"/>
      </rPr>
      <t>Las varillas corrugadas de refuerzo deben ser A706 Grado 60, con una punta tipo cincel con corte a 45° en el extremo empotrado del anclaje.</t>
    </r>
  </si>
  <si>
    <r>
      <t>2.</t>
    </r>
    <r>
      <rPr>
        <sz val="7"/>
        <color theme="1"/>
        <rFont val="Times New Roman"/>
        <family val="1"/>
      </rPr>
      <t xml:space="preserve">      </t>
    </r>
    <r>
      <rPr>
        <u/>
        <sz val="10"/>
        <color theme="1"/>
        <rFont val="Arial"/>
        <family val="2"/>
      </rPr>
      <t>Uso en exteriores</t>
    </r>
    <r>
      <rPr>
        <sz val="10"/>
        <color theme="1"/>
        <rFont val="Arial"/>
        <family val="2"/>
      </rPr>
      <t>: .</t>
    </r>
  </si>
  <si>
    <r>
      <t>4.</t>
    </r>
    <r>
      <rPr>
        <sz val="7"/>
        <color theme="1"/>
        <rFont val="Times New Roman"/>
        <family val="1"/>
      </rPr>
      <t xml:space="preserve">      </t>
    </r>
    <r>
      <rPr>
        <sz val="10"/>
        <color theme="1"/>
        <rFont val="Arial"/>
        <family val="2"/>
      </rPr>
      <t>Las instrucciones de instalación: esta información debe ser suministrada por el fabricante de forma física en la obra, de acuerdo a los manuales de uso de cada producto.</t>
    </r>
  </si>
  <si>
    <t>3.3. ASEGURAMIENTO DE CALIDAD</t>
  </si>
  <si>
    <r>
      <t>A.</t>
    </r>
    <r>
      <rPr>
        <sz val="7"/>
        <color theme="1"/>
        <rFont val="Times New Roman"/>
        <family val="1"/>
      </rPr>
      <t xml:space="preserve">      </t>
    </r>
    <r>
      <rPr>
        <u/>
        <sz val="10"/>
        <color theme="1"/>
        <rFont val="Arial"/>
        <family val="2"/>
      </rPr>
      <t>Anclaje de atornillado</t>
    </r>
    <r>
      <rPr>
        <sz val="10"/>
        <color theme="1"/>
        <rFont val="Arial"/>
        <family val="2"/>
      </rPr>
      <t>: los anclajes tipo tornillo. El taladrado previo de la perforación requiere una broca ANSI estándar del mismo diámetro que el anclaje. La instalación del anclaje se realiza con una llave de impacto para garantizar el torque de instalación. Suministrar anclajes con marcas de identificación de diámetro y longitud en la cabeza. Los tipos y tamaños de anclajes según se indica en los planos.</t>
    </r>
  </si>
  <si>
    <r>
      <t>A.</t>
    </r>
    <r>
      <rPr>
        <sz val="7"/>
        <color theme="1"/>
        <rFont val="Times New Roman"/>
        <family val="1"/>
      </rPr>
      <t xml:space="preserve">      </t>
    </r>
    <r>
      <rPr>
        <u/>
        <sz val="10"/>
        <color theme="1"/>
        <rFont val="Arial"/>
        <family val="2"/>
      </rPr>
      <t>Anclajes de camisa para altas cargas</t>
    </r>
    <r>
      <rPr>
        <sz val="10"/>
        <color theme="1"/>
        <rFont val="Arial"/>
        <family val="2"/>
      </rPr>
      <t>: de tipo torque-controlado, demostrando expansión progresiva bajo cargas, con diseño que evita la rotación del anclaje durante la instalación. Los tipos y tamaños de anclajes según se indica en los planos.</t>
    </r>
  </si>
  <si>
    <r>
      <t>A.</t>
    </r>
    <r>
      <rPr>
        <sz val="7"/>
        <color theme="1"/>
        <rFont val="Times New Roman"/>
        <family val="1"/>
      </rPr>
      <t xml:space="preserve">     </t>
    </r>
    <r>
      <rPr>
        <u/>
        <sz val="10"/>
        <color theme="1"/>
        <rFont val="Arial"/>
        <family val="2"/>
      </rPr>
      <t>Anclajes de sobre-excavación para altas cargas</t>
    </r>
    <r>
      <rPr>
        <sz val="10"/>
        <color theme="1"/>
        <rFont val="Arial"/>
        <family val="2"/>
      </rPr>
      <t>: el anclaje instalado debe tener un área de soporte de tensiones en el concreto, medida como la proyección horizontal de la superficie de carga, no menor que dos veces el área de tensión neta del perno de anclaje. El anclaje instalado debe presentar un ajuste de forma entre el elemento de soporte y la sobre-excavación en el concreto. Los tipos y tamaños de anclajes según se indica en los planos.</t>
    </r>
  </si>
  <si>
    <r>
      <t>A.</t>
    </r>
    <r>
      <rPr>
        <sz val="7"/>
        <color theme="1"/>
        <rFont val="Times New Roman"/>
        <family val="1"/>
      </rPr>
      <t xml:space="preserve">      </t>
    </r>
    <r>
      <rPr>
        <u/>
        <sz val="10"/>
        <color theme="1"/>
        <rFont val="Arial"/>
        <family val="2"/>
      </rPr>
      <t>Anclajes adhesivos con cartuchos de inyección</t>
    </r>
    <r>
      <rPr>
        <sz val="10"/>
        <color theme="1"/>
        <rFont val="Arial"/>
        <family val="2"/>
      </rPr>
      <t>: varillas roscadas de acero, insertos de rosca interna y/o varillas corrugadas de refuerzo, completas con sus tuercas y arandelas correspondientes y con el sistema de inyección de mortero epóxico, híbrido o polimérico y las instrucciones de instalación del fabricante. Los tipos y tamaños de anclajes según se indica en los planos.</t>
    </r>
  </si>
  <si>
    <r>
      <t>A.</t>
    </r>
    <r>
      <rPr>
        <sz val="7"/>
        <color theme="1"/>
        <rFont val="Times New Roman"/>
        <family val="1"/>
      </rPr>
      <t xml:space="preserve">      </t>
    </r>
    <r>
      <rPr>
        <u/>
        <sz val="10"/>
        <color theme="1"/>
        <rFont val="Arial"/>
        <family val="2"/>
      </rPr>
      <t>Capsulas de anclaje</t>
    </r>
    <r>
      <rPr>
        <sz val="10"/>
        <color theme="1"/>
        <rFont val="Arial"/>
        <family val="2"/>
      </rPr>
      <t>: varillas roscadas de acero, insertos de rosca interna y/o varillas corrugadas de refuerzo con corte a 45° en la punta tipo cincel, completas con sus tuercas y arandelas correspondientes y con el sistema de capsula de anclaje plástica flexible, conteniendo resina a base de metacrilato de uretano o polivinilo y un aditivo acelerante, junto con las instrucciones de instalación del fabricante. Los tipos y tamaños de anclajes según se indica en los planos.</t>
    </r>
  </si>
  <si>
    <r>
      <t>A.</t>
    </r>
    <r>
      <rPr>
        <sz val="7"/>
        <color theme="1"/>
        <rFont val="Times New Roman"/>
        <family val="1"/>
      </rPr>
      <t xml:space="preserve">      </t>
    </r>
    <r>
      <rPr>
        <u/>
        <sz val="10"/>
        <color theme="1"/>
        <rFont val="Arial"/>
        <family val="2"/>
      </rPr>
      <t>Anclajes embebidos</t>
    </r>
    <r>
      <rPr>
        <sz val="10"/>
        <color theme="1"/>
        <rFont val="Arial"/>
        <family val="2"/>
      </rPr>
      <t>: ...</t>
    </r>
  </si>
  <si>
    <r>
      <t>1.</t>
    </r>
    <r>
      <rPr>
        <sz val="7"/>
        <color rgb="FF008000"/>
        <rFont val="Times New Roman"/>
        <family val="1"/>
      </rPr>
      <t xml:space="preserve">      </t>
    </r>
    <r>
      <rPr>
        <u/>
        <sz val="10"/>
        <color theme="1"/>
        <rFont val="Arial"/>
        <family val="2"/>
      </rPr>
      <t>Uso en interiores</t>
    </r>
    <r>
      <rPr>
        <sz val="10"/>
        <color theme="1"/>
        <rFont val="Arial"/>
        <family val="2"/>
      </rPr>
      <t>: …</t>
    </r>
  </si>
  <si>
    <r>
      <t>2.</t>
    </r>
    <r>
      <rPr>
        <sz val="7"/>
        <color theme="1"/>
        <rFont val="Times New Roman"/>
        <family val="1"/>
      </rPr>
      <t xml:space="preserve">      </t>
    </r>
    <r>
      <rPr>
        <u/>
        <sz val="10"/>
        <color theme="1"/>
        <rFont val="Arial"/>
        <family val="2"/>
      </rPr>
      <t>Uso en exteriores</t>
    </r>
    <r>
      <rPr>
        <sz val="10"/>
        <color theme="1"/>
        <rFont val="Arial"/>
        <family val="2"/>
      </rPr>
      <t>: …</t>
    </r>
  </si>
  <si>
    <t>N/A</t>
  </si>
  <si>
    <r>
      <t>ɸ</t>
    </r>
    <r>
      <rPr>
        <i/>
        <sz val="8"/>
        <color theme="1"/>
        <rFont val="Arial"/>
        <family val="2"/>
      </rPr>
      <t>bond</t>
    </r>
  </si>
  <si>
    <t>Fallo por rotura de borde</t>
  </si>
  <si>
    <t>Fallo por dislocamiento (pryout)</t>
  </si>
  <si>
    <r>
      <rPr>
        <b/>
        <sz val="10"/>
        <color theme="1"/>
        <rFont val="Arial"/>
        <family val="2"/>
      </rPr>
      <t>N</t>
    </r>
    <r>
      <rPr>
        <i/>
        <sz val="8"/>
        <color theme="1"/>
        <rFont val="Arial"/>
        <family val="2"/>
      </rPr>
      <t>ag</t>
    </r>
    <r>
      <rPr>
        <sz val="10"/>
        <color theme="1"/>
        <rFont val="Arial"/>
        <family val="2"/>
      </rPr>
      <t xml:space="preserve"> (kN)</t>
    </r>
  </si>
  <si>
    <r>
      <t>4.3.</t>
    </r>
    <r>
      <rPr>
        <b/>
        <sz val="7"/>
        <color theme="1"/>
        <rFont val="Times New Roman"/>
        <family val="1"/>
      </rPr>
      <t xml:space="preserve"> </t>
    </r>
    <r>
      <rPr>
        <b/>
        <sz val="11"/>
        <color theme="1"/>
        <rFont val="Arial"/>
        <family val="2"/>
      </rPr>
      <t>CANTIDADES DE PRODUCTOS</t>
    </r>
  </si>
  <si>
    <r>
      <t>4.4.</t>
    </r>
    <r>
      <rPr>
        <b/>
        <sz val="7"/>
        <color theme="1"/>
        <rFont val="Times New Roman"/>
        <family val="1"/>
      </rPr>
      <t xml:space="preserve"> </t>
    </r>
    <r>
      <rPr>
        <b/>
        <sz val="11"/>
        <color theme="1"/>
        <rFont val="Arial"/>
        <family val="2"/>
      </rPr>
      <t>COSTOS</t>
    </r>
  </si>
  <si>
    <t>Diseño estático</t>
  </si>
  <si>
    <t>A.      Los fijadores deben ser de acero y estar fabricados de cualquiera de los siguientes materiales:</t>
  </si>
  <si>
    <r>
      <t>A.</t>
    </r>
    <r>
      <rPr>
        <sz val="7"/>
        <color theme="1"/>
        <rFont val="Times New Roman"/>
        <family val="1"/>
      </rPr>
      <t xml:space="preserve">      </t>
    </r>
    <r>
      <rPr>
        <u/>
        <sz val="10"/>
        <color theme="1"/>
        <rFont val="Arial"/>
        <family val="2"/>
      </rPr>
      <t>Elementos de anclaje</t>
    </r>
    <r>
      <rPr>
        <sz val="10"/>
        <color theme="1"/>
        <rFont val="Arial"/>
        <family val="2"/>
      </rPr>
      <t>: ...</t>
    </r>
  </si>
  <si>
    <t>Comentarios adicionales</t>
  </si>
  <si>
    <r>
      <rPr>
        <i/>
        <sz val="8"/>
        <color theme="1"/>
        <rFont val="Arial"/>
        <family val="2"/>
      </rPr>
      <t xml:space="preserve">*(para ganchos)        </t>
    </r>
    <r>
      <rPr>
        <sz val="10"/>
        <color theme="1"/>
        <rFont val="Arial"/>
        <family val="2"/>
      </rPr>
      <t xml:space="preserve">  </t>
    </r>
    <r>
      <rPr>
        <b/>
        <i/>
        <sz val="10"/>
        <color theme="1"/>
        <rFont val="Arial"/>
        <family val="2"/>
      </rPr>
      <t>e</t>
    </r>
    <r>
      <rPr>
        <sz val="8"/>
        <color theme="1"/>
        <rFont val="Arial"/>
        <family val="2"/>
      </rPr>
      <t>h</t>
    </r>
    <r>
      <rPr>
        <sz val="10"/>
        <color theme="1"/>
        <rFont val="Arial"/>
        <family val="2"/>
      </rPr>
      <t xml:space="preserve"> = </t>
    </r>
  </si>
  <si>
    <t>Otros comentarios…</t>
  </si>
  <si>
    <r>
      <rPr>
        <b/>
        <sz val="10"/>
        <color theme="1"/>
        <rFont val="Arial"/>
        <family val="2"/>
      </rPr>
      <t>V</t>
    </r>
    <r>
      <rPr>
        <i/>
        <sz val="8"/>
        <color theme="1"/>
        <rFont val="Arial"/>
        <family val="2"/>
      </rPr>
      <t xml:space="preserve">ua,x </t>
    </r>
    <r>
      <rPr>
        <sz val="8"/>
        <color theme="1"/>
        <rFont val="Arial"/>
        <family val="2"/>
      </rPr>
      <t>(kN)</t>
    </r>
  </si>
  <si>
    <r>
      <rPr>
        <b/>
        <sz val="10"/>
        <color theme="1"/>
        <rFont val="Arial"/>
        <family val="2"/>
      </rPr>
      <t>V</t>
    </r>
    <r>
      <rPr>
        <i/>
        <sz val="8"/>
        <color theme="1"/>
        <rFont val="Arial"/>
        <family val="2"/>
      </rPr>
      <t xml:space="preserve">ua,y </t>
    </r>
    <r>
      <rPr>
        <sz val="8"/>
        <color theme="1"/>
        <rFont val="Arial"/>
        <family val="2"/>
      </rPr>
      <t>(kN)</t>
    </r>
  </si>
  <si>
    <t>+x  (mm)</t>
  </si>
  <si>
    <t>-x  (mm)</t>
  </si>
  <si>
    <t>+y  (mm)</t>
  </si>
  <si>
    <t>-y  (mm)</t>
  </si>
  <si>
    <t>DISTANCIAS A BORDES</t>
  </si>
  <si>
    <t>DISTANCIAS DE SEPARACIÓN</t>
  </si>
  <si>
    <r>
      <t>A.</t>
    </r>
    <r>
      <rPr>
        <sz val="7"/>
        <color theme="1"/>
        <rFont val="Times New Roman"/>
        <family val="1"/>
      </rPr>
      <t xml:space="preserve">      </t>
    </r>
    <r>
      <rPr>
        <sz val="10"/>
        <color theme="1"/>
        <rFont val="Arial"/>
        <family val="2"/>
      </rPr>
      <t xml:space="preserve">Generalidades: de acuerdo con las </t>
    </r>
    <r>
      <rPr>
        <i/>
        <sz val="10"/>
        <color theme="1"/>
        <rFont val="Arial"/>
        <family val="2"/>
      </rPr>
      <t>Condiciones del Contrato</t>
    </r>
    <r>
      <rPr>
        <sz val="10"/>
        <color theme="1"/>
        <rFont val="Arial"/>
        <family val="2"/>
      </rPr>
      <t xml:space="preserve"> y/o con la sección C.1.2 del código NSR-10, se deben indicar y documentar suficientemente los siguientes elementos:</t>
    </r>
  </si>
  <si>
    <r>
      <t>A.</t>
    </r>
    <r>
      <rPr>
        <sz val="7"/>
        <color theme="1"/>
        <rFont val="Times New Roman"/>
        <family val="1"/>
      </rPr>
      <t xml:space="preserve">      </t>
    </r>
    <r>
      <rPr>
        <sz val="10"/>
        <color theme="1"/>
        <rFont val="Arial"/>
        <family val="2"/>
      </rPr>
      <t xml:space="preserve">Códigos y estándares relacionados: </t>
    </r>
  </si>
  <si>
    <r>
      <t>B.</t>
    </r>
    <r>
      <rPr>
        <sz val="7"/>
        <color theme="1"/>
        <rFont val="Times New Roman"/>
        <family val="1"/>
      </rPr>
      <t xml:space="preserve">      </t>
    </r>
    <r>
      <rPr>
        <sz val="10"/>
        <color theme="1"/>
        <rFont val="Arial"/>
        <family val="2"/>
      </rPr>
      <t>Evidencia final: remitir los elementos indicados a continuación.</t>
    </r>
  </si>
  <si>
    <r>
      <t>5.</t>
    </r>
    <r>
      <rPr>
        <sz val="7"/>
        <color theme="1"/>
        <rFont val="Times New Roman"/>
        <family val="1"/>
      </rPr>
      <t xml:space="preserve">      </t>
    </r>
    <r>
      <rPr>
        <sz val="10"/>
        <color theme="1"/>
        <rFont val="Arial"/>
        <family val="2"/>
      </rPr>
      <t>Procedimientos y calificación del instalador: se deben reportar las competencias y habilidades del instalador como se indican en la sección 3.3.A.  Se debe remitir una carta de proceso donde se indique detalladamente el procedimiento de perforación del anclaje, el producto propuesto para ser usado en la obra, el procedimiento completo de instalación paso a paso, la fecha del entrenamiento realizado por parte del fabricante, así como una lista del personal entrenado y habilitado para la instalación de anclajes.</t>
    </r>
  </si>
  <si>
    <r>
      <t>1.</t>
    </r>
    <r>
      <rPr>
        <sz val="7"/>
        <color theme="1"/>
        <rFont val="Times New Roman"/>
        <family val="1"/>
      </rPr>
      <t xml:space="preserve">      </t>
    </r>
    <r>
      <rPr>
        <sz val="10"/>
        <color theme="1"/>
        <rFont val="Arial"/>
        <family val="2"/>
      </rPr>
      <t xml:space="preserve">Los anclajes perforados y post-instalados serán instalados por un </t>
    </r>
    <r>
      <rPr>
        <b/>
        <sz val="10"/>
        <color theme="1"/>
        <rFont val="Arial"/>
        <family val="2"/>
      </rPr>
      <t xml:space="preserve">CONTRATISTA </t>
    </r>
    <r>
      <rPr>
        <sz val="10"/>
        <color theme="1"/>
        <rFont val="Arial"/>
        <family val="2"/>
      </rPr>
      <t>o</t>
    </r>
    <r>
      <rPr>
        <b/>
        <sz val="10"/>
        <color theme="1"/>
        <rFont val="Arial"/>
        <family val="2"/>
      </rPr>
      <t xml:space="preserve"> INSTALADOR</t>
    </r>
    <r>
      <rPr>
        <sz val="10"/>
        <color theme="1"/>
        <rFont val="Arial"/>
        <family val="2"/>
      </rPr>
      <t xml:space="preserve"> con suficientes años certificables de experiencia realizando instalaciones similares, según el criterio del profesional responsable del proyecto. Se recomienda una experiencia de al menos </t>
    </r>
    <r>
      <rPr>
        <b/>
        <sz val="10"/>
        <color theme="1"/>
        <rFont val="Arial"/>
        <family val="2"/>
      </rPr>
      <t>DOS (2)</t>
    </r>
    <r>
      <rPr>
        <sz val="10"/>
        <color theme="1"/>
        <rFont val="Arial"/>
        <family val="2"/>
      </rPr>
      <t xml:space="preserve"> años.</t>
    </r>
  </si>
  <si>
    <r>
      <t>A.</t>
    </r>
    <r>
      <rPr>
        <sz val="7"/>
        <color theme="1"/>
        <rFont val="Times New Roman"/>
        <family val="1"/>
      </rPr>
      <t xml:space="preserve">      </t>
    </r>
    <r>
      <rPr>
        <sz val="10"/>
        <color theme="1"/>
        <rFont val="Arial"/>
        <family val="2"/>
      </rPr>
      <t>Competencia y calificación del instalador:</t>
    </r>
  </si>
  <si>
    <r>
      <t>3.</t>
    </r>
    <r>
      <rPr>
        <sz val="7"/>
        <color theme="1"/>
        <rFont val="Times New Roman"/>
        <family val="1"/>
      </rPr>
      <t xml:space="preserve">      </t>
    </r>
    <r>
      <rPr>
        <sz val="10"/>
        <color theme="1"/>
        <rFont val="Arial"/>
        <family val="2"/>
      </rPr>
      <t>Técnicas de aplicación del producto (p.e. la inyección del adhesivo en el caso de anclajes químicos inyectables) además del entrenamiento acerca del uso y mantenimiento de las herramientas necesarias (p.e. taladros o dispensadores de adhesivo químico).</t>
    </r>
  </si>
  <si>
    <r>
      <t>A.</t>
    </r>
    <r>
      <rPr>
        <sz val="7"/>
        <color theme="1"/>
        <rFont val="Times New Roman"/>
        <family val="1"/>
      </rPr>
      <t xml:space="preserve">      </t>
    </r>
    <r>
      <rPr>
        <sz val="10"/>
        <color theme="1"/>
        <rFont val="Arial"/>
        <family val="2"/>
      </rPr>
      <t>Generalidades: Cumplir los requisitos de almacenamiento y manipulación de las condiciones del contrato y/o del código de construcción local, nacional o internacional aplicable.</t>
    </r>
    <r>
      <rPr>
        <sz val="10"/>
        <color rgb="FF808080"/>
        <rFont val="Arial"/>
        <family val="2"/>
      </rPr>
      <t xml:space="preserve"> </t>
    </r>
  </si>
  <si>
    <t>Refuerzo suplementario :</t>
  </si>
  <si>
    <t>?</t>
  </si>
  <si>
    <t xml:space="preserve">ICC - </t>
  </si>
  <si>
    <t>Método de diseño</t>
  </si>
  <si>
    <t>Separación mínima*</t>
  </si>
  <si>
    <t>Distancia crítica a borde*</t>
  </si>
  <si>
    <t>Distancia a borde mínima*</t>
  </si>
  <si>
    <t>Interacción de cargas simultaneas (tensión y corte)</t>
  </si>
  <si>
    <r>
      <t>Este documento incluye las especificaciones, comentarios, observaciones y recomendaciones técnicas respecto al diseño, instalación y mantenimiento de los anclajes utilizados en el proyecto.
El presente informe se fundamenta en la revisión y asesoría realizada por el equipo de Hilti especializado en materia de diseño e instalación de anclajes y fijaciones en concreto,</t>
    </r>
    <r>
      <rPr>
        <sz val="10"/>
        <color theme="1"/>
        <rFont val="Arial"/>
        <family val="2"/>
      </rPr>
      <t xml:space="preserve"> así como también en la información suministrada por el cliente de acuerdo a los archivos adjuntos/anexos.</t>
    </r>
  </si>
  <si>
    <t>XXXX</t>
  </si>
  <si>
    <t>Carga de diseño</t>
  </si>
  <si>
    <t>Fuerza de viento</t>
  </si>
  <si>
    <t xml:space="preserve">HAS Super ½" x 6 ½" </t>
  </si>
  <si>
    <t>HAS Super ½" x 8"</t>
  </si>
  <si>
    <t>HAS Super ½" x 12"</t>
  </si>
  <si>
    <t>HAS Super ⅝" x 8"</t>
  </si>
  <si>
    <t>HAS Super ⅝" x 9"</t>
  </si>
  <si>
    <t>HAS Super ⅝" x 12"</t>
  </si>
  <si>
    <t>HAS Super ¾" x 10"</t>
  </si>
  <si>
    <t>HAS Super ¾" x 14"</t>
  </si>
  <si>
    <t>HAS Super ¾" x 19"</t>
  </si>
  <si>
    <t>HAS Super ⅞" x 10"</t>
  </si>
  <si>
    <t>HAS Super ⅞" x 14"</t>
  </si>
  <si>
    <t>HAS Super ⅞" x 19"</t>
  </si>
  <si>
    <t>HAS Super 1" x 12"</t>
  </si>
  <si>
    <t>HAS Super 1" x 16"</t>
  </si>
  <si>
    <t>HAS Super 1" x 20"</t>
  </si>
  <si>
    <t>HAS Super 1 ¼" x 16"</t>
  </si>
  <si>
    <t>HAS Super 1 ¼" x 22"</t>
  </si>
  <si>
    <t>HAS Super HDG ½" x 6 ½"</t>
  </si>
  <si>
    <t>HAS Super HDG ½" x 8"</t>
  </si>
  <si>
    <t>HAS Super HDG ½" x 12"</t>
  </si>
  <si>
    <t>HAS Super HDG ⅝" x 8"</t>
  </si>
  <si>
    <t>HAS Super HDG ⅝" x 9"</t>
  </si>
  <si>
    <t>HAS Super HDG ⅝" x 12"</t>
  </si>
  <si>
    <t>HAS Super HDG ¾" x 10"</t>
  </si>
  <si>
    <t>HAS Super HDG ¾" x 14"</t>
  </si>
  <si>
    <t>HAS Super HDG ¾" x 19"</t>
  </si>
  <si>
    <t>HAS Super HDG ⅞" x 10"</t>
  </si>
  <si>
    <t>HAS Super HDG ⅞" x 14"</t>
  </si>
  <si>
    <t>HAS Super HDG ⅞" x 19"</t>
  </si>
  <si>
    <t>HAS Super HDG 1" x 12"</t>
  </si>
  <si>
    <t>HAS Super HDG 1" x 16"</t>
  </si>
  <si>
    <t>HAS Super HDG 1" x 20"</t>
  </si>
  <si>
    <t>HAS Super HDG 1 ¼" x 16"</t>
  </si>
  <si>
    <t>HAS Super HDG 1 ¼" x 22"</t>
  </si>
  <si>
    <t>VOLUMENES ÚTILES DE CARTUCHOS</t>
  </si>
  <si>
    <t>HIT-MM PLUS</t>
  </si>
  <si>
    <t>G5</t>
  </si>
  <si>
    <t>ET 22</t>
  </si>
  <si>
    <t>Powers</t>
  </si>
  <si>
    <t>AnchorFix 4</t>
  </si>
  <si>
    <t>Euco Gel 452</t>
  </si>
  <si>
    <t>Tamiz HIT SC 18x85</t>
  </si>
  <si>
    <t>Tamiz HIT SC 18x50</t>
  </si>
  <si>
    <t>Varilla Roscada</t>
  </si>
  <si>
    <t>CONSUMO DE ADHESIVO (cm3/cm)</t>
  </si>
  <si>
    <t>incluir notas sobre el manejo de los desperdicios.</t>
  </si>
  <si>
    <r>
      <t>1.</t>
    </r>
    <r>
      <rPr>
        <sz val="7"/>
        <color theme="1"/>
        <rFont val="Times New Roman"/>
        <family val="1"/>
      </rPr>
      <t xml:space="preserve">      </t>
    </r>
    <r>
      <rPr>
        <sz val="10"/>
        <color theme="1"/>
        <rFont val="Arial"/>
        <family val="2"/>
      </rPr>
      <t>Especificaciones de producto: estas deben ser suministradas por el calculista y deben incluir, pero no limitarse a, los valores recomendados de resistencia de diseño, la localización, las dimensiones y las características físicas de los anclajes incluidos en el proyecto (metálicos y/o adhesivos).</t>
    </r>
  </si>
  <si>
    <r>
      <t>2.</t>
    </r>
    <r>
      <rPr>
        <sz val="7"/>
        <color theme="1"/>
        <rFont val="Times New Roman"/>
        <family val="1"/>
      </rPr>
      <t xml:space="preserve">      </t>
    </r>
    <r>
      <rPr>
        <sz val="10"/>
        <color theme="1"/>
        <rFont val="Arial"/>
        <family val="2"/>
      </rPr>
      <t>Muestras: se deben incluir los diámetros y longitudes representativas de cada tipo de anclaje incluido en los dibujos y/o planos del proyecto.</t>
    </r>
  </si>
  <si>
    <r>
      <t>1.</t>
    </r>
    <r>
      <rPr>
        <sz val="7"/>
        <color theme="1"/>
        <rFont val="Times New Roman"/>
        <family val="1"/>
      </rPr>
      <t xml:space="preserve">      </t>
    </r>
    <r>
      <rPr>
        <sz val="10"/>
        <color theme="1"/>
        <rFont val="Arial"/>
        <family val="2"/>
      </rPr>
      <t>Documentos de registro: de acuerdo con los requisitos de registro de los códigos de construcción aplicables (sección  3.1.A), se deben remitir los documentos de registro record del proyecto para los materiales y anclajes instalados en obra.</t>
    </r>
  </si>
  <si>
    <r>
      <t>B.</t>
    </r>
    <r>
      <rPr>
        <sz val="7"/>
        <color theme="1"/>
        <rFont val="Times New Roman"/>
        <family val="1"/>
      </rPr>
      <t xml:space="preserve">      </t>
    </r>
    <r>
      <rPr>
        <sz val="10"/>
        <color theme="1"/>
        <rFont val="Arial"/>
        <family val="2"/>
      </rPr>
      <t xml:space="preserve">Entrenamiento de instalador: debe realizar un entrenamiento intensivo con el fabricante o el representante del fabricante para el </t>
    </r>
    <r>
      <rPr>
        <b/>
        <sz val="10"/>
        <color theme="1"/>
        <rFont val="Arial"/>
        <family val="2"/>
      </rPr>
      <t xml:space="preserve">CONTRATISTA </t>
    </r>
    <r>
      <rPr>
        <sz val="10"/>
        <color theme="1"/>
        <rFont val="Arial"/>
        <family val="2"/>
      </rPr>
      <t>o</t>
    </r>
    <r>
      <rPr>
        <b/>
        <sz val="10"/>
        <color theme="1"/>
        <rFont val="Arial"/>
        <family val="2"/>
      </rPr>
      <t xml:space="preserve"> INSTALADOR</t>
    </r>
    <r>
      <rPr>
        <sz val="10"/>
        <color theme="1"/>
        <rFont val="Arial"/>
        <family val="2"/>
      </rPr>
      <t xml:space="preserve"> en la obra. El entrenamiento consistirá de una revisión del proceso completo de instalación para los anclajes post-instalados, incluyendo pero no limitado a:</t>
    </r>
  </si>
  <si>
    <r>
      <t>1.</t>
    </r>
    <r>
      <rPr>
        <sz val="7"/>
        <color theme="1"/>
        <rFont val="Times New Roman"/>
        <family val="1"/>
      </rPr>
      <t xml:space="preserve">      </t>
    </r>
    <r>
      <rPr>
        <sz val="10"/>
        <color theme="1"/>
        <rFont val="Arial"/>
        <family val="2"/>
      </rPr>
      <t>Procedimiento de perforación en el concreto.</t>
    </r>
  </si>
  <si>
    <r>
      <t>5.</t>
    </r>
    <r>
      <rPr>
        <sz val="7"/>
        <color theme="1"/>
        <rFont val="Times New Roman"/>
        <family val="1"/>
      </rPr>
      <t xml:space="preserve">      </t>
    </r>
    <r>
      <rPr>
        <sz val="10"/>
        <color theme="1"/>
        <rFont val="Arial"/>
        <family val="2"/>
      </rPr>
      <t>Prueba de carga y/o apriete de instalación (torqueado del anclaje).</t>
    </r>
  </si>
  <si>
    <r>
      <t>C.</t>
    </r>
    <r>
      <rPr>
        <sz val="7"/>
        <color theme="1"/>
        <rFont val="Times New Roman"/>
        <family val="1"/>
      </rPr>
      <t xml:space="preserve">      </t>
    </r>
    <r>
      <rPr>
        <sz val="10"/>
        <color theme="1"/>
        <rFont val="Arial"/>
        <family val="2"/>
      </rPr>
      <t>Certificaciones: A menos que se autorice de otra forma por parte del ingeniero calculista diseñador para el proyecto, los anclajes deben cumplir con alguna de las siguientes certificaciones:</t>
    </r>
  </si>
  <si>
    <r>
      <t>1.</t>
    </r>
    <r>
      <rPr>
        <sz val="7"/>
        <color theme="1"/>
        <rFont val="Times New Roman"/>
        <family val="1"/>
      </rPr>
      <t xml:space="preserve">      </t>
    </r>
    <r>
      <rPr>
        <sz val="10"/>
        <color theme="1"/>
        <rFont val="Arial"/>
        <family val="2"/>
      </rPr>
      <t>Reporte de servicio de evaluación ICC-ES ESR-1545</t>
    </r>
  </si>
  <si>
    <t>2.   Reporte de servicio de evaluación ICC-ES ESR-1546</t>
  </si>
  <si>
    <t>3.   Reporte de servicio de evaluación ICC-ES ESR-1385</t>
  </si>
  <si>
    <t>4.   Reporte de servicio de evaluación ICC-ES ESR-1917</t>
  </si>
  <si>
    <t>5.   Reporte de servicio de evaluación ICC-ES ESR-2302</t>
  </si>
  <si>
    <t>6.   Reporte de servicio de evaluación ICC-ES ESR-2322</t>
  </si>
  <si>
    <t>7.   Reporte de servicio de evaluación ICC-ES ESR-3027</t>
  </si>
  <si>
    <t>8.   Reporte de servicio de evaluación ICC-ES ESR-3187</t>
  </si>
  <si>
    <t>9.   Reporte de servicio de evaluación ICC-ES ESR-3056</t>
  </si>
  <si>
    <r>
      <t>14.</t>
    </r>
    <r>
      <rPr>
        <sz val="7"/>
        <color theme="1"/>
        <rFont val="Times New Roman"/>
        <family val="1"/>
      </rPr>
      <t xml:space="preserve">    </t>
    </r>
    <r>
      <rPr>
        <sz val="10"/>
        <color theme="1"/>
        <rFont val="Arial"/>
        <family val="2"/>
      </rPr>
      <t>Varillas corrugadas de refuerzo: ASTM A706/A706M, ASTM A615.</t>
    </r>
  </si>
  <si>
    <r>
      <t>d</t>
    </r>
    <r>
      <rPr>
        <i/>
        <sz val="8"/>
        <color theme="1"/>
        <rFont val="Arial"/>
        <family val="2"/>
      </rPr>
      <t>0</t>
    </r>
    <r>
      <rPr>
        <sz val="10"/>
        <color theme="1"/>
        <rFont val="Arial"/>
        <family val="2"/>
      </rPr>
      <t xml:space="preserve">  (mm)</t>
    </r>
  </si>
  <si>
    <r>
      <t>v</t>
    </r>
    <r>
      <rPr>
        <i/>
        <sz val="8"/>
        <color theme="1"/>
        <rFont val="Arial"/>
        <family val="2"/>
      </rPr>
      <t>foil</t>
    </r>
    <r>
      <rPr>
        <sz val="10"/>
        <color theme="1"/>
        <rFont val="Arial"/>
        <family val="2"/>
      </rPr>
      <t xml:space="preserve"> (       )</t>
    </r>
  </si>
  <si>
    <r>
      <t>v</t>
    </r>
    <r>
      <rPr>
        <i/>
        <sz val="8"/>
        <color theme="1"/>
        <rFont val="Arial"/>
        <family val="2"/>
      </rPr>
      <t>a</t>
    </r>
    <r>
      <rPr>
        <sz val="10"/>
        <color theme="1"/>
        <rFont val="Arial"/>
        <family val="2"/>
      </rPr>
      <t xml:space="preserve"> (       )</t>
    </r>
  </si>
  <si>
    <t>Dispensador Manual</t>
  </si>
  <si>
    <t>Herramienta de inyección</t>
  </si>
  <si>
    <t># de cartuchos</t>
  </si>
  <si>
    <r>
      <rPr>
        <b/>
        <sz val="10"/>
        <color theme="1"/>
        <rFont val="Arial"/>
        <family val="2"/>
      </rPr>
      <t>Rendimiento</t>
    </r>
    <r>
      <rPr>
        <sz val="10"/>
        <color theme="1"/>
        <rFont val="Arial"/>
        <family val="2"/>
      </rPr>
      <t xml:space="preserve">   (anc/foil)</t>
    </r>
  </si>
  <si>
    <t>Rebar #2</t>
  </si>
  <si>
    <t>Diámetro de perforación*</t>
  </si>
  <si>
    <r>
      <rPr>
        <b/>
        <sz val="10"/>
        <color theme="1"/>
        <rFont val="Arial"/>
        <family val="2"/>
      </rPr>
      <t>d</t>
    </r>
    <r>
      <rPr>
        <i/>
        <sz val="8"/>
        <color theme="1"/>
        <rFont val="Arial"/>
        <family val="2"/>
      </rPr>
      <t>0</t>
    </r>
    <r>
      <rPr>
        <sz val="10"/>
        <color theme="1"/>
        <rFont val="Arial"/>
        <family val="2"/>
      </rPr>
      <t xml:space="preserve"> = </t>
    </r>
  </si>
  <si>
    <t>Definición de la resistencia crítica</t>
  </si>
  <si>
    <t xml:space="preserve">El nivel de desperdicio puede variar entre 10% y 30% de </t>
  </si>
  <si>
    <t>acuerdo a las condiciones de trabajo en obra.</t>
  </si>
  <si>
    <r>
      <rPr>
        <b/>
        <i/>
        <sz val="10"/>
        <color theme="1"/>
        <rFont val="Arial"/>
        <family val="2"/>
      </rPr>
      <t>A.</t>
    </r>
    <r>
      <rPr>
        <i/>
        <sz val="10"/>
        <color theme="1"/>
        <rFont val="Arial"/>
        <family val="2"/>
      </rPr>
      <t xml:space="preserve"> Volumen teórico (según tablas del FTM)</t>
    </r>
  </si>
  <si>
    <r>
      <t>B.</t>
    </r>
    <r>
      <rPr>
        <i/>
        <sz val="10"/>
        <color theme="1"/>
        <rFont val="Arial"/>
        <family val="2"/>
      </rPr>
      <t xml:space="preserve"> Desperdicio inicial de adhesivo</t>
    </r>
  </si>
  <si>
    <r>
      <t>D.</t>
    </r>
    <r>
      <rPr>
        <i/>
        <sz val="10"/>
        <color theme="1"/>
        <rFont val="Arial"/>
        <family val="2"/>
      </rPr>
      <t xml:space="preserve"> Anillo de adhesivo en superficie</t>
    </r>
  </si>
  <si>
    <r>
      <t>E.</t>
    </r>
    <r>
      <rPr>
        <i/>
        <sz val="10"/>
        <color theme="1"/>
        <rFont val="Arial"/>
        <family val="2"/>
      </rPr>
      <t xml:space="preserve"> Volumen adicional por profundidad de perforación</t>
    </r>
  </si>
  <si>
    <t>Hilti HIT-HY 200-R</t>
  </si>
  <si>
    <t>Hilti HIT-MM Plus</t>
  </si>
  <si>
    <t>Corrugada (Rebar)</t>
  </si>
  <si>
    <t>diametro recomendado</t>
  </si>
  <si>
    <t>HIT-Z-R ⅜" x 4 ⅜"</t>
  </si>
  <si>
    <t>HIT-Z-R ⅜" x 5 ⅛"</t>
  </si>
  <si>
    <t>HIT-Z-R ⅜" x 6 ⅜"</t>
  </si>
  <si>
    <t>HIT-Z-R ½" x 4 ½"</t>
  </si>
  <si>
    <t>HIT-Z-R ½" x 6 ½"</t>
  </si>
  <si>
    <t>HIT-Z-R ½" x 7 ¾"</t>
  </si>
  <si>
    <t>HIT-Z-R ⅝" x 6"</t>
  </si>
  <si>
    <t>HIT-Z-R ⅝" x 8"</t>
  </si>
  <si>
    <t>HIT-Z-R ⅝" x 9 ½"</t>
  </si>
  <si>
    <t>HIT-Z-R ¾" x 8 ½"</t>
  </si>
  <si>
    <t>HIT-Z-R ¾" x 9 ¾"</t>
  </si>
  <si>
    <t>KB-TZ SS304 ⅜" x 3 ¾"</t>
  </si>
  <si>
    <t>KB-TZ SS316 ½" x 3 ¾"</t>
  </si>
  <si>
    <t>KB-TZ SS316 ½" x 4 ½"</t>
  </si>
  <si>
    <t>KB-TZ SS316 ½" x 5 ½"</t>
  </si>
  <si>
    <t>KB-TZ SS316 ¾" x 5 ½"</t>
  </si>
  <si>
    <t>KB-TZ SS316 ⅜" x 3 ¾"</t>
  </si>
  <si>
    <t>KB-TZ SS316 ⅝" x 4 ¾"</t>
  </si>
  <si>
    <t>HCA ¼" x 1 ¾"</t>
  </si>
  <si>
    <t>HCA ¼" x 2 ½"</t>
  </si>
  <si>
    <t>HCA ¼" x 3 ½"</t>
  </si>
  <si>
    <t>HCA ½" x 5 ½"</t>
  </si>
  <si>
    <t>HCA ⅝" x 3 ½"</t>
  </si>
  <si>
    <t>HCA ¾" x 4 ½"</t>
  </si>
  <si>
    <t>KB3 ¼" x 3 ¼" LT</t>
  </si>
  <si>
    <t>KB3 ¼" x 4 ½" LT</t>
  </si>
  <si>
    <t>KB3 ⅜" x 3" LT</t>
  </si>
  <si>
    <t>KB3 ⅜" x 3 ¾" LT</t>
  </si>
  <si>
    <t>KB3 ⅜" x 5" LT</t>
  </si>
  <si>
    <t>KB3 ⅜" x 7" LT</t>
  </si>
  <si>
    <t>KB3 ½" x 3 ¾" LT</t>
  </si>
  <si>
    <t>KB3 ½" x 4 ½" LT</t>
  </si>
  <si>
    <t>KB3 ½" x 5 ½" LT</t>
  </si>
  <si>
    <t>KB3 ½" x 7" LT</t>
  </si>
  <si>
    <t>KB3 ⅝" x 4 ¾" LT</t>
  </si>
  <si>
    <t>KB3 ⅝" x 6" LT</t>
  </si>
  <si>
    <t>KB3 ⅝" x 7" LT</t>
  </si>
  <si>
    <t>KB3 ⅝" x 8 ½" LT</t>
  </si>
  <si>
    <t>KB3 ⅝" x 10" LT</t>
  </si>
  <si>
    <t>KB3 ¾" x 4 ¾" LT</t>
  </si>
  <si>
    <t>KB3 ¾" x 5 ½" LT</t>
  </si>
  <si>
    <t>KB3 ¾" x 7" LT</t>
  </si>
  <si>
    <t>KB3 ¾" x 8" LT</t>
  </si>
  <si>
    <t>KB3 ¾" x 10" LT</t>
  </si>
  <si>
    <t>KB3 1" x 12" LT</t>
  </si>
  <si>
    <t>KB3 HDG ½" x 3 ¾" LT</t>
  </si>
  <si>
    <t>KB3 HDG ½" x 4 ½" LT</t>
  </si>
  <si>
    <t>KB3 HDG ½" x 5 ½" LT</t>
  </si>
  <si>
    <t>KB3 HDG ½" x 7 LT</t>
  </si>
  <si>
    <t>KB3 HDG ⅝" x 4 ¾" LT</t>
  </si>
  <si>
    <t>KB3 HDG ⅝" x 6 LT</t>
  </si>
  <si>
    <t>KB3 HDG ¾" x 4 ¾" LT</t>
  </si>
  <si>
    <t>KB3 HDG ¾" x 5 ½" LT</t>
  </si>
  <si>
    <t>KB3 HDG ¾" x 8 LT</t>
  </si>
  <si>
    <t>KB3 304SS ¼" x 3 ¼" LT</t>
  </si>
  <si>
    <t>KB3 304SS ⅜" x 3 ¾" LT</t>
  </si>
  <si>
    <t>KB3 304SS ⅜" x 3 LT</t>
  </si>
  <si>
    <t>KB3 304SS ⅜" x 5 LT</t>
  </si>
  <si>
    <t>KB3 304SS ⅜" x 7 LT</t>
  </si>
  <si>
    <t>HDI+ ¼"</t>
  </si>
  <si>
    <t>HDI+ ⅜"</t>
  </si>
  <si>
    <t>Toggler Bolt ¼"</t>
  </si>
  <si>
    <t>Toggler Bolt ⅜"</t>
  </si>
  <si>
    <t>Toggler Bolt ½"</t>
  </si>
  <si>
    <t>HIT-RE 500 SD  (500ml)</t>
  </si>
  <si>
    <t>HIT-HY 200-R  (500ml)</t>
  </si>
  <si>
    <t>HIT-MM Plus  (500ml)</t>
  </si>
  <si>
    <t>Hilti HVA</t>
  </si>
  <si>
    <t>HVU ⅜" x 3 ½"</t>
  </si>
  <si>
    <t>HVU ½" x 4 ¼"</t>
  </si>
  <si>
    <t>HVU ⅝" x 5"</t>
  </si>
  <si>
    <t>HVU ¾" x 6 ⅝"</t>
  </si>
  <si>
    <t>HVU ⅞" x 6 ⅝"</t>
  </si>
  <si>
    <t>HVU 1" x 8 ¼"</t>
  </si>
  <si>
    <t>HVU 1 ¼" x 12"</t>
  </si>
  <si>
    <t>Hilti HCA</t>
  </si>
  <si>
    <t>Hilti HDA</t>
  </si>
  <si>
    <t>Hilti HDI</t>
  </si>
  <si>
    <t>Hilti HKB</t>
  </si>
  <si>
    <t>Hilti HLC</t>
  </si>
  <si>
    <t>Hilti HLD</t>
  </si>
  <si>
    <t>Hilti HPS</t>
  </si>
  <si>
    <t>Hilti HSL</t>
  </si>
  <si>
    <t>Hilti Toggler Bolt</t>
  </si>
  <si>
    <t>Hilti KB-TZ</t>
  </si>
  <si>
    <t>Hilti Metal HIT</t>
  </si>
  <si>
    <t>Hilti Kwik HUS</t>
  </si>
  <si>
    <t>Φ 
Nominal</t>
  </si>
  <si>
    <t>Φ 
Drill Bit</t>
  </si>
  <si>
    <t>Lista de sistemas</t>
  </si>
  <si>
    <t>Productos</t>
  </si>
  <si>
    <t>v
Consumo</t>
  </si>
  <si>
    <t>(cm3)</t>
  </si>
  <si>
    <t>#
Item</t>
  </si>
  <si>
    <t>ID Sistemas</t>
  </si>
  <si>
    <r>
      <t>h</t>
    </r>
    <r>
      <rPr>
        <i/>
        <sz val="8"/>
        <color theme="1"/>
        <rFont val="Arial"/>
        <family val="2"/>
      </rPr>
      <t xml:space="preserve">0  </t>
    </r>
    <r>
      <rPr>
        <sz val="10"/>
        <color theme="1"/>
        <rFont val="Arial"/>
        <family val="2"/>
      </rPr>
      <t>(mm)</t>
    </r>
  </si>
  <si>
    <t>(cm3/cm)</t>
  </si>
  <si>
    <r>
      <t>V</t>
    </r>
    <r>
      <rPr>
        <b/>
        <i/>
        <sz val="7"/>
        <color theme="0"/>
        <rFont val="Arial"/>
        <family val="2"/>
      </rPr>
      <t>ef</t>
    </r>
    <r>
      <rPr>
        <b/>
        <sz val="8"/>
        <color theme="0"/>
        <rFont val="Arial"/>
        <family val="2"/>
      </rPr>
      <t xml:space="preserve">
Volumen</t>
    </r>
  </si>
  <si>
    <t>A. La siguiente tabla resume las cantidades de producto para los anclajes especificados en este documento.</t>
  </si>
  <si>
    <t>B. A continuación se presenta el cálculo de la cantidad de adhesivo requerido para los anclajes.</t>
  </si>
  <si>
    <r>
      <rPr>
        <i/>
        <sz val="10"/>
        <color theme="1"/>
        <rFont val="Arial"/>
        <family val="2"/>
      </rPr>
      <t xml:space="preserve">desp.  </t>
    </r>
    <r>
      <rPr>
        <sz val="10"/>
        <color theme="1"/>
        <rFont val="Arial"/>
        <family val="2"/>
      </rPr>
      <t>( % )</t>
    </r>
  </si>
  <si>
    <t>Sobre-perforación :</t>
  </si>
  <si>
    <r>
      <t>C.</t>
    </r>
    <r>
      <rPr>
        <i/>
        <sz val="10"/>
        <color theme="1"/>
        <rFont val="Arial"/>
        <family val="2"/>
      </rPr>
      <t xml:space="preserve"> Volumen restante en mezclador(es) y cartucho(s)</t>
    </r>
  </si>
  <si>
    <t>Resultado*</t>
  </si>
  <si>
    <r>
      <t>5.</t>
    </r>
    <r>
      <rPr>
        <sz val="7"/>
        <color theme="1"/>
        <rFont val="Times New Roman"/>
        <family val="1"/>
      </rPr>
      <t xml:space="preserve">      </t>
    </r>
    <r>
      <rPr>
        <sz val="10"/>
        <color theme="1"/>
        <rFont val="Arial"/>
        <family val="2"/>
      </rPr>
      <t>Donde no se indique la marca y/o fabricante de los anclajes, sujeto de aceptación y cumplimiento de los requerimientos del ingeniero calculista, suministrar lo siguiente:</t>
    </r>
  </si>
  <si>
    <r>
      <t>4.</t>
    </r>
    <r>
      <rPr>
        <sz val="7"/>
        <color theme="1"/>
        <rFont val="Times New Roman"/>
        <family val="1"/>
      </rPr>
      <t xml:space="preserve">      </t>
    </r>
    <r>
      <rPr>
        <sz val="10"/>
        <color theme="1"/>
        <rFont val="Arial"/>
        <family val="2"/>
      </rPr>
      <t>Las varillas corrugadas de refuerzo deben ser A706 Grado 60, con una punta tipo cincel con corte a 45° en el extremo empotrado del anclaje.</t>
    </r>
  </si>
  <si>
    <r>
      <t>4.</t>
    </r>
    <r>
      <rPr>
        <sz val="7"/>
        <color theme="1"/>
        <rFont val="Times New Roman"/>
        <family val="1"/>
      </rPr>
      <t xml:space="preserve">      </t>
    </r>
    <r>
      <rPr>
        <sz val="10"/>
        <color theme="1"/>
        <rFont val="Arial"/>
        <family val="2"/>
      </rPr>
      <t>Las varillas corrugadas de refuerzo deben ser A706 Grado 60.</t>
    </r>
  </si>
  <si>
    <t>HVU</t>
  </si>
  <si>
    <t>HAS</t>
  </si>
  <si>
    <t>HIS</t>
  </si>
  <si>
    <t>Rebar</t>
  </si>
  <si>
    <t>HIT</t>
  </si>
  <si>
    <t>HIT-Z</t>
  </si>
  <si>
    <t>Descripción</t>
  </si>
  <si>
    <t>Sistema de anclaje</t>
  </si>
  <si>
    <t>referencia</t>
  </si>
  <si>
    <t>+</t>
  </si>
  <si>
    <t>Hilti HIT-HY 200-R + Rebar #5</t>
  </si>
  <si>
    <r>
      <t>CARGA
F</t>
    </r>
    <r>
      <rPr>
        <b/>
        <i/>
        <sz val="8"/>
        <color theme="1"/>
        <rFont val="Arial"/>
        <family val="2"/>
      </rPr>
      <t>ua</t>
    </r>
    <r>
      <rPr>
        <b/>
        <sz val="10"/>
        <color theme="1"/>
        <rFont val="Arial"/>
        <family val="2"/>
      </rPr>
      <t xml:space="preserve">  (kN)</t>
    </r>
  </si>
  <si>
    <r>
      <t>CAPACIDAD
 ɸR</t>
    </r>
    <r>
      <rPr>
        <b/>
        <i/>
        <sz val="8"/>
        <color theme="1"/>
        <rFont val="Arial"/>
        <family val="2"/>
      </rPr>
      <t>a</t>
    </r>
    <r>
      <rPr>
        <b/>
        <sz val="10"/>
        <color theme="1"/>
        <rFont val="Arial"/>
        <family val="2"/>
      </rPr>
      <t xml:space="preserve"> (kN)</t>
    </r>
  </si>
  <si>
    <t>A continuación se presentan los resultados globales obtenidos para la evaluación de los anclajes indicados en el numeral 2.1. El desarrollo detallado y calculos específicos para lograr estos resultados se puede consultar en las páginas siguientes en los numerales 2.4 a 2.11.</t>
  </si>
  <si>
    <r>
      <rPr>
        <b/>
        <i/>
        <sz val="10"/>
        <color theme="1"/>
        <rFont val="Arial"/>
        <family val="2"/>
      </rPr>
      <t>Notas:</t>
    </r>
    <r>
      <rPr>
        <i/>
        <sz val="10"/>
        <color theme="1"/>
        <rFont val="Arial"/>
        <family val="2"/>
      </rPr>
      <t xml:space="preserve">
Las cantidades de productos indicadas en este documento solo aplican para los cartuchos calculados con base en la información suministrada, aumiendo que se siguen todas las recomendaciones de instalación del fabricante. Las condiciones de trabajo pueden afectar el nivel de desperdicio indicado arriba. Cualquier factor de desperdicio adicional, no estimado antes afectará el requerimiento de adhesivo y debe ser tenido en cuenta por el instalador. Hilti no garantiza que el cálculo de cantidades es completamente preciso para la aplicación en obra. El uso de esta herramienta y la compra de productos Hilti están sujetos a las condiciones establecidas durante la negociación.
Se deben tener en cuenta los elementos adicionales como accesorios, utiles de colocación, elementos de limpieza y demás artículos que se puedan necesitar para la instalación en cada caso particular y que no hayan sido indicados en este documento. </t>
    </r>
  </si>
  <si>
    <t>Diseño a Tensión</t>
  </si>
  <si>
    <t>Diseño a Cortante</t>
  </si>
  <si>
    <r>
      <t>B.</t>
    </r>
    <r>
      <rPr>
        <sz val="7"/>
        <color theme="1"/>
        <rFont val="Times New Roman"/>
        <family val="1"/>
      </rPr>
      <t xml:space="preserve">      </t>
    </r>
    <r>
      <rPr>
        <sz val="10"/>
        <color theme="1"/>
        <rFont val="Arial"/>
        <family val="2"/>
      </rPr>
      <t>Fallo por cargas permanentes a largo plazo (creep):</t>
    </r>
    <r>
      <rPr>
        <sz val="10"/>
        <color rgb="FF808080"/>
        <rFont val="Arial"/>
        <family val="2"/>
      </rPr>
      <t xml:space="preserve"> </t>
    </r>
  </si>
  <si>
    <t>1.5. Notas</t>
  </si>
  <si>
    <r>
      <rPr>
        <b/>
        <sz val="10"/>
        <color theme="1"/>
        <rFont val="Arial"/>
        <family val="2"/>
      </rPr>
      <t>h</t>
    </r>
    <r>
      <rPr>
        <i/>
        <sz val="8"/>
        <color theme="1"/>
        <rFont val="Arial"/>
        <family val="2"/>
      </rPr>
      <t>a</t>
    </r>
  </si>
  <si>
    <t>≈</t>
  </si>
  <si>
    <r>
      <t xml:space="preserve">Nivel de disipación de :
energía sísmica  </t>
    </r>
    <r>
      <rPr>
        <sz val="10"/>
        <color theme="0"/>
        <rFont val="Arial"/>
        <family val="2"/>
      </rPr>
      <t>.</t>
    </r>
  </si>
  <si>
    <r>
      <t xml:space="preserve">Distancia de instalación
</t>
    </r>
    <r>
      <rPr>
        <i/>
        <sz val="8"/>
        <color theme="1"/>
        <rFont val="Arial"/>
        <family val="2"/>
      </rPr>
      <t>(Separación al concreto)</t>
    </r>
  </si>
  <si>
    <r>
      <rPr>
        <b/>
        <i/>
        <sz val="10"/>
        <color theme="1"/>
        <rFont val="Arial"/>
        <family val="2"/>
      </rPr>
      <t>Notas:</t>
    </r>
    <r>
      <rPr>
        <i/>
        <sz val="10"/>
        <color theme="1"/>
        <rFont val="Arial"/>
        <family val="2"/>
      </rPr>
      <t xml:space="preserve">
Los resultados están expresados en los siguientes términos:
   - OK    aprueba todas las validaciones y es recomendable su especificación.
   - N/A   no aprueba las validaciones y verificaciones.
   - N/R   no se recomienda su uso y/o diseño para la aplicación.</t>
    </r>
  </si>
  <si>
    <t>Condiciones de diseño</t>
  </si>
  <si>
    <t>Lista de embebidos</t>
  </si>
  <si>
    <t>Roscada totalmente (Bolt)</t>
  </si>
  <si>
    <t>Roscada parcialmente (Stud)</t>
  </si>
  <si>
    <t>Hilti KH</t>
  </si>
  <si>
    <t>Hilti KH-EZ</t>
  </si>
  <si>
    <t>Hilti HSL-3/HSL</t>
  </si>
  <si>
    <t>Otra referencia</t>
  </si>
  <si>
    <t>Lista de post-instalados</t>
  </si>
  <si>
    <t>Gancho tipo J (según NSR-10)</t>
  </si>
  <si>
    <t>Gancho tipo L (según NSR-10)</t>
  </si>
  <si>
    <t>Sobre-excavado</t>
  </si>
  <si>
    <t>Expansivo controlado por torque</t>
  </si>
  <si>
    <t>Expansivo controlado por desplazamiento</t>
  </si>
  <si>
    <t>Mecánico</t>
  </si>
  <si>
    <t>Inserto rosca interna (HIS)</t>
  </si>
  <si>
    <t>Roscada tronco-cónica (HIT-Z)</t>
  </si>
  <si>
    <t>Bloqueo mecánico</t>
  </si>
  <si>
    <t>Otro(s)</t>
  </si>
  <si>
    <t>Ninguna</t>
  </si>
  <si>
    <t>Espesor mínimo de concreto</t>
  </si>
  <si>
    <r>
      <rPr>
        <b/>
        <sz val="10"/>
        <color theme="1"/>
        <rFont val="Arial"/>
        <family val="2"/>
      </rPr>
      <t>L</t>
    </r>
    <r>
      <rPr>
        <sz val="8"/>
        <color theme="1"/>
        <rFont val="Arial"/>
        <family val="2"/>
      </rPr>
      <t>e</t>
    </r>
    <r>
      <rPr>
        <sz val="10"/>
        <color theme="1"/>
        <rFont val="Arial"/>
        <family val="2"/>
      </rPr>
      <t xml:space="preserve"> = </t>
    </r>
  </si>
  <si>
    <t>Longitud fuera del concreto</t>
  </si>
  <si>
    <r>
      <rPr>
        <i/>
        <sz val="8"/>
        <color theme="1"/>
        <rFont val="Arial"/>
        <family val="2"/>
      </rPr>
      <t>Mínimo valor en Y</t>
    </r>
    <r>
      <rPr>
        <sz val="10"/>
        <color theme="1"/>
        <rFont val="Arial"/>
        <family val="2"/>
      </rPr>
      <t xml:space="preserve"> </t>
    </r>
    <r>
      <rPr>
        <b/>
        <sz val="10"/>
        <color theme="1"/>
        <rFont val="Arial"/>
        <family val="2"/>
      </rPr>
      <t>S</t>
    </r>
    <r>
      <rPr>
        <sz val="8"/>
        <color theme="1"/>
        <rFont val="Arial"/>
        <family val="2"/>
      </rPr>
      <t>y</t>
    </r>
    <r>
      <rPr>
        <sz val="10"/>
        <color theme="1"/>
        <rFont val="Arial"/>
        <family val="2"/>
      </rPr>
      <t xml:space="preserve"> = </t>
    </r>
  </si>
  <si>
    <r>
      <rPr>
        <i/>
        <sz val="8"/>
        <color theme="1"/>
        <rFont val="Arial"/>
        <family val="2"/>
      </rPr>
      <t>Mínimo valor en X</t>
    </r>
    <r>
      <rPr>
        <sz val="10"/>
        <color theme="1"/>
        <rFont val="Arial"/>
        <family val="2"/>
      </rPr>
      <t xml:space="preserve"> </t>
    </r>
    <r>
      <rPr>
        <b/>
        <sz val="10"/>
        <color theme="1"/>
        <rFont val="Arial"/>
        <family val="2"/>
      </rPr>
      <t>S</t>
    </r>
    <r>
      <rPr>
        <sz val="8"/>
        <color theme="1"/>
        <rFont val="Arial"/>
        <family val="2"/>
      </rPr>
      <t>x</t>
    </r>
    <r>
      <rPr>
        <sz val="10"/>
        <color theme="1"/>
        <rFont val="Arial"/>
        <family val="2"/>
      </rPr>
      <t xml:space="preserve"> = </t>
    </r>
  </si>
  <si>
    <t>Torque de instalación</t>
  </si>
  <si>
    <t>con broca de carburo</t>
  </si>
  <si>
    <r>
      <rPr>
        <b/>
        <sz val="10"/>
        <color theme="1"/>
        <rFont val="Arial"/>
        <family val="2"/>
      </rPr>
      <t>V</t>
    </r>
    <r>
      <rPr>
        <i/>
        <sz val="8"/>
        <color theme="1"/>
        <rFont val="Arial"/>
        <family val="2"/>
      </rPr>
      <t xml:space="preserve">ua </t>
    </r>
    <r>
      <rPr>
        <sz val="8"/>
        <color theme="1"/>
        <rFont val="Arial"/>
        <family val="2"/>
      </rPr>
      <t>(kN)</t>
    </r>
  </si>
  <si>
    <t>CORTANTES</t>
  </si>
  <si>
    <r>
      <rPr>
        <sz val="10"/>
        <color theme="1"/>
        <rFont val="Arial"/>
        <family val="2"/>
      </rPr>
      <t>Falla concreto en
cortante   (</t>
    </r>
    <r>
      <rPr>
        <b/>
        <sz val="10"/>
        <color theme="1"/>
        <rFont val="Arial"/>
        <family val="2"/>
      </rPr>
      <t>V</t>
    </r>
    <r>
      <rPr>
        <i/>
        <sz val="8"/>
        <color theme="1"/>
        <rFont val="Arial"/>
        <family val="2"/>
      </rPr>
      <t>x</t>
    </r>
    <r>
      <rPr>
        <sz val="10"/>
        <color theme="1"/>
        <rFont val="Arial"/>
        <family val="2"/>
      </rPr>
      <t>)</t>
    </r>
  </si>
  <si>
    <r>
      <rPr>
        <sz val="10"/>
        <color theme="1"/>
        <rFont val="Arial"/>
        <family val="2"/>
      </rPr>
      <t>Falla concreto en
cortante   (</t>
    </r>
    <r>
      <rPr>
        <b/>
        <sz val="10"/>
        <color theme="1"/>
        <rFont val="Arial"/>
        <family val="2"/>
      </rPr>
      <t>V</t>
    </r>
    <r>
      <rPr>
        <i/>
        <sz val="8"/>
        <color theme="1"/>
        <rFont val="Arial"/>
        <family val="2"/>
      </rPr>
      <t>y</t>
    </r>
    <r>
      <rPr>
        <sz val="10"/>
        <color theme="1"/>
        <rFont val="Arial"/>
        <family val="2"/>
      </rPr>
      <t>)</t>
    </r>
  </si>
  <si>
    <r>
      <t>η</t>
    </r>
    <r>
      <rPr>
        <i/>
        <sz val="8"/>
        <color theme="1"/>
        <rFont val="Arial"/>
        <family val="2"/>
      </rPr>
      <t>N</t>
    </r>
    <r>
      <rPr>
        <b/>
        <sz val="10"/>
        <color theme="1"/>
        <rFont val="Arial"/>
        <family val="2"/>
      </rPr>
      <t xml:space="preserve"> </t>
    </r>
    <r>
      <rPr>
        <sz val="10"/>
        <color theme="1"/>
        <rFont val="Arial"/>
        <family val="2"/>
      </rPr>
      <t>(%)</t>
    </r>
  </si>
  <si>
    <r>
      <t>η</t>
    </r>
    <r>
      <rPr>
        <i/>
        <sz val="8"/>
        <color theme="1"/>
        <rFont val="Arial"/>
        <family val="2"/>
      </rPr>
      <t>V</t>
    </r>
    <r>
      <rPr>
        <b/>
        <sz val="10"/>
        <color theme="1"/>
        <rFont val="Arial"/>
        <family val="2"/>
      </rPr>
      <t xml:space="preserve"> </t>
    </r>
    <r>
      <rPr>
        <sz val="10"/>
        <color theme="1"/>
        <rFont val="Arial"/>
        <family val="2"/>
      </rPr>
      <t>(%)</t>
    </r>
  </si>
  <si>
    <r>
      <t>ɸV</t>
    </r>
    <r>
      <rPr>
        <i/>
        <sz val="8"/>
        <color theme="1"/>
        <rFont val="Arial"/>
        <family val="2"/>
      </rPr>
      <t>cbg,x</t>
    </r>
    <r>
      <rPr>
        <sz val="10"/>
        <color theme="1"/>
        <rFont val="Arial"/>
        <family val="2"/>
      </rPr>
      <t xml:space="preserve"> (kN)</t>
    </r>
  </si>
  <si>
    <r>
      <t>ɸV</t>
    </r>
    <r>
      <rPr>
        <i/>
        <sz val="8"/>
        <color theme="1"/>
        <rFont val="Arial"/>
        <family val="2"/>
      </rPr>
      <t>cbg,y</t>
    </r>
    <r>
      <rPr>
        <sz val="10"/>
        <color theme="1"/>
        <rFont val="Arial"/>
        <family val="2"/>
      </rPr>
      <t xml:space="preserve"> (kN)</t>
    </r>
  </si>
  <si>
    <r>
      <rPr>
        <b/>
        <sz val="10"/>
        <color theme="1"/>
        <rFont val="Arial"/>
        <family val="2"/>
      </rPr>
      <t>V</t>
    </r>
    <r>
      <rPr>
        <i/>
        <sz val="8"/>
        <color theme="1"/>
        <rFont val="Arial"/>
        <family val="2"/>
      </rPr>
      <t>ua,x</t>
    </r>
    <r>
      <rPr>
        <sz val="10"/>
        <color theme="1"/>
        <rFont val="Arial"/>
        <family val="2"/>
      </rPr>
      <t xml:space="preserve"> (kN)</t>
    </r>
  </si>
  <si>
    <r>
      <rPr>
        <b/>
        <sz val="10"/>
        <color theme="1"/>
        <rFont val="Arial"/>
        <family val="2"/>
      </rPr>
      <t>V</t>
    </r>
    <r>
      <rPr>
        <i/>
        <sz val="8"/>
        <color theme="1"/>
        <rFont val="Arial"/>
        <family val="2"/>
      </rPr>
      <t>ua,y</t>
    </r>
    <r>
      <rPr>
        <sz val="10"/>
        <color theme="1"/>
        <rFont val="Arial"/>
        <family val="2"/>
      </rPr>
      <t xml:space="preserve"> (kN)</t>
    </r>
  </si>
  <si>
    <r>
      <t>Cortante (</t>
    </r>
    <r>
      <rPr>
        <b/>
        <i/>
        <sz val="8"/>
        <color theme="1"/>
        <rFont val="Arial"/>
        <family val="2"/>
      </rPr>
      <t>V</t>
    </r>
    <r>
      <rPr>
        <sz val="8"/>
        <color theme="1"/>
        <rFont val="Arial"/>
        <family val="2"/>
      </rPr>
      <t>x</t>
    </r>
    <r>
      <rPr>
        <i/>
        <sz val="8"/>
        <color theme="1"/>
        <rFont val="Arial"/>
        <family val="2"/>
      </rPr>
      <t>)</t>
    </r>
  </si>
  <si>
    <r>
      <t>Cortante (</t>
    </r>
    <r>
      <rPr>
        <b/>
        <i/>
        <sz val="8"/>
        <color theme="1"/>
        <rFont val="Arial"/>
        <family val="2"/>
      </rPr>
      <t>V</t>
    </r>
    <r>
      <rPr>
        <sz val="8"/>
        <color theme="1"/>
        <rFont val="Arial"/>
        <family val="2"/>
      </rPr>
      <t>y</t>
    </r>
    <r>
      <rPr>
        <i/>
        <sz val="8"/>
        <color theme="1"/>
        <rFont val="Arial"/>
        <family val="2"/>
      </rPr>
      <t>)</t>
    </r>
  </si>
  <si>
    <r>
      <rPr>
        <b/>
        <sz val="12"/>
        <color theme="1"/>
        <rFont val="Arial"/>
        <family val="2"/>
      </rPr>
      <t>ψ</t>
    </r>
    <r>
      <rPr>
        <i/>
        <sz val="8"/>
        <color theme="1"/>
        <rFont val="Arial"/>
        <family val="2"/>
      </rPr>
      <t>ed,Vx</t>
    </r>
  </si>
  <si>
    <r>
      <rPr>
        <b/>
        <sz val="12"/>
        <color theme="1"/>
        <rFont val="Arial"/>
        <family val="2"/>
      </rPr>
      <t>ψ</t>
    </r>
    <r>
      <rPr>
        <i/>
        <sz val="8"/>
        <color theme="1"/>
        <rFont val="Arial"/>
        <family val="2"/>
      </rPr>
      <t>ed,Vy</t>
    </r>
  </si>
  <si>
    <r>
      <t>A.</t>
    </r>
    <r>
      <rPr>
        <sz val="7"/>
        <color theme="1"/>
        <rFont val="Times New Roman"/>
        <family val="1"/>
      </rPr>
      <t xml:space="preserve">      </t>
    </r>
    <r>
      <rPr>
        <sz val="10"/>
        <color theme="1"/>
        <rFont val="Arial"/>
        <family val="2"/>
      </rPr>
      <t>Resistencia a tensión:</t>
    </r>
    <r>
      <rPr>
        <sz val="10"/>
        <color rgb="FF808080"/>
        <rFont val="Arial"/>
        <family val="2"/>
      </rPr>
      <t xml:space="preserve"> </t>
    </r>
  </si>
  <si>
    <t>Inyectable</t>
  </si>
  <si>
    <t>Capsula</t>
  </si>
  <si>
    <t>Expansivo de camisa</t>
  </si>
  <si>
    <t>Atornillado</t>
  </si>
  <si>
    <t>Expansivo de cuña</t>
  </si>
  <si>
    <t>Expansivo ligero</t>
  </si>
  <si>
    <t>Perno con cabeza hexagonal (tuerca)</t>
  </si>
  <si>
    <t>Perno con cabeza cuadrada (placa)</t>
  </si>
  <si>
    <t>ISO 898-1 Clase 5.8</t>
  </si>
  <si>
    <t>Documento de especificación de Anclajes …</t>
  </si>
  <si>
    <t>DEPARTAMENTO DE INGENIERÍA</t>
  </si>
  <si>
    <r>
      <rPr>
        <b/>
        <i/>
        <sz val="8"/>
        <color theme="1"/>
        <rFont val="Arial"/>
        <family val="2"/>
      </rPr>
      <t>Factor de seguridad</t>
    </r>
    <r>
      <rPr>
        <i/>
        <sz val="8"/>
        <color theme="1"/>
        <rFont val="Arial"/>
        <family val="2"/>
      </rPr>
      <t xml:space="preserve"> </t>
    </r>
    <r>
      <rPr>
        <sz val="15"/>
        <color theme="1"/>
        <rFont val="Arial"/>
        <family val="2"/>
      </rPr>
      <t>Ω</t>
    </r>
    <r>
      <rPr>
        <i/>
        <sz val="8"/>
        <color theme="1"/>
        <rFont val="Arial"/>
        <family val="2"/>
      </rPr>
      <t>ASD</t>
    </r>
  </si>
  <si>
    <t>(para uso global en el calculo de toda la resistencia)</t>
  </si>
  <si>
    <r>
      <t>A.</t>
    </r>
    <r>
      <rPr>
        <sz val="7"/>
        <color theme="1"/>
        <rFont val="Times New Roman"/>
        <family val="1"/>
      </rPr>
      <t xml:space="preserve">      </t>
    </r>
    <r>
      <rPr>
        <sz val="10"/>
        <color theme="1"/>
        <rFont val="Arial"/>
        <family val="2"/>
      </rPr>
      <t>Cargas aplicadas:</t>
    </r>
    <r>
      <rPr>
        <sz val="10"/>
        <color rgb="FF808080"/>
        <rFont val="Arial"/>
        <family val="2"/>
      </rPr>
      <t xml:space="preserve"> </t>
    </r>
  </si>
  <si>
    <t>Nombre de remitente</t>
  </si>
  <si>
    <t>Cantidad de anclajes</t>
  </si>
  <si>
    <t>forma geométrica :</t>
  </si>
  <si>
    <t>Diseño a cargas permanentes (largo plazo)</t>
  </si>
  <si>
    <t>Diseño a prueba de fuego</t>
  </si>
  <si>
    <t>Diseño dinámico a fatiga/impacto</t>
  </si>
  <si>
    <r>
      <rPr>
        <b/>
        <i/>
        <sz val="10"/>
        <color theme="1"/>
        <rFont val="Arial"/>
        <family val="2"/>
      </rPr>
      <t>Notas:</t>
    </r>
    <r>
      <rPr>
        <i/>
        <sz val="10"/>
        <color theme="1"/>
        <rFont val="Arial"/>
        <family val="2"/>
      </rPr>
      <t xml:space="preserve">
*  Los resultados están expresados en los siguientes términos:
   - OK    aprueba todas las validaciones de desempeño estático.
   - N/A   no aprueba las validaciones y verificaciones.
   - N/R   no se recomienda su uso y/o diseño para la aplicación.</t>
    </r>
  </si>
  <si>
    <t>El sistema de anclaje ha sido sometido a la combinación de cargas indicada en la siguiente tabla.</t>
  </si>
  <si>
    <r>
      <t>V</t>
    </r>
    <r>
      <rPr>
        <i/>
        <sz val="8"/>
        <color theme="1"/>
        <rFont val="Arial"/>
        <family val="2"/>
      </rPr>
      <t>bx</t>
    </r>
    <r>
      <rPr>
        <sz val="10"/>
        <color theme="1"/>
        <rFont val="Arial"/>
        <family val="2"/>
      </rPr>
      <t xml:space="preserve"> (kN)</t>
    </r>
  </si>
  <si>
    <r>
      <t>V</t>
    </r>
    <r>
      <rPr>
        <i/>
        <sz val="8"/>
        <color theme="1"/>
        <rFont val="Arial"/>
        <family val="2"/>
      </rPr>
      <t>by</t>
    </r>
    <r>
      <rPr>
        <sz val="10"/>
        <color theme="1"/>
        <rFont val="Arial"/>
        <family val="2"/>
      </rPr>
      <t xml:space="preserve"> (kN)</t>
    </r>
  </si>
  <si>
    <t>ÁREAS EFECTIVAS DE FALLA DE CONCRETO</t>
  </si>
  <si>
    <r>
      <t>A</t>
    </r>
    <r>
      <rPr>
        <i/>
        <sz val="8"/>
        <color theme="1"/>
        <rFont val="Arial"/>
        <family val="2"/>
      </rPr>
      <t>Nc,i</t>
    </r>
    <r>
      <rPr>
        <sz val="10"/>
        <color theme="1"/>
        <rFont val="Arial"/>
        <family val="2"/>
      </rPr>
      <t xml:space="preserve">    (     )</t>
    </r>
  </si>
  <si>
    <r>
      <t>A</t>
    </r>
    <r>
      <rPr>
        <i/>
        <sz val="8"/>
        <color theme="1"/>
        <rFont val="Arial"/>
        <family val="2"/>
      </rPr>
      <t>Na,i</t>
    </r>
    <r>
      <rPr>
        <sz val="10"/>
        <color theme="1"/>
        <rFont val="Arial"/>
        <family val="2"/>
      </rPr>
      <t xml:space="preserve">    (     )</t>
    </r>
  </si>
  <si>
    <r>
      <t>A</t>
    </r>
    <r>
      <rPr>
        <i/>
        <sz val="8"/>
        <color theme="1"/>
        <rFont val="Arial"/>
        <family val="2"/>
      </rPr>
      <t>Vc0,x</t>
    </r>
    <r>
      <rPr>
        <sz val="10"/>
        <color theme="1"/>
        <rFont val="Arial"/>
        <family val="2"/>
      </rPr>
      <t>(     )</t>
    </r>
  </si>
  <si>
    <r>
      <t>A</t>
    </r>
    <r>
      <rPr>
        <i/>
        <sz val="8"/>
        <color theme="1"/>
        <rFont val="Arial"/>
        <family val="2"/>
      </rPr>
      <t>Vc0,y</t>
    </r>
    <r>
      <rPr>
        <sz val="10"/>
        <color theme="1"/>
        <rFont val="Arial"/>
        <family val="2"/>
      </rPr>
      <t>(     )</t>
    </r>
  </si>
  <si>
    <r>
      <t>A</t>
    </r>
    <r>
      <rPr>
        <i/>
        <sz val="8"/>
        <color theme="1"/>
        <rFont val="Arial"/>
        <family val="2"/>
      </rPr>
      <t>Vcx</t>
    </r>
    <r>
      <rPr>
        <sz val="10"/>
        <color theme="1"/>
        <rFont val="Arial"/>
        <family val="2"/>
      </rPr>
      <t xml:space="preserve"> (     )</t>
    </r>
  </si>
  <si>
    <r>
      <t>A</t>
    </r>
    <r>
      <rPr>
        <i/>
        <sz val="8"/>
        <color theme="1"/>
        <rFont val="Arial"/>
        <family val="2"/>
      </rPr>
      <t>Vcy</t>
    </r>
    <r>
      <rPr>
        <sz val="10"/>
        <color theme="1"/>
        <rFont val="Arial"/>
        <family val="2"/>
      </rPr>
      <t xml:space="preserve"> (     )</t>
    </r>
  </si>
  <si>
    <t>Perforación seca</t>
  </si>
  <si>
    <t>3.1. HOMOLOGACIÓN Y VALIDACIÓN TÉCNICA</t>
  </si>
  <si>
    <r>
      <t>1)</t>
    </r>
    <r>
      <rPr>
        <sz val="7"/>
        <color theme="1"/>
        <rFont val="Times New Roman"/>
        <family val="1"/>
      </rPr>
      <t xml:space="preserve">         </t>
    </r>
    <r>
      <rPr>
        <sz val="10"/>
        <color theme="1"/>
        <rFont val="Arial"/>
        <family val="2"/>
      </rPr>
      <t>Los anclajes deben ser conformes con los criterios de aceptación vigentes ICC AC-193 y/o con la norma ACI 355.2 equivalente, para la validación de anclajes mecánicos.</t>
    </r>
  </si>
  <si>
    <r>
      <t>2)</t>
    </r>
    <r>
      <rPr>
        <sz val="7"/>
        <color theme="1"/>
        <rFont val="Times New Roman"/>
        <family val="1"/>
      </rPr>
      <t xml:space="preserve">         </t>
    </r>
    <r>
      <rPr>
        <sz val="10"/>
        <color theme="1"/>
        <rFont val="Arial"/>
        <family val="2"/>
      </rPr>
      <t>Los anclajes deben ser conformes con los criterios de aceptación vigentes ICC AC-308 y/o con la  norma ACI 355.4 equivalente, para la validación de anclajes adhesivos.</t>
    </r>
  </si>
  <si>
    <r>
      <t>3)</t>
    </r>
    <r>
      <rPr>
        <sz val="7"/>
        <color theme="1"/>
        <rFont val="Times New Roman"/>
        <family val="1"/>
      </rPr>
      <t xml:space="preserve">         </t>
    </r>
    <r>
      <rPr>
        <sz val="10"/>
        <color theme="1"/>
        <rFont val="Arial"/>
        <family val="2"/>
      </rPr>
      <t>Los anclajes deben ser conformes con los reportes vigentes EOTA TR-029, EOTA TR-045 y/o ETAG 001 con sus anexos respectivos para la validación de anclajes (diferentes tipos de anclajes).</t>
    </r>
  </si>
  <si>
    <r>
      <t>1.</t>
    </r>
    <r>
      <rPr>
        <sz val="7"/>
        <color theme="1"/>
        <rFont val="Times New Roman"/>
        <family val="1"/>
      </rPr>
      <t xml:space="preserve">      </t>
    </r>
    <r>
      <rPr>
        <sz val="10"/>
        <color theme="1"/>
        <rFont val="Arial"/>
        <family val="2"/>
      </rPr>
      <t>Trabajos en Concreto – NSR-10 Titulo C; ACI 318-14; ETAG 001; IBC División 3.</t>
    </r>
  </si>
  <si>
    <t>Incluir el texto de especificación de los anclajes (puede ser tomado de PROFIS Anchor u otra fuente).</t>
  </si>
  <si>
    <r>
      <rPr>
        <b/>
        <i/>
        <sz val="10"/>
        <color theme="1"/>
        <rFont val="Arial"/>
        <family val="2"/>
      </rPr>
      <t>Notas:</t>
    </r>
    <r>
      <rPr>
        <i/>
        <sz val="10"/>
        <color theme="1"/>
        <rFont val="Arial"/>
        <family val="2"/>
      </rPr>
      <t xml:space="preserve">
*  Los valores mostrados están referenciados a la certificación indicada. Cuando ésta no sea indicada, los valores deben corresponder a los requerimientos mínimos de norma. 
La información está expresada en los siguientes términos:
   - N/E   no se especifica la información por parte del cliente/diseñador.
   - N/A   no aplica para el caso bajo estudio (tambien se puede indicar con un guión "-").</t>
    </r>
  </si>
  <si>
    <t>NOMBRE DE EMPRESA</t>
  </si>
  <si>
    <t>(dúctil)</t>
  </si>
  <si>
    <r>
      <t xml:space="preserve">X </t>
    </r>
    <r>
      <rPr>
        <b/>
        <sz val="8"/>
        <rFont val="Arial"/>
        <family val="2"/>
      </rPr>
      <t>(mm)</t>
    </r>
  </si>
  <si>
    <r>
      <t>Y</t>
    </r>
    <r>
      <rPr>
        <b/>
        <sz val="9"/>
        <rFont val="Arial"/>
        <family val="2"/>
      </rPr>
      <t xml:space="preserve"> </t>
    </r>
    <r>
      <rPr>
        <b/>
        <sz val="8"/>
        <rFont val="Arial"/>
        <family val="2"/>
      </rPr>
      <t>(mm)</t>
    </r>
  </si>
  <si>
    <t>Nx</t>
  </si>
  <si>
    <t>Ny</t>
  </si>
  <si>
    <t>REACCIONES</t>
  </si>
  <si>
    <r>
      <rPr>
        <b/>
        <i/>
        <sz val="10"/>
        <color theme="1"/>
        <rFont val="Arial"/>
        <family val="2"/>
      </rPr>
      <t>Notas:</t>
    </r>
    <r>
      <rPr>
        <i/>
        <sz val="10"/>
        <color theme="1"/>
        <rFont val="Arial"/>
        <family val="2"/>
      </rPr>
      <t xml:space="preserve">
Los valores de fuerzas y reacciones son obtenidos a partir de un modelo de distribución elástica de esfuerzos. Los detalles de estos cálculos no se incluyen en el presente informe.
Consultar al equipo técnico de soporte de Hilti para solicitar asesoría adicional en relación con esta especificacion de anclajes.</t>
    </r>
  </si>
  <si>
    <t>Ri (mm)</t>
  </si>
  <si>
    <t>Vy,x</t>
  </si>
  <si>
    <t>Vx,y</t>
  </si>
  <si>
    <r>
      <t>C.</t>
    </r>
    <r>
      <rPr>
        <sz val="7"/>
        <color theme="1"/>
        <rFont val="Times New Roman"/>
        <family val="1"/>
      </rPr>
      <t xml:space="preserve">      </t>
    </r>
    <r>
      <rPr>
        <sz val="10"/>
        <color theme="1"/>
        <rFont val="Arial"/>
        <family val="2"/>
      </rPr>
      <t>Reacciones críticas:</t>
    </r>
    <r>
      <rPr>
        <sz val="10"/>
        <color rgb="FF808080"/>
        <rFont val="Arial"/>
        <family val="2"/>
      </rPr>
      <t xml:space="preserve"> </t>
    </r>
  </si>
  <si>
    <r>
      <t>B.</t>
    </r>
    <r>
      <rPr>
        <sz val="7"/>
        <color theme="1"/>
        <rFont val="Arial"/>
        <family val="2"/>
        <scheme val="minor"/>
      </rPr>
      <t xml:space="preserve">      </t>
    </r>
    <r>
      <rPr>
        <sz val="10"/>
        <color theme="1"/>
        <rFont val="Arial"/>
        <family val="2"/>
        <scheme val="minor"/>
      </rPr>
      <t>Reacciones en el sistema (fuerzas equivalentes):</t>
    </r>
    <r>
      <rPr>
        <sz val="10"/>
        <color rgb="FF808080"/>
        <rFont val="Arial"/>
        <family val="2"/>
        <scheme val="minor"/>
      </rPr>
      <t xml:space="preserve"> </t>
    </r>
  </si>
  <si>
    <t>Postinstalado</t>
  </si>
  <si>
    <t>ASTM A193 Grado B7</t>
  </si>
  <si>
    <t>ASTM F593 CW1 (304/316)</t>
  </si>
  <si>
    <t>ISO 3506-1 A4</t>
  </si>
  <si>
    <t>ASTM A615 Grado 60</t>
  </si>
  <si>
    <t>ASTM 706 Grado 60</t>
  </si>
  <si>
    <r>
      <rPr>
        <b/>
        <sz val="10"/>
        <color theme="1"/>
        <rFont val="Arial"/>
        <family val="2"/>
      </rPr>
      <t>f</t>
    </r>
    <r>
      <rPr>
        <i/>
        <sz val="8"/>
        <color theme="1"/>
        <rFont val="Arial"/>
        <family val="2"/>
      </rPr>
      <t>y</t>
    </r>
  </si>
  <si>
    <r>
      <rPr>
        <b/>
        <sz val="10"/>
        <color theme="1"/>
        <rFont val="Arial"/>
        <family val="2"/>
      </rPr>
      <t>f</t>
    </r>
    <r>
      <rPr>
        <i/>
        <sz val="8"/>
        <color theme="1"/>
        <rFont val="Arial"/>
        <family val="2"/>
      </rPr>
      <t>uta</t>
    </r>
  </si>
  <si>
    <t>Otro (indicado)</t>
  </si>
  <si>
    <t>#bordes cerca</t>
  </si>
  <si>
    <t>C'a,max</t>
  </si>
  <si>
    <r>
      <t>A</t>
    </r>
    <r>
      <rPr>
        <i/>
        <sz val="8"/>
        <color theme="1"/>
        <rFont val="Arial"/>
        <family val="2"/>
      </rPr>
      <t>Nc</t>
    </r>
    <r>
      <rPr>
        <sz val="10"/>
        <color theme="1"/>
        <rFont val="Arial"/>
        <family val="2"/>
      </rPr>
      <t xml:space="preserve"> (     )</t>
    </r>
  </si>
  <si>
    <r>
      <rPr>
        <b/>
        <sz val="10"/>
        <color theme="1"/>
        <rFont val="Arial"/>
        <family val="2"/>
      </rPr>
      <t>V</t>
    </r>
    <r>
      <rPr>
        <i/>
        <sz val="8"/>
        <color theme="1"/>
        <rFont val="Arial"/>
        <family val="2"/>
      </rPr>
      <t>cp</t>
    </r>
    <r>
      <rPr>
        <sz val="10"/>
        <color theme="1"/>
        <rFont val="Arial"/>
        <family val="2"/>
      </rPr>
      <t xml:space="preserve"> (kN)</t>
    </r>
  </si>
  <si>
    <t>ACI 318-14 (NSR-10, apéndice D)</t>
  </si>
  <si>
    <t>Configuración de Anclajes  .</t>
  </si>
  <si>
    <t>Aplicación  .</t>
  </si>
  <si>
    <t>Material base  .</t>
  </si>
  <si>
    <t>Certificaciones / Aprobaciones  .</t>
  </si>
  <si>
    <t>2.2. DIAGRAMA DE REFERENCIA</t>
  </si>
  <si>
    <t>(Insertar el dibujo aca)</t>
  </si>
  <si>
    <t>2.3. CONDICIONES DE CARGA</t>
  </si>
  <si>
    <t>2.4. RESUMEN DE RESULTADOS</t>
  </si>
  <si>
    <t>2.5. VALIDACIÓN GEOMÉTRICA</t>
  </si>
  <si>
    <t>2.6. DESEMPEÑO A TRACCIÓN ESTÁTICA</t>
  </si>
  <si>
    <t>2.7. DESEMPEÑO A CORTANTE ESTÁTICO</t>
  </si>
  <si>
    <t>2.8. DESEMPEÑO A CARGAS COMBINADAS</t>
  </si>
  <si>
    <t>2.9. DESEMPEÑO SÍSMICO</t>
  </si>
  <si>
    <t>2.10. DESEMPEÑO DINÁMICO A FATIGA</t>
  </si>
  <si>
    <t>2.11. DESEMPEÑO ANTE CARGAS PERMANETES (LARGO PLAZO)</t>
  </si>
  <si>
    <t>2.12. DESEMPEÑO ANTE FUEGO</t>
  </si>
  <si>
    <r>
      <rPr>
        <b/>
        <i/>
        <sz val="10"/>
        <color theme="1"/>
        <rFont val="Arial"/>
        <family val="2"/>
      </rPr>
      <t>Comentarios adicionales</t>
    </r>
    <r>
      <rPr>
        <i/>
        <sz val="10"/>
        <color theme="1"/>
        <rFont val="Arial"/>
        <family val="2"/>
      </rPr>
      <t>: 
El origen de coordenadas esta ubicado en el punto de aplicación de las cargas, el cual coincide con el controide de perfil metálico en el sistema (mostrado en la imagen).
Las reacciones en los anclajes resultan del análisis elástico del sistema sin considerar los efectos de la platina de anclaje.</t>
    </r>
  </si>
  <si>
    <r>
      <rPr>
        <b/>
        <i/>
        <sz val="8"/>
        <color theme="1"/>
        <rFont val="Arial"/>
        <family val="2"/>
      </rPr>
      <t>FS</t>
    </r>
    <r>
      <rPr>
        <i/>
        <sz val="8"/>
        <color theme="1"/>
        <rFont val="Arial"/>
        <family val="2"/>
      </rPr>
      <t xml:space="preserve"> </t>
    </r>
    <r>
      <rPr>
        <b/>
        <sz val="10"/>
        <color theme="1"/>
        <rFont val="Arial"/>
        <family val="2"/>
      </rPr>
      <t>Ω</t>
    </r>
    <r>
      <rPr>
        <i/>
        <sz val="6"/>
        <color theme="1"/>
        <rFont val="Arial"/>
        <family val="2"/>
      </rPr>
      <t>ASD</t>
    </r>
  </si>
  <si>
    <t>Resistencia a extracción (pull-out)</t>
  </si>
  <si>
    <r>
      <rPr>
        <b/>
        <sz val="10"/>
        <color theme="1"/>
        <rFont val="Arial"/>
        <family val="2"/>
      </rPr>
      <t>N</t>
    </r>
    <r>
      <rPr>
        <i/>
        <sz val="8"/>
        <color theme="1"/>
        <rFont val="Arial"/>
        <family val="2"/>
      </rPr>
      <t>p</t>
    </r>
    <r>
      <rPr>
        <sz val="10"/>
        <color theme="1"/>
        <rFont val="Arial"/>
        <family val="2"/>
      </rPr>
      <t xml:space="preserve"> =</t>
    </r>
  </si>
  <si>
    <t>Diseño de resistencia (LRFD)</t>
  </si>
  <si>
    <t>ACI 318-14, Tabla 17.2.3</t>
  </si>
  <si>
    <t>ACI 318-14, Ecuación 17.4.2.1b</t>
  </si>
  <si>
    <t>ACI 318-14, Ecuación 17.4.2.1c</t>
  </si>
  <si>
    <t>Ver ACI 318-14, Parte 17.4.2.1 ; Figura R17.4.2.1 (b)</t>
  </si>
  <si>
    <t>ACI 318-14, Ecuación 17.4.2.2a</t>
  </si>
  <si>
    <t>ACI 318-14, Ecuación 17.4.2.4</t>
  </si>
  <si>
    <t>ACI 318-14, Parte 17.4.2.5</t>
  </si>
  <si>
    <t>ACI 318-14, Parte 17.4.3.6</t>
  </si>
  <si>
    <t>ACI 318-14, Partes 17.4.3.2 - 17.4.3.5</t>
  </si>
  <si>
    <t>ACI 318-14, Ecuación 17.4.4.1</t>
  </si>
  <si>
    <t>ACI 318-14, Ecuación 17.4.4.2</t>
  </si>
  <si>
    <t>ACI 318-14, Ecuación 17.4.5.1b</t>
  </si>
  <si>
    <t>ACI 318-14, Ecuación 17.4.5.1c</t>
  </si>
  <si>
    <t>ACI 318-14, Ecuación 17.4.5.1d</t>
  </si>
  <si>
    <t>Ver ACI 318-14, Parte 17.4.5.1; Figura R17.4.5.1</t>
  </si>
  <si>
    <t>ACI 318-14, Ecuación 17.4.5.2</t>
  </si>
  <si>
    <t>ACI 318-14, Ecuación 17.4.5.3</t>
  </si>
  <si>
    <t>ACI 318-14, Parte 17.4.5.4</t>
  </si>
  <si>
    <t>ACI 318-14, Parte 17.4.5.5</t>
  </si>
  <si>
    <t>ACI 318-14, Parte 17.4.2.7</t>
  </si>
  <si>
    <t>ACI 318-14, Ecuación 17.5.1.2a (para anclajes embebidos)</t>
  </si>
  <si>
    <t>ACI 318-14, Ecuación 17.5.1.2b (para anclajes post-instalados)</t>
  </si>
  <si>
    <t>ACI 318-14, Ecuación 17.5.2.1b</t>
  </si>
  <si>
    <t>ACI 318-14, Ecuación 17.5.2.1c</t>
  </si>
  <si>
    <t>Ver ACI 318-14, Parte 17.5.2.1; Figura R17.5.2.1b</t>
  </si>
  <si>
    <t>ACI 318-14, Ecuaciones 17.5.2.2a y 17.5.2.2b</t>
  </si>
  <si>
    <t>ACI 318-14, Ecuación 17.5.2.5</t>
  </si>
  <si>
    <t>ACI 318-14, Parte 17.5.2.6</t>
  </si>
  <si>
    <t>ACI 318-14, Ecuación 17.5.2.8</t>
  </si>
  <si>
    <t>ACI 318-14, Ecuación 17.5.3.1a</t>
  </si>
  <si>
    <t>ACI 318-14, Parte 17.5.3.1</t>
  </si>
  <si>
    <t>Caso #</t>
  </si>
  <si>
    <r>
      <t>A</t>
    </r>
    <r>
      <rPr>
        <i/>
        <sz val="8"/>
        <color theme="1"/>
        <rFont val="Arial"/>
        <family val="2"/>
      </rPr>
      <t>Vc,i+x</t>
    </r>
    <r>
      <rPr>
        <sz val="10"/>
        <color theme="1"/>
        <rFont val="Arial"/>
        <family val="2"/>
      </rPr>
      <t xml:space="preserve">  (     )</t>
    </r>
  </si>
  <si>
    <r>
      <t>A</t>
    </r>
    <r>
      <rPr>
        <i/>
        <sz val="8"/>
        <color theme="1"/>
        <rFont val="Arial"/>
        <family val="2"/>
      </rPr>
      <t>Vc,i-x</t>
    </r>
    <r>
      <rPr>
        <sz val="10"/>
        <color theme="1"/>
        <rFont val="Arial"/>
        <family val="2"/>
      </rPr>
      <t xml:space="preserve">  (     )</t>
    </r>
  </si>
  <si>
    <r>
      <t>A</t>
    </r>
    <r>
      <rPr>
        <i/>
        <sz val="8"/>
        <color theme="1"/>
        <rFont val="Arial"/>
        <family val="2"/>
      </rPr>
      <t>Vc,i+y</t>
    </r>
    <r>
      <rPr>
        <sz val="10"/>
        <color theme="1"/>
        <rFont val="Arial"/>
        <family val="2"/>
      </rPr>
      <t xml:space="preserve">  (     )</t>
    </r>
  </si>
  <si>
    <r>
      <t>A</t>
    </r>
    <r>
      <rPr>
        <i/>
        <sz val="8"/>
        <color theme="1"/>
        <rFont val="Arial"/>
        <family val="2"/>
      </rPr>
      <t>Vc,i-y</t>
    </r>
    <r>
      <rPr>
        <sz val="10"/>
        <color theme="1"/>
        <rFont val="Arial"/>
        <family val="2"/>
      </rPr>
      <t xml:space="preserve">  (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</si>
</sst>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64" formatCode="_(* #,##0.00_);_(* \(#,##0.00\);_(* &quot;-&quot;??_);_(@_)"/>
    <numFmt numFmtId="165" formatCode="0.0&quot; cm&quot;"/>
    <numFmt numFmtId="166" formatCode="0.00&quot; m&quot;"/>
    <numFmt numFmtId="167" formatCode="0.00&quot; cm3&quot;"/>
    <numFmt numFmtId="168" formatCode="0&quot; h&quot;"/>
    <numFmt numFmtId="169" formatCode="0.0&quot; cm3&quot;"/>
    <numFmt numFmtId="170" formatCode="_-[$$-409]* #,##0_ ;_-[$$-409]* \-#,##0\ ;_-[$$-409]* &quot;-&quot;??_ ;_-@_ "/>
    <numFmt numFmtId="171" formatCode="0&quot; unds&quot;"/>
    <numFmt numFmtId="172" formatCode="0.0"/>
    <numFmt numFmtId="173" formatCode="#,##0&quot; kN&quot;"/>
    <numFmt numFmtId="174" formatCode="#,##0&quot;mm&quot;"/>
    <numFmt numFmtId="175" formatCode="#,##0.0&quot;MPa&quot;"/>
    <numFmt numFmtId="176" formatCode="&quot;M&quot;0"/>
    <numFmt numFmtId="177" formatCode="&quot;x&quot;\ 0\ &quot;mm&quot;"/>
    <numFmt numFmtId="178" formatCode="0&quot;°C&quot;"/>
    <numFmt numFmtId="179" formatCode="#,##0&quot;MPa&quot;"/>
    <numFmt numFmtId="180" formatCode="#,##0.0&quot; kN&quot;"/>
    <numFmt numFmtId="181" formatCode="0.0000"/>
    <numFmt numFmtId="182" formatCode="0&quot; ml&quot;"/>
    <numFmt numFmtId="183" formatCode="#\ ??/??&quot; ml&quot;"/>
    <numFmt numFmtId="184" formatCode="_-* #,##0.00\ _€_-;\-* #,##0.00\ _€_-;_-* &quot;-&quot;??\ _€_-;_-@_-"/>
    <numFmt numFmtId="185" formatCode="#,##0.0&quot;mm&quot;"/>
    <numFmt numFmtId="186" formatCode="\(#,##0\ &quot;en total)&quot;"/>
    <numFmt numFmtId="187" formatCode="#,##0\ &quot;por cada apoyo&quot;"/>
    <numFmt numFmtId="188" formatCode="&quot;#&quot;\ 0\ &quot;:&quot;"/>
    <numFmt numFmtId="189" formatCode="_-[$$-240A]* #,##0_-;\-[$$-240A]* #,##0_-;_-[$$-240A]* &quot;-&quot;??_-;_-@_-"/>
    <numFmt numFmtId="190" formatCode="#,##0&quot; Nm&quot;"/>
  </numFmts>
  <fonts count="56" x14ac:knownFonts="1">
    <font>
      <sz val="10"/>
      <color theme="1"/>
      <name val="Arial"/>
      <family val="2"/>
    </font>
    <font>
      <b/>
      <sz val="10"/>
      <color theme="1"/>
      <name val="Arial"/>
      <family val="2"/>
    </font>
    <font>
      <sz val="10"/>
      <color theme="1"/>
      <name val="Arial"/>
      <family val="2"/>
    </font>
    <font>
      <u/>
      <sz val="10"/>
      <color theme="10"/>
      <name val="Arial"/>
      <family val="2"/>
    </font>
    <font>
      <u/>
      <sz val="10"/>
      <color theme="11"/>
      <name val="Arial"/>
      <family val="2"/>
    </font>
    <font>
      <sz val="8"/>
      <name val="Arial"/>
      <family val="2"/>
    </font>
    <font>
      <b/>
      <sz val="10"/>
      <color theme="0"/>
      <name val="Arial"/>
      <family val="2"/>
    </font>
    <font>
      <sz val="10"/>
      <color theme="0"/>
      <name val="Arial"/>
      <family val="2"/>
    </font>
    <font>
      <sz val="8"/>
      <color theme="1"/>
      <name val="Arial"/>
      <family val="2"/>
    </font>
    <font>
      <b/>
      <sz val="8"/>
      <color theme="1"/>
      <name val="Arial"/>
      <family val="2"/>
    </font>
    <font>
      <b/>
      <sz val="8"/>
      <color theme="0"/>
      <name val="Arial"/>
      <family val="2"/>
    </font>
    <font>
      <sz val="8"/>
      <color theme="0"/>
      <name val="Arial"/>
      <family val="2"/>
    </font>
    <font>
      <b/>
      <sz val="9"/>
      <color indexed="81"/>
      <name val="Tahoma"/>
      <family val="2"/>
    </font>
    <font>
      <b/>
      <sz val="9"/>
      <color theme="0"/>
      <name val="Arial"/>
      <family val="2"/>
    </font>
    <font>
      <b/>
      <sz val="7"/>
      <color theme="0"/>
      <name val="Arial"/>
      <family val="2"/>
    </font>
    <font>
      <b/>
      <sz val="12"/>
      <color theme="1"/>
      <name val="Arial"/>
      <family val="2"/>
    </font>
    <font>
      <sz val="11"/>
      <color theme="1"/>
      <name val="Arial Black"/>
      <family val="2"/>
    </font>
    <font>
      <b/>
      <sz val="11"/>
      <color theme="1"/>
      <name val="Arial"/>
      <family val="2"/>
    </font>
    <font>
      <b/>
      <i/>
      <sz val="10"/>
      <color theme="1"/>
      <name val="Arial"/>
      <family val="2"/>
    </font>
    <font>
      <sz val="7"/>
      <color theme="1"/>
      <name val="Times New Roman"/>
      <family val="1"/>
    </font>
    <font>
      <u/>
      <sz val="10"/>
      <color theme="1"/>
      <name val="Arial"/>
      <family val="2"/>
    </font>
    <font>
      <i/>
      <sz val="10"/>
      <color theme="1"/>
      <name val="Arial"/>
      <family val="2"/>
    </font>
    <font>
      <sz val="10"/>
      <color rgb="FF808080"/>
      <name val="Arial"/>
      <family val="2"/>
    </font>
    <font>
      <b/>
      <sz val="7"/>
      <color theme="1"/>
      <name val="Times New Roman"/>
      <family val="1"/>
    </font>
    <font>
      <b/>
      <sz val="10"/>
      <color rgb="FFFF0000"/>
      <name val="Arial"/>
      <family val="2"/>
    </font>
    <font>
      <sz val="7"/>
      <color rgb="FF008000"/>
      <name val="Times New Roman"/>
      <family val="1"/>
    </font>
    <font>
      <sz val="10"/>
      <color theme="1"/>
      <name val="Symbol"/>
      <family val="1"/>
      <charset val="2"/>
    </font>
    <font>
      <b/>
      <sz val="12"/>
      <color theme="1"/>
      <name val="Calibri"/>
      <family val="2"/>
    </font>
    <font>
      <sz val="12"/>
      <color theme="1"/>
      <name val="Arial"/>
      <family val="2"/>
    </font>
    <font>
      <sz val="11"/>
      <color theme="1"/>
      <name val="Arial"/>
      <family val="2"/>
    </font>
    <font>
      <sz val="10"/>
      <color theme="1"/>
      <name val="Arial"/>
      <family val="2"/>
      <scheme val="minor"/>
    </font>
    <font>
      <sz val="7"/>
      <color theme="1"/>
      <name val="Arial"/>
      <family val="2"/>
      <scheme val="minor"/>
    </font>
    <font>
      <sz val="10"/>
      <color rgb="FF808080"/>
      <name val="Arial"/>
      <family val="2"/>
      <scheme val="minor"/>
    </font>
    <font>
      <b/>
      <i/>
      <sz val="8"/>
      <color theme="1"/>
      <name val="Arial"/>
      <family val="2"/>
    </font>
    <font>
      <b/>
      <sz val="9"/>
      <color theme="1"/>
      <name val="Arial"/>
      <family val="2"/>
    </font>
    <font>
      <i/>
      <sz val="8"/>
      <color theme="1"/>
      <name val="Arial"/>
      <family val="2"/>
    </font>
    <font>
      <b/>
      <sz val="10"/>
      <color rgb="FF00B050"/>
      <name val="Arial"/>
      <family val="2"/>
    </font>
    <font>
      <b/>
      <sz val="10"/>
      <color rgb="FF0070C0"/>
      <name val="Arial"/>
      <family val="2"/>
    </font>
    <font>
      <b/>
      <sz val="9"/>
      <color rgb="FFFF0000"/>
      <name val="Arial"/>
      <family val="2"/>
    </font>
    <font>
      <b/>
      <sz val="9"/>
      <color rgb="FF00B050"/>
      <name val="Arial"/>
      <family val="2"/>
    </font>
    <font>
      <sz val="14"/>
      <color theme="1"/>
      <name val="Arial"/>
      <family val="2"/>
    </font>
    <font>
      <sz val="15"/>
      <color theme="1"/>
      <name val="Arial"/>
      <family val="2"/>
    </font>
    <font>
      <i/>
      <sz val="8"/>
      <color theme="0" tint="-0.499984740745262"/>
      <name val="Arial"/>
      <family val="2"/>
    </font>
    <font>
      <sz val="11"/>
      <color rgb="FF000000"/>
      <name val="Arial"/>
      <family val="2"/>
    </font>
    <font>
      <sz val="10"/>
      <name val="Arial"/>
      <family val="2"/>
    </font>
    <font>
      <sz val="10"/>
      <color rgb="FFFF0000"/>
      <name val="Arial"/>
      <family val="2"/>
    </font>
    <font>
      <sz val="11"/>
      <name val="Arial"/>
      <family val="2"/>
    </font>
    <font>
      <b/>
      <sz val="10"/>
      <name val="Arial"/>
      <family val="2"/>
    </font>
    <font>
      <b/>
      <i/>
      <sz val="7"/>
      <color theme="0"/>
      <name val="Arial"/>
      <family val="2"/>
    </font>
    <font>
      <sz val="10"/>
      <color theme="9" tint="-0.249977111117893"/>
      <name val="Arial"/>
      <family val="2"/>
    </font>
    <font>
      <sz val="10"/>
      <color theme="0" tint="-0.34998626667073579"/>
      <name val="Arial"/>
      <family val="2"/>
    </font>
    <font>
      <b/>
      <sz val="9"/>
      <name val="Arial"/>
      <family val="2"/>
    </font>
    <font>
      <b/>
      <sz val="8"/>
      <name val="Arial"/>
      <family val="2"/>
    </font>
    <font>
      <sz val="5"/>
      <color theme="1"/>
      <name val="Arial"/>
      <family val="2"/>
    </font>
    <font>
      <sz val="6"/>
      <color theme="1"/>
      <name val="Arial"/>
      <family val="2"/>
    </font>
    <font>
      <i/>
      <sz val="6"/>
      <color theme="1"/>
      <name val="Arial"/>
      <family val="2"/>
    </font>
  </fonts>
  <fills count="14">
    <fill>
      <patternFill patternType="none"/>
    </fill>
    <fill>
      <patternFill patternType="gray125"/>
    </fill>
    <fill>
      <patternFill patternType="solid">
        <fgColor theme="0" tint="-4.9989318521683403E-2"/>
        <bgColor indexed="64"/>
      </patternFill>
    </fill>
    <fill>
      <patternFill patternType="solid">
        <fgColor rgb="FFD10024"/>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0" tint="-0.249977111117893"/>
        <bgColor rgb="FF000000"/>
      </patternFill>
    </fill>
    <fill>
      <patternFill patternType="solid">
        <fgColor rgb="FFD10024"/>
        <bgColor rgb="FF000000"/>
      </patternFill>
    </fill>
    <fill>
      <patternFill patternType="solid">
        <fgColor theme="2"/>
        <bgColor rgb="FF000000"/>
      </patternFill>
    </fill>
    <fill>
      <patternFill patternType="solid">
        <fgColor rgb="FF00B0F0"/>
        <bgColor indexed="64"/>
      </patternFill>
    </fill>
  </fills>
  <borders count="3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right/>
      <top style="medium">
        <color auto="1"/>
      </top>
      <bottom/>
      <diagonal/>
    </border>
    <border>
      <left/>
      <right/>
      <top style="thin">
        <color auto="1"/>
      </top>
      <bottom style="medium">
        <color auto="1"/>
      </bottom>
      <diagonal/>
    </border>
    <border>
      <left/>
      <right style="thin">
        <color auto="1"/>
      </right>
      <top style="thin">
        <color auto="1"/>
      </top>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medium">
        <color auto="1"/>
      </left>
      <right/>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diagonal/>
    </border>
    <border>
      <left/>
      <right/>
      <top style="medium">
        <color auto="1"/>
      </top>
      <bottom style="thin">
        <color theme="0"/>
      </bottom>
      <diagonal/>
    </border>
    <border>
      <left/>
      <right/>
      <top style="thin">
        <color auto="1"/>
      </top>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medium">
        <color auto="1"/>
      </top>
      <bottom style="thin">
        <color auto="1"/>
      </bottom>
      <diagonal/>
    </border>
    <border>
      <left/>
      <right style="thin">
        <color rgb="FFD10024"/>
      </right>
      <top/>
      <bottom style="thin">
        <color indexed="64"/>
      </bottom>
      <diagonal/>
    </border>
    <border>
      <left style="thin">
        <color rgb="FFD10024"/>
      </left>
      <right style="thin">
        <color rgb="FFD10024"/>
      </right>
      <top/>
      <bottom style="thin">
        <color indexed="64"/>
      </bottom>
      <diagonal/>
    </border>
    <border>
      <left style="thin">
        <color rgb="FFD10024"/>
      </left>
      <right/>
      <top/>
      <bottom style="thin">
        <color indexed="64"/>
      </bottom>
      <diagonal/>
    </border>
    <border>
      <left/>
      <right style="thin">
        <color auto="1"/>
      </right>
      <top style="medium">
        <color auto="1"/>
      </top>
      <bottom/>
      <diagonal/>
    </border>
    <border>
      <left style="thin">
        <color auto="1"/>
      </left>
      <right/>
      <top style="medium">
        <color auto="1"/>
      </top>
      <bottom/>
      <diagonal/>
    </border>
    <border>
      <left/>
      <right style="thin">
        <color indexed="64"/>
      </right>
      <top/>
      <bottom style="thin">
        <color auto="1"/>
      </bottom>
      <diagonal/>
    </border>
    <border>
      <left/>
      <right style="thin">
        <color indexed="64"/>
      </right>
      <top/>
      <bottom/>
      <diagonal/>
    </border>
    <border>
      <left style="thin">
        <color indexed="64"/>
      </left>
      <right/>
      <top/>
      <bottom/>
      <diagonal/>
    </border>
    <border>
      <left style="thin">
        <color indexed="64"/>
      </left>
      <right/>
      <top/>
      <bottom style="thin">
        <color auto="1"/>
      </bottom>
      <diagonal/>
    </border>
  </borders>
  <cellStyleXfs count="112">
    <xf numFmtId="0" fontId="0" fillId="0" borderId="0"/>
    <xf numFmtId="9" fontId="2" fillId="0" borderId="0" applyFon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164" fontId="2" fillId="0" borderId="0" applyFont="0" applyFill="0" applyBorder="0" applyAlignment="0" applyProtection="0"/>
    <xf numFmtId="0" fontId="44" fillId="0" borderId="0"/>
    <xf numFmtId="184" fontId="44" fillId="0" borderId="0" applyFont="0" applyFill="0" applyBorder="0" applyAlignment="0" applyProtection="0"/>
    <xf numFmtId="9" fontId="44" fillId="0" borderId="0" applyFont="0" applyFill="0" applyBorder="0" applyAlignment="0" applyProtection="0"/>
  </cellStyleXfs>
  <cellXfs count="547">
    <xf numFmtId="0" fontId="0" fillId="0" borderId="0" xfId="0"/>
    <xf numFmtId="0" fontId="0" fillId="0" borderId="0" xfId="0" applyAlignment="1">
      <alignment vertical="center"/>
    </xf>
    <xf numFmtId="0" fontId="0" fillId="0" borderId="4" xfId="0" applyBorder="1" applyAlignment="1">
      <alignment vertical="center"/>
    </xf>
    <xf numFmtId="0" fontId="0" fillId="0" borderId="9" xfId="0" applyBorder="1" applyAlignment="1">
      <alignment vertical="center"/>
    </xf>
    <xf numFmtId="0" fontId="0" fillId="0" borderId="0" xfId="0" applyBorder="1" applyAlignment="1">
      <alignment vertical="center"/>
    </xf>
    <xf numFmtId="49" fontId="0" fillId="0" borderId="0" xfId="0" applyNumberFormat="1" applyAlignment="1">
      <alignment vertical="center"/>
    </xf>
    <xf numFmtId="0" fontId="8" fillId="0" borderId="0" xfId="0" applyFont="1" applyAlignment="1" applyProtection="1">
      <alignment vertical="center"/>
    </xf>
    <xf numFmtId="0" fontId="9" fillId="0" borderId="0" xfId="0" applyFont="1" applyAlignment="1" applyProtection="1">
      <alignment vertical="center"/>
    </xf>
    <xf numFmtId="0" fontId="9" fillId="0" borderId="0" xfId="0" applyFont="1" applyAlignment="1" applyProtection="1">
      <alignment horizontal="center" vertical="center" wrapText="1"/>
    </xf>
    <xf numFmtId="0" fontId="8" fillId="0" borderId="0" xfId="0" applyFont="1" applyAlignment="1" applyProtection="1">
      <alignment horizontal="center" vertical="center" wrapText="1"/>
    </xf>
    <xf numFmtId="0" fontId="8" fillId="0" borderId="3" xfId="0" applyFont="1" applyBorder="1" applyAlignment="1" applyProtection="1">
      <alignment horizontal="right" vertical="center" wrapText="1"/>
    </xf>
    <xf numFmtId="0" fontId="8" fillId="0" borderId="3" xfId="0" applyFont="1" applyBorder="1" applyAlignment="1" applyProtection="1">
      <alignment horizontal="center" vertical="center"/>
    </xf>
    <xf numFmtId="0" fontId="8" fillId="0" borderId="3" xfId="0" applyFont="1" applyBorder="1" applyAlignment="1" applyProtection="1">
      <alignment vertical="center"/>
    </xf>
    <xf numFmtId="166" fontId="8" fillId="0" borderId="3" xfId="0" applyNumberFormat="1" applyFont="1" applyBorder="1" applyAlignment="1" applyProtection="1">
      <alignment vertical="center"/>
    </xf>
    <xf numFmtId="0" fontId="8" fillId="0" borderId="5" xfId="0" applyFont="1" applyBorder="1" applyAlignment="1" applyProtection="1">
      <alignment horizontal="right" vertical="center"/>
    </xf>
    <xf numFmtId="0" fontId="8" fillId="0" borderId="5" xfId="0" applyFont="1" applyBorder="1" applyAlignment="1" applyProtection="1">
      <alignment vertical="center"/>
    </xf>
    <xf numFmtId="0" fontId="8" fillId="0" borderId="5" xfId="0" applyFont="1" applyBorder="1" applyAlignment="1" applyProtection="1">
      <alignment horizontal="center" vertical="center"/>
    </xf>
    <xf numFmtId="166" fontId="8" fillId="0" borderId="5" xfId="0" applyNumberFormat="1" applyFont="1" applyBorder="1" applyAlignment="1" applyProtection="1">
      <alignment vertical="center"/>
    </xf>
    <xf numFmtId="0" fontId="8" fillId="0" borderId="4" xfId="0" applyFont="1" applyBorder="1" applyAlignment="1" applyProtection="1">
      <alignment horizontal="right" vertical="center" wrapText="1"/>
    </xf>
    <xf numFmtId="0" fontId="8" fillId="0" borderId="4" xfId="0" applyFont="1" applyBorder="1" applyAlignment="1" applyProtection="1">
      <alignment horizontal="center" vertical="center"/>
    </xf>
    <xf numFmtId="0" fontId="8" fillId="0" borderId="4" xfId="0" applyFont="1" applyBorder="1" applyAlignment="1" applyProtection="1">
      <alignment vertical="center"/>
    </xf>
    <xf numFmtId="0" fontId="8" fillId="0" borderId="4" xfId="0" applyFont="1" applyBorder="1" applyAlignment="1" applyProtection="1">
      <alignment horizontal="left" vertical="center"/>
    </xf>
    <xf numFmtId="1" fontId="8" fillId="0" borderId="4" xfId="0" applyNumberFormat="1" applyFont="1" applyBorder="1" applyAlignment="1" applyProtection="1">
      <alignment horizontal="center" vertical="center"/>
    </xf>
    <xf numFmtId="166" fontId="8" fillId="0" borderId="4" xfId="0" applyNumberFormat="1" applyFont="1" applyBorder="1" applyAlignment="1" applyProtection="1">
      <alignment vertical="center"/>
    </xf>
    <xf numFmtId="0" fontId="9" fillId="4" borderId="0" xfId="0" applyFont="1" applyFill="1" applyBorder="1" applyAlignment="1" applyProtection="1">
      <alignment horizontal="left" vertical="center"/>
    </xf>
    <xf numFmtId="0" fontId="1" fillId="2" borderId="6"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center" wrapText="1"/>
      <protection locked="0"/>
    </xf>
    <xf numFmtId="0" fontId="0" fillId="2" borderId="2" xfId="0" applyFont="1" applyFill="1" applyBorder="1" applyAlignment="1" applyProtection="1">
      <alignment horizontal="center" vertical="center"/>
      <protection locked="0"/>
    </xf>
    <xf numFmtId="1" fontId="0" fillId="2" borderId="2" xfId="108" applyNumberFormat="1" applyFont="1" applyFill="1" applyBorder="1" applyAlignment="1" applyProtection="1">
      <alignment horizontal="center" vertical="center"/>
      <protection locked="0"/>
    </xf>
    <xf numFmtId="168" fontId="0" fillId="2" borderId="2" xfId="0" applyNumberFormat="1" applyFont="1" applyFill="1" applyBorder="1" applyAlignment="1" applyProtection="1">
      <alignment horizontal="center" vertical="center"/>
      <protection locked="0"/>
    </xf>
    <xf numFmtId="165" fontId="0" fillId="2" borderId="2" xfId="0" applyNumberFormat="1" applyFont="1" applyFill="1" applyBorder="1" applyAlignment="1" applyProtection="1">
      <alignment horizontal="right" vertical="center" indent="1"/>
      <protection locked="0"/>
    </xf>
    <xf numFmtId="166" fontId="0" fillId="2" borderId="13" xfId="0" applyNumberFormat="1" applyFont="1" applyFill="1" applyBorder="1" applyAlignment="1" applyProtection="1">
      <alignment horizontal="left" vertical="center" wrapText="1" indent="1"/>
      <protection locked="0"/>
    </xf>
    <xf numFmtId="1" fontId="0" fillId="2" borderId="2" xfId="108" applyNumberFormat="1" applyFont="1" applyFill="1" applyBorder="1" applyAlignment="1" applyProtection="1">
      <alignment horizontal="right" vertical="center" indent="1"/>
      <protection locked="0"/>
    </xf>
    <xf numFmtId="0" fontId="0" fillId="0" borderId="14"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0" borderId="19" xfId="0" applyBorder="1" applyAlignment="1">
      <alignment vertical="center"/>
    </xf>
    <xf numFmtId="0" fontId="0" fillId="0" borderId="15" xfId="0" applyBorder="1" applyAlignment="1">
      <alignment vertical="center"/>
    </xf>
    <xf numFmtId="0" fontId="0" fillId="0" borderId="0" xfId="0" quotePrefix="1" applyBorder="1" applyAlignment="1">
      <alignment vertical="center"/>
    </xf>
    <xf numFmtId="0" fontId="13" fillId="3" borderId="9" xfId="0" applyFont="1" applyFill="1" applyBorder="1" applyAlignment="1">
      <alignment horizontal="center" vertical="center" wrapText="1"/>
    </xf>
    <xf numFmtId="0" fontId="8" fillId="4" borderId="0" xfId="0" applyFont="1" applyFill="1" applyBorder="1" applyAlignment="1" applyProtection="1">
      <alignment vertical="center"/>
    </xf>
    <xf numFmtId="169" fontId="11" fillId="4" borderId="0" xfId="0" applyNumberFormat="1" applyFont="1" applyFill="1" applyBorder="1" applyAlignment="1" applyProtection="1">
      <alignment vertical="center"/>
    </xf>
    <xf numFmtId="0" fontId="9" fillId="0" borderId="0" xfId="0" applyFont="1" applyBorder="1" applyAlignment="1" applyProtection="1">
      <alignment vertical="center"/>
    </xf>
    <xf numFmtId="0" fontId="9" fillId="0" borderId="0" xfId="0" applyFont="1" applyBorder="1" applyAlignment="1" applyProtection="1">
      <alignment horizontal="center" vertical="center" wrapText="1"/>
    </xf>
    <xf numFmtId="0" fontId="8" fillId="0" borderId="5" xfId="0" applyFont="1" applyFill="1" applyBorder="1" applyAlignment="1" applyProtection="1">
      <alignment vertical="center"/>
    </xf>
    <xf numFmtId="165" fontId="0" fillId="0" borderId="1" xfId="0" applyNumberFormat="1" applyFont="1" applyBorder="1" applyAlignment="1" applyProtection="1">
      <alignment horizontal="center" vertical="center"/>
    </xf>
    <xf numFmtId="165" fontId="0" fillId="0" borderId="1" xfId="0" applyNumberFormat="1" applyFont="1" applyBorder="1" applyAlignment="1" applyProtection="1">
      <alignment vertical="center"/>
    </xf>
    <xf numFmtId="167" fontId="0" fillId="0" borderId="1" xfId="0" applyNumberFormat="1" applyFont="1" applyBorder="1" applyAlignment="1" applyProtection="1">
      <alignment vertical="center"/>
    </xf>
    <xf numFmtId="9" fontId="0" fillId="0" borderId="2" xfId="1" applyFont="1" applyFill="1" applyBorder="1" applyAlignment="1" applyProtection="1">
      <alignment vertical="center"/>
    </xf>
    <xf numFmtId="167" fontId="0" fillId="0" borderId="2" xfId="0" applyNumberFormat="1" applyFont="1" applyBorder="1" applyAlignment="1" applyProtection="1">
      <alignment vertical="center"/>
    </xf>
    <xf numFmtId="0" fontId="10" fillId="3" borderId="9" xfId="0" applyFont="1" applyFill="1" applyBorder="1" applyAlignment="1">
      <alignment horizontal="center" vertical="center" wrapText="1"/>
    </xf>
    <xf numFmtId="0" fontId="11" fillId="3" borderId="4" xfId="0" applyFont="1" applyFill="1" applyBorder="1" applyAlignment="1">
      <alignment horizontal="center" wrapText="1"/>
    </xf>
    <xf numFmtId="0" fontId="13" fillId="3" borderId="4" xfId="0" applyFont="1" applyFill="1" applyBorder="1" applyAlignment="1">
      <alignment horizontal="center" wrapText="1"/>
    </xf>
    <xf numFmtId="0" fontId="8" fillId="0" borderId="0" xfId="0" applyFont="1" applyBorder="1" applyAlignment="1" applyProtection="1">
      <alignment horizontal="left" vertical="top" wrapText="1"/>
    </xf>
    <xf numFmtId="0" fontId="0" fillId="0" borderId="0" xfId="0" applyAlignment="1" applyProtection="1">
      <alignment horizontal="left" vertical="top" wrapText="1"/>
    </xf>
    <xf numFmtId="0" fontId="24" fillId="0" borderId="0" xfId="0" applyFont="1" applyAlignment="1" applyProtection="1">
      <alignment vertical="center"/>
    </xf>
    <xf numFmtId="0" fontId="0" fillId="0" borderId="0" xfId="0" applyBorder="1" applyProtection="1"/>
    <xf numFmtId="0" fontId="0" fillId="4" borderId="0" xfId="0" applyFill="1" applyProtection="1"/>
    <xf numFmtId="0" fontId="0" fillId="0" borderId="0" xfId="0" applyProtection="1"/>
    <xf numFmtId="0" fontId="0" fillId="0" borderId="4" xfId="0" applyFill="1" applyBorder="1" applyProtection="1"/>
    <xf numFmtId="0" fontId="29" fillId="0" borderId="0" xfId="0" applyFont="1" applyProtection="1"/>
    <xf numFmtId="0" fontId="29" fillId="0" borderId="0" xfId="0" applyFont="1" applyAlignment="1" applyProtection="1">
      <alignment vertical="top"/>
    </xf>
    <xf numFmtId="0" fontId="2" fillId="0" borderId="0" xfId="0" applyFont="1" applyProtection="1"/>
    <xf numFmtId="0" fontId="0" fillId="0" borderId="0" xfId="0" applyFont="1" applyBorder="1" applyAlignment="1" applyProtection="1">
      <alignment vertical="top" wrapText="1"/>
    </xf>
    <xf numFmtId="0" fontId="29" fillId="0" borderId="0" xfId="0" applyFont="1" applyFill="1" applyBorder="1" applyProtection="1"/>
    <xf numFmtId="0" fontId="21" fillId="0" borderId="0" xfId="0" applyFont="1" applyBorder="1" applyAlignment="1" applyProtection="1">
      <alignment horizontal="left" vertical="top"/>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0" fillId="0" borderId="0" xfId="0" applyFont="1" applyBorder="1" applyAlignment="1" applyProtection="1">
      <alignment horizontal="right" vertical="top" wrapText="1"/>
    </xf>
    <xf numFmtId="0" fontId="30" fillId="0" borderId="0" xfId="0" applyFont="1" applyAlignment="1" applyProtection="1">
      <alignment vertical="top" wrapText="1"/>
    </xf>
    <xf numFmtId="0" fontId="43" fillId="0" borderId="0" xfId="0" applyFont="1" applyProtection="1"/>
    <xf numFmtId="1" fontId="0" fillId="0" borderId="0" xfId="0" applyNumberFormat="1" applyAlignment="1" applyProtection="1">
      <alignment horizontal="left" vertical="top" wrapText="1"/>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8" fillId="0" borderId="0" xfId="0" applyFont="1"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2" fillId="0" borderId="0" xfId="0" applyFont="1" applyAlignment="1" applyProtection="1">
      <alignment horizontal="left" vertical="top" wrapText="1"/>
      <protection locked="0"/>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0" fillId="0" borderId="0" xfId="0" applyFont="1" applyBorder="1" applyAlignment="1" applyProtection="1">
      <alignment horizontal="left" vertical="top" wrapText="1"/>
    </xf>
    <xf numFmtId="0" fontId="0" fillId="0" borderId="0" xfId="0" applyFont="1" applyBorder="1" applyAlignment="1" applyProtection="1">
      <alignment horizontal="right" vertical="top" wrapText="1"/>
    </xf>
    <xf numFmtId="0" fontId="2" fillId="0" borderId="0" xfId="0" applyFont="1" applyAlignment="1" applyProtection="1">
      <alignment horizontal="left" vertical="top"/>
      <protection locked="0"/>
    </xf>
    <xf numFmtId="0" fontId="9" fillId="0" borderId="0" xfId="0" applyFont="1" applyBorder="1" applyAlignment="1" applyProtection="1">
      <alignment horizontal="left" vertical="top" textRotation="90"/>
    </xf>
    <xf numFmtId="0" fontId="30" fillId="0" borderId="0" xfId="0" applyFont="1" applyAlignment="1" applyProtection="1">
      <alignment horizontal="left" vertical="top" wrapText="1"/>
    </xf>
    <xf numFmtId="0" fontId="45" fillId="0" borderId="0" xfId="0" applyFont="1" applyAlignment="1" applyProtection="1">
      <alignment horizontal="left" vertical="top" wrapText="1"/>
    </xf>
    <xf numFmtId="0" fontId="0" fillId="0" borderId="0" xfId="0" applyAlignment="1" applyProtection="1">
      <alignment horizontal="left" vertical="top"/>
    </xf>
    <xf numFmtId="0" fontId="0" fillId="4" borderId="0" xfId="0" applyFill="1" applyAlignment="1" applyProtection="1"/>
    <xf numFmtId="0" fontId="0" fillId="0" borderId="4" xfId="0" applyFill="1" applyBorder="1" applyAlignment="1" applyProtection="1"/>
    <xf numFmtId="0" fontId="2" fillId="0" borderId="0" xfId="0" applyFont="1" applyAlignment="1" applyProtection="1">
      <alignment horizontal="left" vertical="top"/>
    </xf>
    <xf numFmtId="0" fontId="0" fillId="0" borderId="0" xfId="0" applyFont="1" applyBorder="1" applyAlignment="1" applyProtection="1">
      <alignment vertical="top"/>
    </xf>
    <xf numFmtId="0" fontId="0" fillId="0" borderId="0" xfId="0" applyFont="1" applyAlignment="1" applyProtection="1">
      <alignment horizontal="left" vertical="top"/>
    </xf>
    <xf numFmtId="0" fontId="0" fillId="0" borderId="0" xfId="0" applyAlignment="1" applyProtection="1">
      <alignment horizontal="left" vertical="top"/>
      <protection locked="0"/>
    </xf>
    <xf numFmtId="0" fontId="0" fillId="0" borderId="0" xfId="0" applyFill="1" applyAlignment="1" applyProtection="1">
      <alignment horizontal="left" vertical="top" wrapText="1"/>
    </xf>
    <xf numFmtId="0" fontId="0" fillId="0" borderId="0" xfId="0" applyBorder="1" applyAlignment="1" applyProtection="1">
      <alignment horizontal="left" vertical="top" wrapText="1"/>
    </xf>
    <xf numFmtId="0" fontId="44" fillId="0" borderId="0" xfId="109" applyProtection="1"/>
    <xf numFmtId="0" fontId="44" fillId="0" borderId="0" xfId="109" applyProtection="1">
      <protection locked="0"/>
    </xf>
    <xf numFmtId="0" fontId="44" fillId="0" borderId="14" xfId="109" applyBorder="1" applyProtection="1"/>
    <xf numFmtId="0" fontId="44" fillId="0" borderId="0" xfId="109" applyBorder="1" applyProtection="1"/>
    <xf numFmtId="0" fontId="44" fillId="0" borderId="16" xfId="109" applyBorder="1" applyProtection="1"/>
    <xf numFmtId="0" fontId="44" fillId="0" borderId="14" xfId="109" applyBorder="1" applyProtection="1">
      <protection locked="0"/>
    </xf>
    <xf numFmtId="0" fontId="44" fillId="0" borderId="0" xfId="109" applyFont="1" applyBorder="1" applyProtection="1">
      <protection locked="0"/>
    </xf>
    <xf numFmtId="0" fontId="44" fillId="0" borderId="0" xfId="109" applyBorder="1" applyProtection="1">
      <protection locked="0"/>
    </xf>
    <xf numFmtId="0" fontId="44" fillId="0" borderId="16" xfId="109" applyBorder="1" applyProtection="1">
      <protection locked="0"/>
    </xf>
    <xf numFmtId="0" fontId="46" fillId="0" borderId="0" xfId="109" applyFont="1" applyProtection="1"/>
    <xf numFmtId="0" fontId="46" fillId="0" borderId="14" xfId="109" applyFont="1" applyBorder="1" applyProtection="1">
      <protection locked="0"/>
    </xf>
    <xf numFmtId="0" fontId="44" fillId="7" borderId="1" xfId="109" applyFill="1" applyBorder="1" applyProtection="1">
      <protection locked="0"/>
    </xf>
    <xf numFmtId="0" fontId="47" fillId="7" borderId="1" xfId="109" applyFont="1" applyFill="1" applyBorder="1" applyAlignment="1" applyProtection="1">
      <alignment horizontal="center"/>
      <protection locked="0"/>
    </xf>
    <xf numFmtId="0" fontId="44" fillId="8" borderId="1" xfId="109" applyFont="1" applyFill="1" applyBorder="1" applyProtection="1"/>
    <xf numFmtId="181" fontId="44" fillId="6" borderId="1" xfId="109" applyNumberFormat="1" applyFill="1" applyBorder="1" applyAlignment="1" applyProtection="1">
      <alignment horizontal="right"/>
    </xf>
    <xf numFmtId="2" fontId="44" fillId="0" borderId="1" xfId="109" applyNumberFormat="1" applyBorder="1" applyProtection="1"/>
    <xf numFmtId="182" fontId="1" fillId="10" borderId="1" xfId="109" applyNumberFormat="1" applyFont="1" applyFill="1" applyBorder="1" applyAlignment="1" applyProtection="1">
      <protection locked="0"/>
    </xf>
    <xf numFmtId="182" fontId="6" fillId="11" borderId="1" xfId="109" applyNumberFormat="1" applyFont="1" applyFill="1" applyBorder="1" applyAlignment="1" applyProtection="1">
      <protection locked="0"/>
    </xf>
    <xf numFmtId="182" fontId="2" fillId="9" borderId="1" xfId="109" applyNumberFormat="1" applyFont="1" applyFill="1" applyBorder="1" applyAlignment="1" applyProtection="1">
      <alignment horizontal="center"/>
      <protection locked="0"/>
    </xf>
    <xf numFmtId="182" fontId="2" fillId="12" borderId="1" xfId="109" applyNumberFormat="1" applyFont="1" applyFill="1" applyBorder="1" applyAlignment="1" applyProtection="1">
      <protection locked="0"/>
    </xf>
    <xf numFmtId="13" fontId="28" fillId="9" borderId="16" xfId="109" applyNumberFormat="1" applyFont="1" applyFill="1" applyBorder="1" applyProtection="1"/>
    <xf numFmtId="0" fontId="44" fillId="0" borderId="17" xfId="109" applyBorder="1" applyProtection="1"/>
    <xf numFmtId="0" fontId="44" fillId="0" borderId="9" xfId="109" applyBorder="1" applyProtection="1"/>
    <xf numFmtId="0" fontId="44" fillId="0" borderId="18" xfId="109" applyBorder="1" applyProtection="1"/>
    <xf numFmtId="183" fontId="1" fillId="10" borderId="1" xfId="109" applyNumberFormat="1" applyFont="1" applyFill="1" applyBorder="1" applyAlignment="1" applyProtection="1">
      <protection locked="0"/>
    </xf>
    <xf numFmtId="0" fontId="44" fillId="0" borderId="17" xfId="109" applyBorder="1" applyProtection="1">
      <protection locked="0"/>
    </xf>
    <xf numFmtId="0" fontId="44" fillId="0" borderId="9" xfId="109" applyBorder="1" applyProtection="1">
      <protection locked="0"/>
    </xf>
    <xf numFmtId="0" fontId="44" fillId="0" borderId="18" xfId="109" applyBorder="1" applyProtection="1">
      <protection locked="0"/>
    </xf>
    <xf numFmtId="2" fontId="44" fillId="0" borderId="1" xfId="109" applyNumberFormat="1" applyFont="1" applyBorder="1" applyProtection="1"/>
    <xf numFmtId="0" fontId="44" fillId="2" borderId="1" xfId="109" applyFill="1" applyBorder="1" applyAlignment="1" applyProtection="1">
      <alignment horizontal="center"/>
    </xf>
    <xf numFmtId="0" fontId="44" fillId="2" borderId="1" xfId="109" applyFont="1" applyFill="1" applyBorder="1" applyAlignment="1" applyProtection="1">
      <alignment horizontal="center"/>
    </xf>
    <xf numFmtId="0" fontId="8" fillId="0" borderId="0" xfId="0" applyFont="1" applyFill="1" applyBorder="1" applyAlignment="1" applyProtection="1">
      <alignment horizontal="left" wrapText="1" indent="1"/>
    </xf>
    <xf numFmtId="0" fontId="0" fillId="0" borderId="0" xfId="0" applyFill="1" applyBorder="1" applyAlignment="1" applyProtection="1"/>
    <xf numFmtId="0" fontId="0" fillId="0" borderId="4" xfId="0" applyFill="1" applyBorder="1" applyAlignment="1">
      <alignment horizontal="center" vertical="center" wrapText="1"/>
    </xf>
    <xf numFmtId="0" fontId="0" fillId="0" borderId="0" xfId="0" applyFont="1" applyBorder="1" applyAlignment="1">
      <alignment vertical="center"/>
    </xf>
    <xf numFmtId="0" fontId="6" fillId="3" borderId="19" xfId="0" applyFont="1" applyFill="1" applyBorder="1" applyAlignment="1">
      <alignment vertical="center"/>
    </xf>
    <xf numFmtId="0" fontId="6" fillId="3" borderId="15" xfId="0" applyFont="1" applyFill="1" applyBorder="1" applyAlignment="1">
      <alignment vertical="center"/>
    </xf>
    <xf numFmtId="0" fontId="6" fillId="3" borderId="17" xfId="0" applyFont="1" applyFill="1" applyBorder="1" applyAlignment="1">
      <alignment vertical="center"/>
    </xf>
    <xf numFmtId="0" fontId="6" fillId="3" borderId="18" xfId="0" applyFont="1" applyFill="1" applyBorder="1" applyAlignment="1">
      <alignment vertical="center"/>
    </xf>
    <xf numFmtId="1" fontId="0" fillId="0" borderId="0" xfId="0" applyNumberFormat="1" applyBorder="1" applyAlignment="1">
      <alignment horizontal="center" vertical="center"/>
    </xf>
    <xf numFmtId="2" fontId="0" fillId="0" borderId="0" xfId="0" applyNumberFormat="1" applyBorder="1" applyAlignment="1">
      <alignment horizontal="center" vertical="center"/>
    </xf>
    <xf numFmtId="0" fontId="0" fillId="0" borderId="0" xfId="0" applyAlignment="1" applyProtection="1">
      <alignment horizontal="left" wrapText="1"/>
    </xf>
    <xf numFmtId="0" fontId="10" fillId="3" borderId="4" xfId="0" applyFont="1" applyFill="1" applyBorder="1" applyAlignment="1">
      <alignment horizontal="center" vertical="center"/>
    </xf>
    <xf numFmtId="0" fontId="10" fillId="3" borderId="9" xfId="0" applyFont="1" applyFill="1" applyBorder="1" applyAlignment="1">
      <alignment horizontal="center" vertical="center"/>
    </xf>
    <xf numFmtId="0" fontId="2" fillId="0" borderId="0" xfId="0" applyFont="1" applyAlignment="1" applyProtection="1">
      <alignment horizontal="left" vertical="top" wrapText="1"/>
    </xf>
    <xf numFmtId="0" fontId="0" fillId="0" borderId="0" xfId="0" applyFont="1" applyAlignment="1" applyProtection="1">
      <alignment horizontal="left" vertical="top" wrapText="1"/>
    </xf>
    <xf numFmtId="15" fontId="2" fillId="0" borderId="0" xfId="0" applyNumberFormat="1" applyFont="1" applyFill="1" applyAlignment="1" applyProtection="1">
      <alignment horizontal="center" vertical="center" wrapText="1"/>
    </xf>
    <xf numFmtId="15" fontId="2" fillId="0" borderId="0" xfId="0" applyNumberFormat="1" applyFont="1" applyFill="1" applyBorder="1" applyAlignment="1" applyProtection="1">
      <alignment horizontal="center" vertical="center" wrapText="1"/>
    </xf>
    <xf numFmtId="49" fontId="8" fillId="0" borderId="0" xfId="0" applyNumberFormat="1" applyFont="1" applyFill="1" applyBorder="1" applyAlignment="1" applyProtection="1">
      <alignment horizontal="left"/>
    </xf>
    <xf numFmtId="0" fontId="2" fillId="0" borderId="0" xfId="0" applyFont="1" applyAlignment="1" applyProtection="1">
      <alignment horizontal="left" vertical="top" wrapText="1" indent="1"/>
    </xf>
    <xf numFmtId="0" fontId="0" fillId="0" borderId="21" xfId="0" applyFont="1" applyBorder="1" applyAlignment="1" applyProtection="1">
      <alignment horizontal="center" wrapText="1"/>
      <protection locked="0"/>
    </xf>
    <xf numFmtId="0" fontId="6" fillId="3" borderId="19" xfId="109" applyFont="1" applyFill="1" applyBorder="1" applyAlignment="1" applyProtection="1">
      <alignment horizontal="center" vertical="center"/>
    </xf>
    <xf numFmtId="0" fontId="6" fillId="3" borderId="4" xfId="109" applyFont="1" applyFill="1" applyBorder="1" applyAlignment="1" applyProtection="1">
      <alignment horizontal="center" vertical="center"/>
    </xf>
    <xf numFmtId="0" fontId="6" fillId="3" borderId="15" xfId="109" applyFont="1" applyFill="1" applyBorder="1" applyAlignment="1" applyProtection="1">
      <alignment horizontal="center" vertical="center"/>
    </xf>
    <xf numFmtId="0" fontId="6" fillId="3" borderId="17" xfId="109" applyFont="1" applyFill="1" applyBorder="1" applyAlignment="1" applyProtection="1">
      <alignment horizontal="center" vertical="center"/>
    </xf>
    <xf numFmtId="0" fontId="6" fillId="3" borderId="9" xfId="109" applyFont="1" applyFill="1" applyBorder="1" applyAlignment="1" applyProtection="1">
      <alignment horizontal="center" vertical="center"/>
    </xf>
    <xf numFmtId="0" fontId="6" fillId="3" borderId="18" xfId="109" applyFont="1" applyFill="1" applyBorder="1" applyAlignment="1" applyProtection="1">
      <alignment horizontal="center" vertical="center"/>
    </xf>
    <xf numFmtId="0" fontId="47" fillId="0" borderId="11" xfId="109" applyFont="1" applyBorder="1" applyAlignment="1" applyProtection="1">
      <alignment horizontal="left" indent="2"/>
    </xf>
    <xf numFmtId="0" fontId="46" fillId="7" borderId="10" xfId="109" applyFont="1" applyFill="1" applyBorder="1" applyAlignment="1" applyProtection="1">
      <alignment horizontal="center"/>
    </xf>
    <xf numFmtId="0" fontId="46" fillId="7" borderId="11" xfId="109" applyFont="1" applyFill="1" applyBorder="1" applyAlignment="1" applyProtection="1">
      <alignment horizontal="center"/>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28" fillId="0" borderId="9" xfId="0" applyFont="1" applyBorder="1" applyAlignment="1" applyProtection="1">
      <alignment horizontal="center" wrapText="1"/>
      <protection locked="0"/>
    </xf>
    <xf numFmtId="0" fontId="50" fillId="0" borderId="0" xfId="0" applyFont="1" applyAlignment="1" applyProtection="1">
      <alignment horizontal="left" vertical="top"/>
    </xf>
    <xf numFmtId="0" fontId="0" fillId="0" borderId="0" xfId="0" applyAlignment="1" applyProtection="1">
      <alignment horizontal="left"/>
    </xf>
    <xf numFmtId="0" fontId="2" fillId="0" borderId="0" xfId="0" applyFont="1" applyAlignment="1" applyProtection="1">
      <alignment vertical="top" wrapText="1"/>
    </xf>
    <xf numFmtId="0" fontId="44" fillId="0" borderId="0" xfId="109" applyAlignment="1" applyProtection="1">
      <alignment wrapText="1"/>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8" fillId="0" borderId="9" xfId="0" applyFont="1" applyBorder="1" applyAlignment="1" applyProtection="1">
      <alignment horizontal="left" vertical="top" wrapText="1"/>
    </xf>
    <xf numFmtId="0" fontId="8" fillId="0" borderId="0" xfId="0" applyFont="1" applyFill="1" applyBorder="1" applyAlignment="1" applyProtection="1">
      <alignment horizontal="left" vertical="top" wrapText="1"/>
    </xf>
    <xf numFmtId="0" fontId="0" fillId="0" borderId="0" xfId="0" applyAlignment="1" applyProtection="1">
      <alignment vertical="top"/>
    </xf>
    <xf numFmtId="0" fontId="0" fillId="0" borderId="0" xfId="0" applyBorder="1" applyAlignment="1" applyProtection="1">
      <alignment horizontal="left" vertical="top"/>
    </xf>
    <xf numFmtId="0" fontId="7" fillId="0" borderId="0" xfId="0" applyFont="1" applyAlignment="1" applyProtection="1">
      <alignment horizontal="left" vertical="top" wrapText="1"/>
    </xf>
    <xf numFmtId="0" fontId="30" fillId="0" borderId="0" xfId="0" applyFont="1" applyAlignment="1" applyProtection="1">
      <alignment horizontal="left" vertical="top" wrapText="1"/>
    </xf>
    <xf numFmtId="0" fontId="0" fillId="0" borderId="0" xfId="0" applyFont="1" applyBorder="1" applyAlignment="1" applyProtection="1">
      <alignment horizontal="right" vertical="top" wrapText="1"/>
    </xf>
    <xf numFmtId="0" fontId="0" fillId="0" borderId="0" xfId="0" applyFont="1" applyAlignment="1" applyProtection="1">
      <alignment horizontal="left" vertical="top" wrapText="1"/>
    </xf>
    <xf numFmtId="0" fontId="1" fillId="0" borderId="0" xfId="0" applyFont="1" applyAlignment="1" applyProtection="1">
      <alignment horizontal="left" vertical="top" wrapText="1"/>
    </xf>
    <xf numFmtId="0" fontId="2" fillId="0" borderId="0" xfId="0" applyFont="1" applyAlignment="1" applyProtection="1">
      <alignment horizontal="left" vertical="top" wrapText="1"/>
    </xf>
    <xf numFmtId="0" fontId="17" fillId="0" borderId="0" xfId="0" applyFont="1" applyAlignment="1" applyProtection="1">
      <alignment horizontal="left" vertical="top" wrapText="1"/>
    </xf>
    <xf numFmtId="0" fontId="0" fillId="0" borderId="0" xfId="0" applyFont="1" applyAlignment="1" applyProtection="1">
      <alignment vertical="top" wrapText="1"/>
    </xf>
    <xf numFmtId="0" fontId="16" fillId="0" borderId="0" xfId="0" applyFont="1" applyAlignment="1" applyProtection="1">
      <alignment horizontal="left" vertical="top" wrapText="1"/>
    </xf>
    <xf numFmtId="0" fontId="30" fillId="0" borderId="0" xfId="0" applyFont="1" applyAlignment="1" applyProtection="1">
      <alignment horizontal="left" vertical="top" wrapText="1"/>
    </xf>
    <xf numFmtId="0" fontId="8" fillId="0" borderId="0" xfId="0" applyFont="1" applyBorder="1" applyAlignment="1" applyProtection="1">
      <alignment horizontal="left" vertical="top"/>
    </xf>
    <xf numFmtId="0" fontId="15" fillId="0" borderId="0" xfId="0" applyFont="1" applyAlignment="1" applyProtection="1">
      <alignment horizontal="center" vertical="top" wrapText="1"/>
    </xf>
    <xf numFmtId="0" fontId="2" fillId="0" borderId="0" xfId="0" applyFont="1" applyAlignment="1" applyProtection="1">
      <alignment horizontal="left" vertical="top"/>
    </xf>
    <xf numFmtId="2" fontId="2" fillId="0" borderId="0" xfId="0" applyNumberFormat="1" applyFont="1" applyBorder="1" applyAlignment="1" applyProtection="1">
      <alignment horizontal="center" vertical="top" wrapText="1"/>
    </xf>
    <xf numFmtId="172" fontId="2" fillId="0" borderId="0" xfId="0" applyNumberFormat="1" applyFont="1" applyBorder="1" applyAlignment="1" applyProtection="1">
      <alignment horizontal="center" vertical="top" wrapText="1"/>
    </xf>
    <xf numFmtId="0" fontId="8" fillId="5" borderId="0" xfId="0" applyFont="1" applyFill="1" applyBorder="1" applyAlignment="1" applyProtection="1">
      <alignment horizontal="left" vertical="top" wrapText="1"/>
    </xf>
    <xf numFmtId="0" fontId="0" fillId="5" borderId="0" xfId="0" applyFill="1" applyAlignment="1" applyProtection="1">
      <alignment horizontal="left" vertical="top" wrapText="1"/>
    </xf>
    <xf numFmtId="0" fontId="0" fillId="5" borderId="0" xfId="0" applyFill="1" applyAlignment="1" applyProtection="1">
      <alignment horizontal="left" vertical="top"/>
    </xf>
    <xf numFmtId="0" fontId="2" fillId="5" borderId="0" xfId="0" applyFont="1" applyFill="1" applyAlignment="1" applyProtection="1">
      <alignment horizontal="left" vertical="top"/>
    </xf>
    <xf numFmtId="0" fontId="0" fillId="5" borderId="0" xfId="0" applyFont="1" applyFill="1" applyAlignment="1" applyProtection="1">
      <alignment horizontal="left" vertical="top" wrapText="1"/>
    </xf>
    <xf numFmtId="0" fontId="2" fillId="5" borderId="0" xfId="0" applyFont="1" applyFill="1" applyAlignment="1" applyProtection="1">
      <alignment horizontal="left" vertical="top" wrapText="1"/>
    </xf>
    <xf numFmtId="0" fontId="24" fillId="5" borderId="0" xfId="0" applyFont="1" applyFill="1" applyAlignment="1" applyProtection="1">
      <alignment vertical="center"/>
    </xf>
    <xf numFmtId="0" fontId="30" fillId="0" borderId="0" xfId="0" applyFont="1" applyAlignment="1" applyProtection="1">
      <alignment horizontal="left" vertical="top" wrapText="1"/>
    </xf>
    <xf numFmtId="0" fontId="0" fillId="0" borderId="0" xfId="0" applyFont="1" applyAlignment="1" applyProtection="1">
      <alignment vertical="top" wrapText="1"/>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34" fillId="0" borderId="0" xfId="0" applyFont="1" applyAlignment="1" applyProtection="1">
      <alignment wrapText="1"/>
    </xf>
    <xf numFmtId="0" fontId="29" fillId="0" borderId="3" xfId="0" applyFont="1" applyBorder="1" applyProtection="1"/>
    <xf numFmtId="0" fontId="29" fillId="0" borderId="0" xfId="0" applyFont="1" applyBorder="1" applyProtection="1"/>
    <xf numFmtId="0" fontId="0" fillId="0" borderId="0" xfId="0" applyAlignment="1" applyProtection="1">
      <alignment horizontal="right" vertical="top" wrapText="1"/>
    </xf>
    <xf numFmtId="14" fontId="0" fillId="0" borderId="0" xfId="0" applyNumberFormat="1"/>
    <xf numFmtId="189" fontId="0" fillId="0" borderId="0" xfId="0" applyNumberFormat="1"/>
    <xf numFmtId="49" fontId="29" fillId="0" borderId="0" xfId="0" applyNumberFormat="1" applyFont="1" applyAlignment="1" applyProtection="1">
      <alignment vertical="top" wrapText="1"/>
    </xf>
    <xf numFmtId="49" fontId="0" fillId="0" borderId="0" xfId="0" applyNumberFormat="1" applyAlignment="1" applyProtection="1">
      <alignment horizontal="left" vertical="top" wrapText="1"/>
    </xf>
    <xf numFmtId="0" fontId="53" fillId="0" borderId="0" xfId="0" applyFont="1" applyBorder="1" applyAlignment="1" applyProtection="1">
      <alignment horizontal="right" vertical="center" wrapText="1"/>
    </xf>
    <xf numFmtId="0" fontId="53" fillId="0" borderId="0" xfId="0" applyFont="1" applyAlignment="1" applyProtection="1">
      <alignment horizontal="right" vertical="center" wrapText="1"/>
    </xf>
    <xf numFmtId="0" fontId="35" fillId="0" borderId="0" xfId="0" applyFont="1" applyFill="1" applyAlignment="1" applyProtection="1">
      <alignment horizontal="left"/>
    </xf>
    <xf numFmtId="0" fontId="30" fillId="0" borderId="0" xfId="0" applyFont="1" applyAlignment="1" applyProtection="1">
      <alignment horizontal="left" vertical="top" wrapText="1"/>
    </xf>
    <xf numFmtId="0" fontId="0" fillId="0" borderId="0" xfId="0" applyFont="1" applyBorder="1" applyAlignment="1" applyProtection="1">
      <alignment horizontal="left" vertical="top" wrapText="1"/>
    </xf>
    <xf numFmtId="0" fontId="17" fillId="0" borderId="0" xfId="0" applyFont="1" applyAlignment="1" applyProtection="1">
      <alignment horizontal="left" vertical="top" wrapText="1"/>
    </xf>
    <xf numFmtId="0" fontId="9" fillId="0" borderId="0" xfId="0" applyFont="1" applyBorder="1" applyAlignment="1" applyProtection="1">
      <alignment horizontal="left" vertical="top" textRotation="90"/>
    </xf>
    <xf numFmtId="0" fontId="8" fillId="0" borderId="0" xfId="0" applyFont="1" applyBorder="1" applyAlignment="1" applyProtection="1">
      <alignment horizontal="left" vertical="top"/>
    </xf>
    <xf numFmtId="0" fontId="0" fillId="0" borderId="0" xfId="0" applyAlignment="1" applyProtection="1">
      <alignment horizontal="left" vertical="top" textRotation="90" wrapText="1"/>
    </xf>
    <xf numFmtId="0" fontId="54" fillId="0" borderId="0" xfId="0" applyFont="1" applyAlignment="1" applyProtection="1">
      <alignment horizontal="left" textRotation="45"/>
    </xf>
    <xf numFmtId="0" fontId="54" fillId="0" borderId="0" xfId="0" applyFont="1" applyAlignment="1" applyProtection="1">
      <alignment horizontal="left" vertical="top" textRotation="45" wrapText="1"/>
    </xf>
    <xf numFmtId="0" fontId="54" fillId="0" borderId="0" xfId="0" applyFont="1" applyAlignment="1" applyProtection="1">
      <alignment horizontal="left" vertical="top" textRotation="90" wrapText="1"/>
    </xf>
    <xf numFmtId="0" fontId="0" fillId="0" borderId="0" xfId="0" applyAlignment="1" applyProtection="1">
      <alignment horizontal="center" vertical="top" wrapText="1"/>
    </xf>
    <xf numFmtId="0" fontId="0" fillId="0" borderId="0" xfId="0" applyAlignment="1" applyProtection="1">
      <alignment horizontal="left" vertical="top" wrapText="1"/>
    </xf>
    <xf numFmtId="0" fontId="2" fillId="0" borderId="0" xfId="0" applyFont="1" applyAlignment="1" applyProtection="1">
      <alignment horizontal="left" vertical="top" wrapText="1"/>
    </xf>
    <xf numFmtId="0" fontId="0" fillId="0" borderId="0" xfId="0" applyFont="1" applyAlignment="1" applyProtection="1">
      <alignment horizontal="left" vertical="top" wrapText="1"/>
    </xf>
    <xf numFmtId="0" fontId="2" fillId="0" borderId="0" xfId="0" applyFont="1" applyAlignment="1" applyProtection="1">
      <alignment horizontal="left" vertical="top" wrapText="1"/>
    </xf>
    <xf numFmtId="0" fontId="2" fillId="0" borderId="0" xfId="0" applyFont="1" applyAlignment="1" applyProtection="1">
      <alignment horizontal="left" vertical="top"/>
    </xf>
    <xf numFmtId="0" fontId="8" fillId="0" borderId="0" xfId="0" applyFont="1" applyBorder="1" applyAlignment="1" applyProtection="1">
      <alignment horizontal="left" vertical="top"/>
    </xf>
    <xf numFmtId="0" fontId="0" fillId="0" borderId="0" xfId="0" applyAlignment="1" applyProtection="1">
      <alignment horizontal="left" vertical="top" wrapText="1"/>
    </xf>
    <xf numFmtId="0" fontId="6" fillId="3" borderId="19" xfId="109" applyFont="1" applyFill="1" applyBorder="1" applyAlignment="1" applyProtection="1">
      <alignment horizontal="center" vertical="center"/>
      <protection locked="0"/>
    </xf>
    <xf numFmtId="0" fontId="6" fillId="3" borderId="4" xfId="109" applyFont="1" applyFill="1" applyBorder="1" applyAlignment="1" applyProtection="1">
      <alignment horizontal="center" vertical="center"/>
      <protection locked="0"/>
    </xf>
    <xf numFmtId="0" fontId="6" fillId="3" borderId="15" xfId="109" applyFont="1" applyFill="1" applyBorder="1" applyAlignment="1" applyProtection="1">
      <alignment horizontal="center" vertical="center"/>
      <protection locked="0"/>
    </xf>
    <xf numFmtId="0" fontId="6" fillId="3" borderId="17" xfId="109" applyFont="1" applyFill="1" applyBorder="1" applyAlignment="1" applyProtection="1">
      <alignment horizontal="center" vertical="center"/>
      <protection locked="0"/>
    </xf>
    <xf numFmtId="0" fontId="6" fillId="3" borderId="9" xfId="109" applyFont="1" applyFill="1" applyBorder="1" applyAlignment="1" applyProtection="1">
      <alignment horizontal="center" vertical="center"/>
      <protection locked="0"/>
    </xf>
    <xf numFmtId="0" fontId="6" fillId="3" borderId="18" xfId="109" applyFont="1" applyFill="1" applyBorder="1" applyAlignment="1" applyProtection="1">
      <alignment horizontal="center" vertical="center"/>
      <protection locked="0"/>
    </xf>
    <xf numFmtId="0" fontId="46" fillId="7" borderId="10" xfId="109" applyFont="1" applyFill="1" applyBorder="1" applyAlignment="1" applyProtection="1">
      <alignment horizontal="center"/>
    </xf>
    <xf numFmtId="0" fontId="46" fillId="7" borderId="12" xfId="109" applyFont="1" applyFill="1" applyBorder="1" applyAlignment="1" applyProtection="1">
      <alignment horizontal="center"/>
    </xf>
    <xf numFmtId="0" fontId="6" fillId="3" borderId="19" xfId="109" applyFont="1" applyFill="1" applyBorder="1" applyAlignment="1" applyProtection="1">
      <alignment horizontal="center" vertical="center"/>
    </xf>
    <xf numFmtId="0" fontId="6" fillId="3" borderId="4" xfId="109" applyFont="1" applyFill="1" applyBorder="1" applyAlignment="1" applyProtection="1">
      <alignment horizontal="center" vertical="center"/>
    </xf>
    <xf numFmtId="0" fontId="6" fillId="3" borderId="15" xfId="109" applyFont="1" applyFill="1" applyBorder="1" applyAlignment="1" applyProtection="1">
      <alignment horizontal="center" vertical="center"/>
    </xf>
    <xf numFmtId="0" fontId="6" fillId="3" borderId="17" xfId="109" applyFont="1" applyFill="1" applyBorder="1" applyAlignment="1" applyProtection="1">
      <alignment horizontal="center" vertical="center"/>
    </xf>
    <xf numFmtId="0" fontId="6" fillId="3" borderId="9" xfId="109" applyFont="1" applyFill="1" applyBorder="1" applyAlignment="1" applyProtection="1">
      <alignment horizontal="center" vertical="center"/>
    </xf>
    <xf numFmtId="0" fontId="6" fillId="3" borderId="18" xfId="109" applyFont="1" applyFill="1" applyBorder="1" applyAlignment="1" applyProtection="1">
      <alignment horizontal="center" vertical="center"/>
    </xf>
    <xf numFmtId="0" fontId="10" fillId="3" borderId="4" xfId="0" applyFont="1" applyFill="1" applyBorder="1" applyAlignment="1">
      <alignment horizontal="center" vertical="center"/>
    </xf>
    <xf numFmtId="0" fontId="10" fillId="3" borderId="9" xfId="0" applyFont="1" applyFill="1" applyBorder="1" applyAlignment="1">
      <alignment horizontal="center" vertical="center"/>
    </xf>
    <xf numFmtId="0" fontId="10" fillId="3" borderId="4" xfId="0" applyFont="1" applyFill="1" applyBorder="1" applyAlignment="1">
      <alignment horizontal="center" vertical="center" wrapText="1"/>
    </xf>
    <xf numFmtId="0" fontId="10" fillId="3" borderId="9" xfId="0" applyFont="1" applyFill="1" applyBorder="1" applyAlignment="1">
      <alignment horizontal="center" vertical="center" wrapText="1"/>
    </xf>
    <xf numFmtId="1" fontId="7" fillId="0" borderId="34"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center" vertical="center" wrapText="1"/>
    </xf>
    <xf numFmtId="1" fontId="7" fillId="0" borderId="35" xfId="0" applyNumberFormat="1" applyFont="1" applyFill="1" applyBorder="1" applyAlignment="1" applyProtection="1">
      <alignment horizontal="center" vertical="center" wrapText="1"/>
    </xf>
    <xf numFmtId="1" fontId="7" fillId="0" borderId="3" xfId="0" applyNumberFormat="1" applyFont="1" applyFill="1" applyBorder="1" applyAlignment="1" applyProtection="1">
      <alignment horizontal="center" vertical="center" wrapText="1"/>
    </xf>
    <xf numFmtId="0" fontId="0" fillId="0" borderId="14" xfId="0" applyFont="1" applyBorder="1" applyAlignment="1" applyProtection="1">
      <alignment horizontal="center" vertical="top" wrapText="1"/>
    </xf>
    <xf numFmtId="0" fontId="0" fillId="0" borderId="0" xfId="0" applyFont="1" applyBorder="1" applyAlignment="1" applyProtection="1">
      <alignment horizontal="center" vertical="top" wrapText="1"/>
    </xf>
    <xf numFmtId="0" fontId="17" fillId="0" borderId="0" xfId="0" applyFont="1" applyAlignment="1" applyProtection="1">
      <alignment horizontal="left" vertical="top" wrapText="1"/>
    </xf>
    <xf numFmtId="1" fontId="7" fillId="0" borderId="0" xfId="0" applyNumberFormat="1" applyFont="1" applyFill="1" applyBorder="1" applyAlignment="1" applyProtection="1">
      <alignment horizontal="right" vertical="center" wrapText="1" indent="1"/>
    </xf>
    <xf numFmtId="1" fontId="7" fillId="0" borderId="33" xfId="0" applyNumberFormat="1" applyFont="1" applyFill="1" applyBorder="1" applyAlignment="1" applyProtection="1">
      <alignment horizontal="right" vertical="center" wrapText="1" indent="1"/>
    </xf>
    <xf numFmtId="1" fontId="7" fillId="0" borderId="3" xfId="0" applyNumberFormat="1" applyFont="1" applyFill="1" applyBorder="1" applyAlignment="1" applyProtection="1">
      <alignment horizontal="right" vertical="center" wrapText="1" indent="1"/>
    </xf>
    <xf numFmtId="1" fontId="7" fillId="0" borderId="32" xfId="0" applyNumberFormat="1" applyFont="1" applyFill="1" applyBorder="1" applyAlignment="1" applyProtection="1">
      <alignment horizontal="right" vertical="center" wrapText="1" indent="1"/>
    </xf>
    <xf numFmtId="49" fontId="8" fillId="0" borderId="3" xfId="0" applyNumberFormat="1" applyFont="1" applyBorder="1" applyAlignment="1" applyProtection="1">
      <alignment horizontal="center" wrapText="1"/>
    </xf>
    <xf numFmtId="0" fontId="8" fillId="0" borderId="13" xfId="0" applyFont="1" applyBorder="1" applyAlignment="1" applyProtection="1">
      <alignment horizontal="center" wrapText="1"/>
    </xf>
    <xf numFmtId="0" fontId="8" fillId="0" borderId="21" xfId="0" applyFont="1" applyBorder="1" applyAlignment="1" applyProtection="1">
      <alignment horizontal="center" wrapText="1"/>
    </xf>
    <xf numFmtId="0" fontId="8" fillId="0" borderId="6" xfId="0" applyFont="1" applyBorder="1" applyAlignment="1" applyProtection="1">
      <alignment horizontal="center" wrapText="1"/>
    </xf>
    <xf numFmtId="0" fontId="0" fillId="0" borderId="0" xfId="0" applyFont="1" applyBorder="1" applyAlignment="1" applyProtection="1">
      <alignment horizontal="right" vertical="top" wrapText="1"/>
    </xf>
    <xf numFmtId="49" fontId="8" fillId="0" borderId="32" xfId="0" applyNumberFormat="1" applyFont="1" applyBorder="1" applyAlignment="1" applyProtection="1">
      <alignment horizontal="center" wrapText="1"/>
    </xf>
    <xf numFmtId="1" fontId="7" fillId="0" borderId="0" xfId="0" applyNumberFormat="1" applyFont="1" applyFill="1" applyBorder="1" applyAlignment="1" applyProtection="1">
      <alignment horizontal="center" vertical="center" wrapText="1"/>
      <protection locked="0"/>
    </xf>
    <xf numFmtId="1" fontId="7" fillId="0" borderId="34" xfId="0" applyNumberFormat="1" applyFont="1" applyFill="1" applyBorder="1" applyAlignment="1" applyProtection="1">
      <alignment horizontal="center" vertical="center" wrapText="1"/>
      <protection locked="0"/>
    </xf>
    <xf numFmtId="1" fontId="7" fillId="0" borderId="0" xfId="0" applyNumberFormat="1" applyFont="1" applyFill="1" applyBorder="1" applyAlignment="1" applyProtection="1">
      <alignment horizontal="right" vertical="center" wrapText="1" indent="1"/>
      <protection locked="0"/>
    </xf>
    <xf numFmtId="1" fontId="7" fillId="0" borderId="33" xfId="0" applyNumberFormat="1" applyFont="1" applyFill="1" applyBorder="1" applyAlignment="1" applyProtection="1">
      <alignment horizontal="right" vertical="center" wrapText="1" indent="1"/>
      <protection locked="0"/>
    </xf>
    <xf numFmtId="0" fontId="0" fillId="0" borderId="0" xfId="0" applyFont="1" applyBorder="1" applyAlignment="1" applyProtection="1">
      <alignment horizontal="center" vertical="top"/>
    </xf>
    <xf numFmtId="0" fontId="0" fillId="0" borderId="3" xfId="0" applyFont="1" applyBorder="1" applyAlignment="1" applyProtection="1">
      <alignment horizontal="center" vertical="top"/>
    </xf>
    <xf numFmtId="0" fontId="0" fillId="0" borderId="33" xfId="0" applyFont="1" applyBorder="1" applyAlignment="1" applyProtection="1">
      <alignment horizontal="center" vertical="top"/>
    </xf>
    <xf numFmtId="0" fontId="0" fillId="0" borderId="32" xfId="0" applyFont="1" applyBorder="1" applyAlignment="1" applyProtection="1">
      <alignment horizontal="center" vertical="top"/>
    </xf>
    <xf numFmtId="1" fontId="0" fillId="0" borderId="34" xfId="0" applyNumberFormat="1" applyFont="1" applyBorder="1" applyAlignment="1" applyProtection="1">
      <alignment horizontal="center" vertical="top"/>
    </xf>
    <xf numFmtId="1" fontId="0" fillId="0" borderId="0" xfId="0" applyNumberFormat="1" applyFont="1" applyBorder="1" applyAlignment="1" applyProtection="1">
      <alignment horizontal="center" vertical="top"/>
    </xf>
    <xf numFmtId="1" fontId="0" fillId="0" borderId="35" xfId="0" applyNumberFormat="1" applyFont="1" applyBorder="1" applyAlignment="1" applyProtection="1">
      <alignment horizontal="center" vertical="top"/>
    </xf>
    <xf numFmtId="1" fontId="0" fillId="0" borderId="3" xfId="0" applyNumberFormat="1" applyFont="1" applyBorder="1" applyAlignment="1" applyProtection="1">
      <alignment horizontal="center" vertical="top"/>
    </xf>
    <xf numFmtId="181" fontId="7" fillId="0" borderId="34" xfId="0" applyNumberFormat="1" applyFont="1" applyFill="1" applyBorder="1" applyAlignment="1" applyProtection="1">
      <alignment horizontal="center" vertical="center" wrapText="1"/>
    </xf>
    <xf numFmtId="181" fontId="7" fillId="0" borderId="0" xfId="0" applyNumberFormat="1" applyFont="1" applyFill="1" applyBorder="1" applyAlignment="1" applyProtection="1">
      <alignment horizontal="center" vertical="center" wrapText="1"/>
    </xf>
    <xf numFmtId="181" fontId="7" fillId="0" borderId="33" xfId="0" applyNumberFormat="1" applyFont="1" applyFill="1" applyBorder="1" applyAlignment="1" applyProtection="1">
      <alignment horizontal="center" vertical="center" wrapText="1"/>
    </xf>
    <xf numFmtId="0" fontId="7" fillId="0" borderId="0" xfId="0" applyFont="1" applyBorder="1" applyAlignment="1" applyProtection="1">
      <alignment horizontal="center" vertical="center" wrapText="1"/>
      <protection locked="0"/>
    </xf>
    <xf numFmtId="2" fontId="7" fillId="2" borderId="0" xfId="0" applyNumberFormat="1" applyFont="1" applyFill="1" applyBorder="1" applyAlignment="1" applyProtection="1">
      <alignment horizontal="right" vertical="center" wrapText="1" indent="1"/>
      <protection locked="0"/>
    </xf>
    <xf numFmtId="2" fontId="7" fillId="0" borderId="0" xfId="0" applyNumberFormat="1" applyFont="1" applyFill="1" applyBorder="1" applyAlignment="1" applyProtection="1">
      <alignment horizontal="right" vertical="center" wrapText="1" indent="1"/>
    </xf>
    <xf numFmtId="0" fontId="0" fillId="0" borderId="3" xfId="0" applyBorder="1" applyAlignment="1" applyProtection="1">
      <alignment horizontal="center" vertical="top"/>
    </xf>
    <xf numFmtId="0" fontId="0" fillId="0" borderId="32" xfId="0" applyBorder="1" applyAlignment="1" applyProtection="1">
      <alignment horizontal="center" vertical="top"/>
    </xf>
    <xf numFmtId="0" fontId="0" fillId="0" borderId="35" xfId="0" applyBorder="1" applyAlignment="1" applyProtection="1">
      <alignment horizontal="center" vertical="top"/>
    </xf>
    <xf numFmtId="0" fontId="1" fillId="0" borderId="3" xfId="0" applyFont="1" applyBorder="1" applyAlignment="1" applyProtection="1">
      <alignment horizontal="center" wrapText="1"/>
    </xf>
    <xf numFmtId="181" fontId="2" fillId="0" borderId="21" xfId="0" applyNumberFormat="1" applyFont="1" applyFill="1" applyBorder="1" applyAlignment="1" applyProtection="1">
      <alignment horizontal="center" vertical="top" wrapText="1"/>
    </xf>
    <xf numFmtId="2" fontId="2" fillId="0" borderId="21" xfId="0" applyNumberFormat="1" applyFont="1" applyBorder="1" applyAlignment="1" applyProtection="1">
      <alignment horizontal="center" vertical="top" wrapText="1"/>
    </xf>
    <xf numFmtId="0" fontId="1" fillId="0" borderId="35" xfId="0" applyFont="1" applyBorder="1" applyAlignment="1" applyProtection="1">
      <alignment horizontal="center" wrapText="1"/>
    </xf>
    <xf numFmtId="181" fontId="7" fillId="0" borderId="21" xfId="0" applyNumberFormat="1" applyFont="1" applyFill="1" applyBorder="1" applyAlignment="1" applyProtection="1">
      <alignment horizontal="center" vertical="center" wrapText="1"/>
    </xf>
    <xf numFmtId="181" fontId="7" fillId="0" borderId="6" xfId="0" applyNumberFormat="1" applyFont="1" applyFill="1" applyBorder="1" applyAlignment="1" applyProtection="1">
      <alignment horizontal="center" vertical="center" wrapText="1"/>
    </xf>
    <xf numFmtId="0" fontId="0" fillId="0" borderId="0" xfId="0" applyFont="1" applyAlignment="1" applyProtection="1">
      <alignment horizontal="left" vertical="top" wrapText="1"/>
      <protection locked="0"/>
    </xf>
    <xf numFmtId="0" fontId="21" fillId="0" borderId="0" xfId="0" applyFont="1" applyAlignment="1" applyProtection="1">
      <alignment horizontal="left" vertical="top" wrapText="1"/>
    </xf>
    <xf numFmtId="0" fontId="30" fillId="0" borderId="0" xfId="0" applyFont="1" applyAlignment="1" applyProtection="1">
      <alignment horizontal="left" vertical="top" wrapText="1"/>
    </xf>
    <xf numFmtId="172" fontId="2" fillId="5" borderId="21" xfId="0" applyNumberFormat="1" applyFont="1" applyFill="1" applyBorder="1" applyAlignment="1" applyProtection="1">
      <alignment horizontal="center" vertical="top" wrapText="1"/>
    </xf>
    <xf numFmtId="0" fontId="1" fillId="5" borderId="0" xfId="0" applyFont="1" applyFill="1" applyAlignment="1" applyProtection="1">
      <alignment horizontal="left" vertical="top" wrapText="1"/>
    </xf>
    <xf numFmtId="0" fontId="1" fillId="5" borderId="3" xfId="0" applyFont="1" applyFill="1" applyBorder="1" applyAlignment="1" applyProtection="1">
      <alignment horizontal="center" wrapText="1"/>
    </xf>
    <xf numFmtId="0" fontId="1" fillId="5" borderId="0" xfId="0" applyFont="1" applyFill="1" applyAlignment="1" applyProtection="1">
      <alignment horizontal="center" wrapText="1"/>
    </xf>
    <xf numFmtId="0" fontId="1" fillId="5" borderId="0" xfId="0" applyFont="1" applyFill="1" applyBorder="1" applyAlignment="1" applyProtection="1">
      <alignment horizontal="center" wrapText="1"/>
    </xf>
    <xf numFmtId="0" fontId="1" fillId="5" borderId="0" xfId="0" applyFont="1" applyFill="1" applyAlignment="1" applyProtection="1">
      <alignment horizontal="center" vertical="center" wrapText="1"/>
    </xf>
    <xf numFmtId="0" fontId="1" fillId="5" borderId="0" xfId="0" applyFont="1" applyFill="1" applyBorder="1" applyAlignment="1" applyProtection="1">
      <alignment horizontal="center" vertical="center" wrapText="1"/>
    </xf>
    <xf numFmtId="0" fontId="0" fillId="0" borderId="0" xfId="0" applyFont="1" applyBorder="1" applyAlignment="1" applyProtection="1">
      <alignment horizontal="left" vertical="top" wrapText="1"/>
    </xf>
    <xf numFmtId="0" fontId="0" fillId="5" borderId="0" xfId="0" applyFont="1" applyFill="1" applyBorder="1" applyAlignment="1" applyProtection="1">
      <alignment horizontal="left" vertical="top" wrapText="1"/>
    </xf>
    <xf numFmtId="0" fontId="2" fillId="5" borderId="0" xfId="0" applyFont="1" applyFill="1" applyBorder="1" applyAlignment="1" applyProtection="1">
      <alignment horizontal="left" vertical="top" wrapText="1"/>
    </xf>
    <xf numFmtId="0" fontId="2" fillId="5" borderId="0" xfId="0" applyFont="1" applyFill="1" applyBorder="1" applyAlignment="1" applyProtection="1">
      <alignment horizontal="left" vertical="top" wrapText="1"/>
      <protection locked="0"/>
    </xf>
    <xf numFmtId="185" fontId="49" fillId="9" borderId="0" xfId="109" applyNumberFormat="1" applyFont="1" applyFill="1" applyAlignment="1" applyProtection="1">
      <alignment horizontal="center"/>
    </xf>
    <xf numFmtId="2" fontId="11" fillId="0" borderId="0" xfId="0" applyNumberFormat="1" applyFont="1" applyFill="1" applyBorder="1" applyAlignment="1" applyProtection="1">
      <alignment horizontal="right" vertical="center" wrapText="1" indent="1"/>
    </xf>
    <xf numFmtId="172" fontId="2" fillId="5" borderId="0" xfId="0" applyNumberFormat="1" applyFont="1" applyFill="1" applyBorder="1" applyAlignment="1" applyProtection="1">
      <alignment horizontal="right" vertical="top" wrapText="1" indent="3"/>
    </xf>
    <xf numFmtId="172" fontId="2" fillId="5" borderId="0" xfId="1" applyNumberFormat="1" applyFont="1" applyFill="1" applyBorder="1" applyAlignment="1" applyProtection="1">
      <alignment horizontal="right" vertical="top" wrapText="1" indent="4"/>
    </xf>
    <xf numFmtId="0" fontId="2" fillId="5" borderId="0" xfId="0" applyNumberFormat="1" applyFont="1" applyFill="1" applyBorder="1" applyAlignment="1" applyProtection="1">
      <alignment horizontal="center" vertical="top" wrapText="1"/>
    </xf>
    <xf numFmtId="172" fontId="2" fillId="0" borderId="21" xfId="0" applyNumberFormat="1" applyFont="1" applyBorder="1" applyAlignment="1" applyProtection="1">
      <alignment horizontal="center" vertical="top" wrapText="1"/>
    </xf>
    <xf numFmtId="0" fontId="0" fillId="5" borderId="9" xfId="0" applyFont="1" applyFill="1" applyBorder="1" applyAlignment="1" applyProtection="1">
      <alignment horizontal="left" vertical="top" wrapText="1"/>
    </xf>
    <xf numFmtId="0" fontId="2" fillId="5" borderId="9" xfId="0" applyFont="1" applyFill="1" applyBorder="1" applyAlignment="1" applyProtection="1">
      <alignment horizontal="left" vertical="top" wrapText="1"/>
    </xf>
    <xf numFmtId="172" fontId="2" fillId="5" borderId="9" xfId="0" applyNumberFormat="1" applyFont="1" applyFill="1" applyBorder="1" applyAlignment="1" applyProtection="1">
      <alignment horizontal="right" vertical="top" wrapText="1" indent="3"/>
    </xf>
    <xf numFmtId="172" fontId="2" fillId="5" borderId="9" xfId="1" applyNumberFormat="1" applyFont="1" applyFill="1" applyBorder="1" applyAlignment="1" applyProtection="1">
      <alignment horizontal="right" vertical="top" wrapText="1" indent="4"/>
    </xf>
    <xf numFmtId="0" fontId="2" fillId="5" borderId="9" xfId="0" applyNumberFormat="1" applyFont="1" applyFill="1" applyBorder="1" applyAlignment="1" applyProtection="1">
      <alignment horizontal="center" vertical="top" wrapText="1"/>
    </xf>
    <xf numFmtId="0" fontId="0" fillId="5" borderId="0" xfId="0" applyFont="1" applyFill="1" applyBorder="1" applyAlignment="1" applyProtection="1">
      <alignment horizontal="left" wrapText="1"/>
    </xf>
    <xf numFmtId="1" fontId="2" fillId="5" borderId="0" xfId="0" applyNumberFormat="1" applyFont="1" applyFill="1" applyBorder="1" applyAlignment="1" applyProtection="1">
      <alignment horizontal="center" vertical="top" wrapText="1"/>
    </xf>
    <xf numFmtId="0" fontId="2" fillId="0" borderId="0" xfId="0" applyFont="1"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Font="1" applyAlignment="1" applyProtection="1">
      <alignment vertical="top" wrapText="1"/>
    </xf>
    <xf numFmtId="1" fontId="2" fillId="0" borderId="21" xfId="0" applyNumberFormat="1" applyFont="1" applyBorder="1" applyAlignment="1" applyProtection="1">
      <alignment horizontal="center" vertical="top" wrapText="1"/>
    </xf>
    <xf numFmtId="1" fontId="0" fillId="0" borderId="21" xfId="0" applyNumberFormat="1" applyFont="1" applyBorder="1" applyAlignment="1" applyProtection="1">
      <alignment horizontal="center" vertical="top" wrapText="1"/>
      <protection locked="0"/>
    </xf>
    <xf numFmtId="1" fontId="2" fillId="0" borderId="21" xfId="0" applyNumberFormat="1" applyFont="1" applyBorder="1" applyAlignment="1" applyProtection="1">
      <alignment horizontal="center" vertical="top" wrapText="1"/>
      <protection locked="0"/>
    </xf>
    <xf numFmtId="171" fontId="2" fillId="0" borderId="11" xfId="0" applyNumberFormat="1" applyFont="1" applyBorder="1" applyAlignment="1" applyProtection="1">
      <alignment horizontal="center" vertical="top" wrapText="1"/>
    </xf>
    <xf numFmtId="0" fontId="1" fillId="0" borderId="5" xfId="0" applyFont="1" applyBorder="1" applyAlignment="1" applyProtection="1">
      <alignment horizontal="left" wrapText="1"/>
    </xf>
    <xf numFmtId="0" fontId="27" fillId="0" borderId="5" xfId="0" applyFont="1" applyBorder="1" applyAlignment="1" applyProtection="1">
      <alignment horizontal="center" wrapText="1"/>
    </xf>
    <xf numFmtId="0" fontId="0" fillId="0" borderId="3" xfId="0" applyFont="1" applyBorder="1" applyAlignment="1" applyProtection="1">
      <alignment horizontal="center" wrapText="1"/>
    </xf>
    <xf numFmtId="0" fontId="17" fillId="0" borderId="0" xfId="0" applyFont="1" applyAlignment="1" applyProtection="1">
      <alignment horizontal="left" vertical="top" wrapText="1"/>
      <protection locked="0"/>
    </xf>
    <xf numFmtId="0" fontId="0" fillId="0" borderId="0" xfId="0" applyFont="1" applyAlignment="1" applyProtection="1">
      <alignment horizontal="left" vertical="top" wrapText="1"/>
    </xf>
    <xf numFmtId="0" fontId="1" fillId="0" borderId="0" xfId="0" applyFont="1" applyAlignment="1" applyProtection="1">
      <alignment horizontal="left" vertical="top" wrapText="1"/>
    </xf>
    <xf numFmtId="0" fontId="0" fillId="0" borderId="21" xfId="0" applyFont="1" applyBorder="1" applyAlignment="1" applyProtection="1">
      <alignment horizontal="left" wrapText="1" indent="2"/>
    </xf>
    <xf numFmtId="1" fontId="2" fillId="5" borderId="0" xfId="0" applyNumberFormat="1" applyFont="1" applyFill="1" applyBorder="1" applyAlignment="1" applyProtection="1">
      <alignment horizontal="center" vertical="top" wrapText="1"/>
      <protection locked="0"/>
    </xf>
    <xf numFmtId="0" fontId="21" fillId="0" borderId="0" xfId="0" applyFont="1" applyBorder="1" applyAlignment="1" applyProtection="1">
      <alignment horizontal="left" vertical="center" wrapText="1"/>
    </xf>
    <xf numFmtId="0" fontId="18" fillId="0" borderId="0" xfId="0" applyFont="1" applyBorder="1" applyAlignment="1" applyProtection="1">
      <alignment horizontal="left" vertical="center" wrapText="1"/>
    </xf>
    <xf numFmtId="0" fontId="0" fillId="0" borderId="0" xfId="0" applyFont="1" applyBorder="1" applyAlignment="1" applyProtection="1">
      <alignment horizontal="left" vertical="center" wrapText="1"/>
    </xf>
    <xf numFmtId="0" fontId="0" fillId="0" borderId="3" xfId="0" applyFont="1" applyBorder="1" applyAlignment="1" applyProtection="1">
      <alignment horizontal="left" wrapText="1" indent="4"/>
    </xf>
    <xf numFmtId="0" fontId="0" fillId="5" borderId="4" xfId="0" applyNumberFormat="1" applyFont="1" applyFill="1" applyBorder="1" applyAlignment="1" applyProtection="1">
      <alignment horizontal="center" vertical="top" wrapText="1"/>
    </xf>
    <xf numFmtId="0" fontId="2" fillId="0" borderId="0" xfId="0" applyFont="1" applyAlignment="1" applyProtection="1">
      <alignment horizontal="left" vertical="top" wrapText="1"/>
    </xf>
    <xf numFmtId="0" fontId="16" fillId="0" borderId="0" xfId="0" applyFont="1" applyAlignment="1" applyProtection="1">
      <alignment horizontal="left" vertical="top" wrapText="1"/>
    </xf>
    <xf numFmtId="0" fontId="17" fillId="5" borderId="0" xfId="0" applyFont="1" applyFill="1" applyAlignment="1" applyProtection="1">
      <alignment horizontal="left" vertical="top" wrapText="1"/>
    </xf>
    <xf numFmtId="0" fontId="0" fillId="5" borderId="0" xfId="0" applyFont="1" applyFill="1" applyAlignment="1" applyProtection="1">
      <alignment horizontal="left" vertical="top" wrapText="1"/>
    </xf>
    <xf numFmtId="0" fontId="2" fillId="5" borderId="0" xfId="0" applyFont="1" applyFill="1" applyAlignment="1" applyProtection="1">
      <alignment horizontal="left" vertical="top" wrapText="1"/>
    </xf>
    <xf numFmtId="0" fontId="21" fillId="0" borderId="3" xfId="0" applyFont="1" applyBorder="1" applyAlignment="1" applyProtection="1">
      <alignment horizontal="center" wrapText="1"/>
    </xf>
    <xf numFmtId="0" fontId="2" fillId="0" borderId="11" xfId="0" applyFont="1" applyBorder="1" applyAlignment="1" applyProtection="1">
      <alignment horizontal="left" vertical="top" wrapText="1"/>
    </xf>
    <xf numFmtId="170" fontId="2" fillId="0" borderId="11" xfId="0" applyNumberFormat="1" applyFont="1" applyBorder="1" applyAlignment="1" applyProtection="1">
      <alignment horizontal="center" vertical="top" wrapText="1"/>
    </xf>
    <xf numFmtId="0" fontId="2" fillId="0" borderId="3" xfId="0" applyFont="1" applyBorder="1" applyAlignment="1" applyProtection="1">
      <alignment horizontal="left" vertical="top" wrapText="1"/>
    </xf>
    <xf numFmtId="170" fontId="2" fillId="0" borderId="3" xfId="0" applyNumberFormat="1" applyFont="1" applyBorder="1" applyAlignment="1" applyProtection="1">
      <alignment horizontal="center" vertical="top" wrapText="1"/>
    </xf>
    <xf numFmtId="171" fontId="2" fillId="0" borderId="3" xfId="0" applyNumberFormat="1" applyFont="1" applyBorder="1" applyAlignment="1" applyProtection="1">
      <alignment horizontal="center" vertical="top" wrapText="1"/>
    </xf>
    <xf numFmtId="1" fontId="2" fillId="5" borderId="21" xfId="0" applyNumberFormat="1" applyFont="1" applyFill="1" applyBorder="1" applyAlignment="1" applyProtection="1">
      <alignment horizontal="center" vertical="top" wrapText="1"/>
    </xf>
    <xf numFmtId="0" fontId="0" fillId="0" borderId="21" xfId="0" applyFont="1" applyBorder="1" applyAlignment="1" applyProtection="1">
      <alignment horizontal="left" wrapText="1"/>
      <protection locked="0"/>
    </xf>
    <xf numFmtId="0" fontId="0" fillId="0" borderId="21" xfId="0" applyFont="1" applyBorder="1" applyAlignment="1" applyProtection="1">
      <alignment horizontal="right" wrapText="1"/>
      <protection locked="0"/>
    </xf>
    <xf numFmtId="174" fontId="0" fillId="0" borderId="0" xfId="0" applyNumberFormat="1" applyFont="1" applyBorder="1" applyAlignment="1" applyProtection="1">
      <alignment horizontal="left" vertical="top"/>
      <protection locked="0"/>
    </xf>
    <xf numFmtId="0" fontId="0" fillId="0" borderId="14" xfId="0" applyFont="1" applyBorder="1" applyAlignment="1" applyProtection="1">
      <alignment horizontal="left" vertical="top" wrapText="1"/>
    </xf>
    <xf numFmtId="0" fontId="0" fillId="5" borderId="0" xfId="0" applyNumberFormat="1" applyFont="1" applyFill="1" applyBorder="1" applyAlignment="1" applyProtection="1">
      <alignment horizontal="center" vertical="top" wrapText="1"/>
    </xf>
    <xf numFmtId="0" fontId="0" fillId="5" borderId="4" xfId="0" applyFont="1" applyFill="1" applyBorder="1" applyAlignment="1" applyProtection="1">
      <alignment horizontal="left" vertical="top" wrapText="1"/>
    </xf>
    <xf numFmtId="0" fontId="2" fillId="5" borderId="4" xfId="0" applyFont="1" applyFill="1" applyBorder="1" applyAlignment="1" applyProtection="1">
      <alignment horizontal="left" vertical="top" wrapText="1"/>
    </xf>
    <xf numFmtId="172" fontId="2" fillId="5" borderId="4" xfId="0" applyNumberFormat="1" applyFont="1" applyFill="1" applyBorder="1" applyAlignment="1" applyProtection="1">
      <alignment horizontal="right" vertical="top" wrapText="1" indent="3"/>
    </xf>
    <xf numFmtId="172" fontId="2" fillId="5" borderId="4" xfId="1" applyNumberFormat="1" applyFont="1" applyFill="1" applyBorder="1" applyAlignment="1" applyProtection="1">
      <alignment horizontal="right" vertical="top" wrapText="1" indent="4"/>
    </xf>
    <xf numFmtId="0" fontId="2" fillId="0" borderId="0" xfId="0" applyFont="1" applyBorder="1" applyAlignment="1" applyProtection="1">
      <alignment horizontal="left" vertical="top" wrapText="1"/>
    </xf>
    <xf numFmtId="172" fontId="2" fillId="0" borderId="0" xfId="0" applyNumberFormat="1" applyFont="1" applyBorder="1" applyAlignment="1" applyProtection="1">
      <alignment horizontal="right" vertical="top" wrapText="1" indent="3"/>
    </xf>
    <xf numFmtId="172" fontId="2" fillId="0" borderId="0" xfId="1" applyNumberFormat="1" applyFont="1" applyBorder="1" applyAlignment="1" applyProtection="1">
      <alignment horizontal="right" vertical="top" wrapText="1" indent="2"/>
    </xf>
    <xf numFmtId="0" fontId="0" fillId="0" borderId="0" xfId="0" applyNumberFormat="1" applyFont="1" applyBorder="1" applyAlignment="1" applyProtection="1">
      <alignment horizontal="center" vertical="top" wrapText="1"/>
    </xf>
    <xf numFmtId="0" fontId="2" fillId="0" borderId="0" xfId="0" applyNumberFormat="1" applyFont="1" applyBorder="1" applyAlignment="1" applyProtection="1">
      <alignment horizontal="center" vertical="top" wrapText="1"/>
    </xf>
    <xf numFmtId="0" fontId="8" fillId="0" borderId="0" xfId="0" applyFont="1" applyBorder="1" applyAlignment="1" applyProtection="1">
      <alignment horizontal="center" vertical="top" wrapText="1"/>
    </xf>
    <xf numFmtId="0" fontId="0" fillId="0" borderId="4" xfId="0" applyNumberFormat="1" applyFont="1" applyBorder="1" applyAlignment="1" applyProtection="1">
      <alignment horizontal="center" vertical="top" wrapText="1"/>
    </xf>
    <xf numFmtId="0" fontId="2" fillId="0" borderId="4" xfId="0" applyNumberFormat="1" applyFont="1" applyBorder="1" applyAlignment="1" applyProtection="1">
      <alignment horizontal="center" vertical="top" wrapText="1"/>
    </xf>
    <xf numFmtId="0" fontId="1" fillId="0" borderId="9" xfId="0" applyFont="1" applyBorder="1" applyAlignment="1" applyProtection="1">
      <alignment horizontal="center" wrapText="1"/>
    </xf>
    <xf numFmtId="0" fontId="1" fillId="0" borderId="7" xfId="0" applyFont="1" applyBorder="1" applyAlignment="1" applyProtection="1">
      <alignment horizontal="center" wrapText="1"/>
    </xf>
    <xf numFmtId="0" fontId="1" fillId="0" borderId="9" xfId="0" applyFont="1" applyBorder="1" applyAlignment="1" applyProtection="1">
      <alignment horizontal="center" vertical="center" wrapText="1"/>
    </xf>
    <xf numFmtId="0" fontId="1" fillId="0" borderId="7" xfId="0" applyFont="1" applyBorder="1" applyAlignment="1" applyProtection="1">
      <alignment horizontal="center" vertical="center" wrapText="1"/>
    </xf>
    <xf numFmtId="0" fontId="0" fillId="0" borderId="4" xfId="0" applyFont="1" applyBorder="1" applyAlignment="1" applyProtection="1">
      <alignment horizontal="left" vertical="top" wrapText="1"/>
    </xf>
    <xf numFmtId="0" fontId="2" fillId="0" borderId="4" xfId="0" applyFont="1" applyBorder="1" applyAlignment="1" applyProtection="1">
      <alignment horizontal="left" vertical="top" wrapText="1"/>
    </xf>
    <xf numFmtId="172" fontId="2" fillId="0" borderId="4" xfId="0" applyNumberFormat="1" applyFont="1" applyBorder="1" applyAlignment="1" applyProtection="1">
      <alignment horizontal="right" vertical="top" wrapText="1" indent="3"/>
    </xf>
    <xf numFmtId="172" fontId="2" fillId="0" borderId="4" xfId="1" applyNumberFormat="1" applyFont="1" applyBorder="1" applyAlignment="1" applyProtection="1">
      <alignment horizontal="right" vertical="top" wrapText="1" indent="2"/>
    </xf>
    <xf numFmtId="172" fontId="2" fillId="0" borderId="21" xfId="0" applyNumberFormat="1" applyFont="1" applyFill="1" applyBorder="1" applyAlignment="1" applyProtection="1">
      <alignment horizontal="center" vertical="top" wrapText="1"/>
    </xf>
    <xf numFmtId="0" fontId="28" fillId="0" borderId="4" xfId="0" applyFont="1" applyBorder="1" applyAlignment="1" applyProtection="1">
      <alignment horizontal="left" vertical="top"/>
    </xf>
    <xf numFmtId="0" fontId="2" fillId="0" borderId="0" xfId="0" applyFont="1" applyAlignment="1" applyProtection="1">
      <alignment horizontal="left" vertical="top"/>
    </xf>
    <xf numFmtId="0" fontId="27" fillId="5" borderId="3" xfId="0" applyFont="1" applyFill="1" applyBorder="1" applyAlignment="1" applyProtection="1">
      <alignment horizontal="center" wrapText="1"/>
    </xf>
    <xf numFmtId="0" fontId="1" fillId="5" borderId="3" xfId="0" applyFont="1" applyFill="1" applyBorder="1" applyAlignment="1" applyProtection="1">
      <alignment horizontal="left" wrapText="1" indent="1"/>
    </xf>
    <xf numFmtId="0" fontId="2" fillId="5" borderId="21" xfId="0" applyFont="1" applyFill="1" applyBorder="1" applyAlignment="1" applyProtection="1">
      <alignment horizontal="left" vertical="top" wrapText="1"/>
      <protection locked="0"/>
    </xf>
    <xf numFmtId="1" fontId="2" fillId="5" borderId="21" xfId="0" applyNumberFormat="1" applyFont="1" applyFill="1" applyBorder="1" applyAlignment="1" applyProtection="1">
      <alignment horizontal="center" vertical="top" wrapText="1"/>
      <protection locked="0"/>
    </xf>
    <xf numFmtId="0" fontId="1" fillId="0" borderId="0" xfId="0" applyFont="1" applyAlignment="1" applyProtection="1">
      <alignment horizontal="left" vertical="top"/>
    </xf>
    <xf numFmtId="0" fontId="0" fillId="0" borderId="0" xfId="0" applyFont="1" applyAlignment="1" applyProtection="1">
      <alignment horizontal="left" vertical="top" wrapText="1" indent="1"/>
      <protection locked="0"/>
    </xf>
    <xf numFmtId="0" fontId="2" fillId="0" borderId="0" xfId="0" applyFont="1" applyAlignment="1" applyProtection="1">
      <alignment horizontal="left" vertical="top" wrapText="1" indent="1"/>
      <protection locked="0"/>
    </xf>
    <xf numFmtId="0" fontId="1" fillId="0" borderId="11" xfId="0" applyFont="1" applyBorder="1" applyAlignment="1" applyProtection="1">
      <alignment horizontal="center" wrapText="1"/>
    </xf>
    <xf numFmtId="172" fontId="2" fillId="0" borderId="9" xfId="0" applyNumberFormat="1" applyFont="1" applyBorder="1" applyAlignment="1" applyProtection="1">
      <alignment horizontal="right" vertical="top" wrapText="1" indent="3"/>
    </xf>
    <xf numFmtId="172" fontId="2" fillId="0" borderId="9" xfId="1" applyNumberFormat="1" applyFont="1" applyBorder="1" applyAlignment="1" applyProtection="1">
      <alignment horizontal="right" vertical="top" wrapText="1" indent="4"/>
    </xf>
    <xf numFmtId="0" fontId="2" fillId="0" borderId="9" xfId="0" applyNumberFormat="1" applyFont="1" applyBorder="1" applyAlignment="1" applyProtection="1">
      <alignment horizontal="center" vertical="top" wrapText="1"/>
    </xf>
    <xf numFmtId="0" fontId="8" fillId="0" borderId="3" xfId="0" applyFont="1" applyBorder="1" applyAlignment="1" applyProtection="1">
      <alignment horizontal="center" wrapText="1"/>
    </xf>
    <xf numFmtId="2" fontId="42" fillId="0" borderId="11" xfId="0" applyNumberFormat="1" applyFont="1" applyBorder="1" applyAlignment="1" applyProtection="1">
      <alignment horizontal="center" vertical="center"/>
      <protection locked="0"/>
    </xf>
    <xf numFmtId="2" fontId="42" fillId="0" borderId="12" xfId="0" applyNumberFormat="1" applyFont="1" applyBorder="1" applyAlignment="1" applyProtection="1">
      <alignment horizontal="center" vertical="center"/>
      <protection locked="0"/>
    </xf>
    <xf numFmtId="0" fontId="8" fillId="0" borderId="5" xfId="0" applyFont="1" applyBorder="1" applyAlignment="1" applyProtection="1">
      <alignment horizontal="left" vertical="center" indent="1"/>
      <protection locked="0"/>
    </xf>
    <xf numFmtId="0" fontId="33" fillId="2" borderId="4" xfId="0" applyFont="1" applyFill="1" applyBorder="1" applyAlignment="1" applyProtection="1">
      <alignment horizontal="left" vertical="center" wrapText="1" indent="1"/>
      <protection locked="0"/>
    </xf>
    <xf numFmtId="172" fontId="8" fillId="0" borderId="11" xfId="0" applyNumberFormat="1" applyFont="1" applyBorder="1" applyAlignment="1" applyProtection="1">
      <alignment horizontal="right" vertical="center" indent="1"/>
      <protection locked="0"/>
    </xf>
    <xf numFmtId="172" fontId="8" fillId="0" borderId="10" xfId="0" quotePrefix="1" applyNumberFormat="1" applyFont="1" applyBorder="1" applyAlignment="1" applyProtection="1">
      <alignment horizontal="right" vertical="center" indent="1"/>
      <protection locked="0"/>
    </xf>
    <xf numFmtId="172" fontId="8" fillId="0" borderId="11" xfId="0" quotePrefix="1" applyNumberFormat="1" applyFont="1" applyBorder="1" applyAlignment="1" applyProtection="1">
      <alignment horizontal="right" vertical="center" indent="1"/>
      <protection locked="0"/>
    </xf>
    <xf numFmtId="172" fontId="8" fillId="0" borderId="12" xfId="0" applyNumberFormat="1" applyFont="1" applyBorder="1" applyAlignment="1" applyProtection="1">
      <alignment horizontal="right" vertical="center" indent="1"/>
      <protection locked="0"/>
    </xf>
    <xf numFmtId="172" fontId="8" fillId="0" borderId="10" xfId="0" applyNumberFormat="1" applyFont="1" applyBorder="1" applyAlignment="1" applyProtection="1">
      <alignment horizontal="right" vertical="center" indent="1"/>
      <protection locked="0"/>
    </xf>
    <xf numFmtId="0" fontId="0" fillId="0" borderId="19" xfId="0" applyFont="1" applyBorder="1" applyAlignment="1" applyProtection="1">
      <alignment horizontal="left" vertical="top" wrapText="1"/>
    </xf>
    <xf numFmtId="1" fontId="0" fillId="0" borderId="0" xfId="0" applyNumberFormat="1" applyFont="1" applyBorder="1" applyAlignment="1" applyProtection="1">
      <alignment horizontal="left" vertical="top"/>
      <protection locked="0"/>
    </xf>
    <xf numFmtId="172" fontId="8" fillId="0" borderId="5" xfId="0" applyNumberFormat="1" applyFont="1" applyBorder="1" applyAlignment="1" applyProtection="1">
      <alignment horizontal="right" vertical="center" indent="1"/>
      <protection locked="0"/>
    </xf>
    <xf numFmtId="172" fontId="8" fillId="0" borderId="24" xfId="0" applyNumberFormat="1" applyFont="1" applyBorder="1" applyAlignment="1" applyProtection="1">
      <alignment horizontal="right" vertical="center" indent="1"/>
      <protection locked="0"/>
    </xf>
    <xf numFmtId="2" fontId="42" fillId="0" borderId="26" xfId="0" applyNumberFormat="1" applyFont="1" applyBorder="1" applyAlignment="1" applyProtection="1">
      <alignment horizontal="center" vertical="center"/>
      <protection locked="0"/>
    </xf>
    <xf numFmtId="2" fontId="42" fillId="0" borderId="22" xfId="0" applyNumberFormat="1" applyFont="1" applyBorder="1" applyAlignment="1" applyProtection="1">
      <alignment horizontal="center" vertical="center"/>
      <protection locked="0"/>
    </xf>
    <xf numFmtId="0" fontId="8" fillId="0" borderId="0" xfId="0" applyFont="1" applyBorder="1" applyAlignment="1" applyProtection="1">
      <alignment horizontal="center" wrapText="1"/>
    </xf>
    <xf numFmtId="174" fontId="2" fillId="0" borderId="0" xfId="0" applyNumberFormat="1" applyFont="1" applyBorder="1" applyAlignment="1" applyProtection="1">
      <alignment horizontal="left" vertical="top"/>
      <protection locked="0"/>
    </xf>
    <xf numFmtId="1" fontId="0" fillId="0" borderId="0" xfId="0" applyNumberFormat="1" applyFont="1" applyBorder="1" applyAlignment="1" applyProtection="1">
      <alignment horizontal="left" vertical="center"/>
      <protection locked="0"/>
    </xf>
    <xf numFmtId="174" fontId="0" fillId="0" borderId="0" xfId="0" applyNumberFormat="1" applyFont="1" applyFill="1" applyBorder="1" applyAlignment="1" applyProtection="1">
      <alignment horizontal="left" vertical="top"/>
      <protection locked="0"/>
    </xf>
    <xf numFmtId="174" fontId="0" fillId="0" borderId="0" xfId="0" applyNumberFormat="1" applyFont="1" applyFill="1" applyBorder="1" applyAlignment="1" applyProtection="1">
      <alignment horizontal="left" vertical="top"/>
    </xf>
    <xf numFmtId="0" fontId="0" fillId="0" borderId="17" xfId="0" applyFont="1" applyBorder="1" applyAlignment="1" applyProtection="1">
      <alignment horizontal="left" vertical="top" wrapText="1"/>
    </xf>
    <xf numFmtId="0" fontId="0" fillId="0" borderId="9" xfId="0" applyFont="1" applyBorder="1" applyAlignment="1" applyProtection="1">
      <alignment horizontal="left" vertical="top" wrapText="1"/>
    </xf>
    <xf numFmtId="172" fontId="8" fillId="0" borderId="26" xfId="0" applyNumberFormat="1" applyFont="1" applyBorder="1" applyAlignment="1" applyProtection="1">
      <alignment horizontal="right" vertical="center" indent="1"/>
      <protection locked="0"/>
    </xf>
    <xf numFmtId="172" fontId="8" fillId="0" borderId="22" xfId="0" applyNumberFormat="1" applyFont="1" applyBorder="1" applyAlignment="1" applyProtection="1">
      <alignment horizontal="right" vertical="center" indent="1"/>
      <protection locked="0"/>
    </xf>
    <xf numFmtId="172" fontId="8" fillId="0" borderId="23" xfId="0" applyNumberFormat="1" applyFont="1" applyBorder="1" applyAlignment="1" applyProtection="1">
      <alignment horizontal="right" vertical="center" indent="1"/>
      <protection locked="0"/>
    </xf>
    <xf numFmtId="0" fontId="8" fillId="0" borderId="0" xfId="0" applyFont="1" applyFill="1" applyAlignment="1" applyProtection="1">
      <alignment horizontal="left" vertical="top" wrapText="1" indent="1"/>
      <protection locked="0"/>
    </xf>
    <xf numFmtId="15" fontId="2" fillId="0" borderId="0" xfId="0" applyNumberFormat="1" applyFont="1" applyFill="1" applyAlignment="1" applyProtection="1">
      <alignment horizontal="center" vertical="center" wrapText="1"/>
      <protection locked="0"/>
    </xf>
    <xf numFmtId="15" fontId="2"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pplyProtection="1">
      <alignment horizontal="left" vertical="top" wrapText="1" indent="1"/>
      <protection locked="0"/>
    </xf>
    <xf numFmtId="0" fontId="2" fillId="0" borderId="0" xfId="0" applyFont="1" applyFill="1" applyBorder="1" applyAlignment="1" applyProtection="1">
      <alignment horizontal="left" vertical="top" wrapText="1" indent="1"/>
      <protection locked="0"/>
    </xf>
    <xf numFmtId="0" fontId="8" fillId="0" borderId="21" xfId="0" applyFont="1" applyFill="1" applyBorder="1" applyAlignment="1" applyProtection="1">
      <alignment horizontal="left" wrapText="1"/>
    </xf>
    <xf numFmtId="0" fontId="8" fillId="0" borderId="4" xfId="0" applyFont="1" applyFill="1" applyBorder="1" applyAlignment="1" applyProtection="1">
      <alignment horizontal="left" wrapText="1" indent="1"/>
    </xf>
    <xf numFmtId="0" fontId="8" fillId="0" borderId="9" xfId="0" applyFont="1" applyFill="1" applyBorder="1" applyAlignment="1" applyProtection="1">
      <alignment horizontal="right" wrapText="1"/>
    </xf>
    <xf numFmtId="49" fontId="8" fillId="0" borderId="9" xfId="0" applyNumberFormat="1" applyFont="1" applyFill="1" applyBorder="1" applyAlignment="1" applyProtection="1">
      <alignment horizontal="left"/>
      <protection locked="0"/>
    </xf>
    <xf numFmtId="0" fontId="8" fillId="0" borderId="0" xfId="0" applyFont="1" applyBorder="1" applyAlignment="1" applyProtection="1">
      <alignment horizontal="left" vertical="top" wrapText="1" indent="9"/>
      <protection locked="0"/>
    </xf>
    <xf numFmtId="0" fontId="15" fillId="0" borderId="0" xfId="0" applyFont="1" applyAlignment="1" applyProtection="1">
      <alignment horizontal="center" vertical="top" wrapText="1"/>
    </xf>
    <xf numFmtId="175" fontId="0" fillId="0" borderId="4" xfId="0" applyNumberFormat="1" applyFont="1" applyBorder="1" applyAlignment="1" applyProtection="1">
      <alignment horizontal="left" vertical="top"/>
      <protection locked="0"/>
    </xf>
    <xf numFmtId="175" fontId="0" fillId="0" borderId="0" xfId="0" applyNumberFormat="1" applyFont="1" applyBorder="1" applyAlignment="1" applyProtection="1">
      <alignment horizontal="left" vertical="top"/>
      <protection locked="0"/>
    </xf>
    <xf numFmtId="49" fontId="0" fillId="0" borderId="0" xfId="0" applyNumberFormat="1" applyFont="1" applyBorder="1" applyAlignment="1" applyProtection="1">
      <alignment horizontal="left" vertical="top"/>
      <protection locked="0"/>
    </xf>
    <xf numFmtId="2" fontId="0" fillId="0" borderId="0" xfId="0" applyNumberFormat="1" applyFont="1" applyBorder="1" applyAlignment="1" applyProtection="1">
      <alignment horizontal="left" vertical="top"/>
    </xf>
    <xf numFmtId="1" fontId="2" fillId="0" borderId="0" xfId="0" applyNumberFormat="1" applyFont="1" applyBorder="1" applyAlignment="1" applyProtection="1">
      <alignment horizontal="left" vertical="top" wrapText="1"/>
      <protection locked="0"/>
    </xf>
    <xf numFmtId="49" fontId="0" fillId="0" borderId="0" xfId="0" applyNumberFormat="1" applyFont="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1" fontId="21" fillId="0" borderId="0" xfId="0" applyNumberFormat="1" applyFont="1" applyBorder="1" applyAlignment="1" applyProtection="1">
      <alignment horizontal="right" wrapText="1"/>
      <protection locked="0"/>
    </xf>
    <xf numFmtId="0" fontId="24" fillId="0" borderId="0" xfId="0" applyFont="1" applyBorder="1" applyAlignment="1" applyProtection="1">
      <alignment horizontal="center" vertical="top" wrapText="1"/>
    </xf>
    <xf numFmtId="176" fontId="0" fillId="0" borderId="0" xfId="0" applyNumberFormat="1" applyFont="1" applyBorder="1" applyAlignment="1" applyProtection="1">
      <alignment horizontal="right"/>
      <protection locked="0"/>
    </xf>
    <xf numFmtId="2" fontId="42" fillId="0" borderId="5" xfId="0" applyNumberFormat="1" applyFont="1" applyBorder="1" applyAlignment="1" applyProtection="1">
      <alignment horizontal="center" vertical="center"/>
      <protection locked="0"/>
    </xf>
    <xf numFmtId="2" fontId="42" fillId="0" borderId="24" xfId="0" applyNumberFormat="1" applyFont="1" applyBorder="1" applyAlignment="1" applyProtection="1">
      <alignment horizontal="center" vertical="center"/>
      <protection locked="0"/>
    </xf>
    <xf numFmtId="2" fontId="8" fillId="0" borderId="9" xfId="0" applyNumberFormat="1" applyFont="1" applyFill="1" applyBorder="1" applyAlignment="1" applyProtection="1">
      <alignment horizontal="center" vertical="center" wrapText="1"/>
      <protection locked="0"/>
    </xf>
    <xf numFmtId="0" fontId="34" fillId="0" borderId="0" xfId="0" applyFont="1" applyAlignment="1" applyProtection="1">
      <alignment horizontal="center" wrapText="1"/>
    </xf>
    <xf numFmtId="0" fontId="34" fillId="0" borderId="0" xfId="0" applyFont="1" applyBorder="1" applyAlignment="1" applyProtection="1">
      <alignment horizontal="center" wrapText="1"/>
    </xf>
    <xf numFmtId="172" fontId="8" fillId="0" borderId="21" xfId="0" applyNumberFormat="1" applyFont="1" applyBorder="1" applyAlignment="1" applyProtection="1">
      <alignment horizontal="left" vertical="center" wrapText="1" indent="1"/>
    </xf>
    <xf numFmtId="172" fontId="8" fillId="0" borderId="0" xfId="0" applyNumberFormat="1" applyFont="1" applyBorder="1" applyAlignment="1" applyProtection="1">
      <alignment horizontal="left" vertical="center" wrapText="1" indent="1"/>
    </xf>
    <xf numFmtId="0" fontId="37" fillId="0" borderId="0" xfId="0" applyFont="1" applyBorder="1" applyAlignment="1" applyProtection="1">
      <alignment horizontal="center" vertical="top" wrapText="1"/>
    </xf>
    <xf numFmtId="0" fontId="0" fillId="0" borderId="0" xfId="0" applyFont="1" applyFill="1" applyBorder="1" applyAlignment="1" applyProtection="1">
      <alignment horizontal="left" vertical="center" wrapText="1" indent="1"/>
      <protection locked="0"/>
    </xf>
    <xf numFmtId="0" fontId="2" fillId="0" borderId="0" xfId="0" applyFont="1" applyFill="1" applyBorder="1" applyAlignment="1" applyProtection="1">
      <alignment horizontal="left" vertical="center" wrapText="1" indent="1"/>
      <protection locked="0"/>
    </xf>
    <xf numFmtId="0" fontId="2" fillId="0" borderId="19" xfId="0" applyFont="1" applyBorder="1" applyAlignment="1" applyProtection="1">
      <alignment horizontal="left" vertical="top" wrapText="1"/>
    </xf>
    <xf numFmtId="2" fontId="0" fillId="0" borderId="0" xfId="0" applyNumberFormat="1" applyFont="1" applyBorder="1" applyAlignment="1" applyProtection="1">
      <alignment horizontal="left" vertical="top"/>
      <protection locked="0"/>
    </xf>
    <xf numFmtId="0" fontId="0" fillId="0" borderId="0" xfId="0" applyFont="1" applyBorder="1" applyAlignment="1" applyProtection="1">
      <alignment horizontal="left" vertical="top"/>
      <protection locked="0"/>
    </xf>
    <xf numFmtId="173" fontId="0" fillId="0" borderId="0" xfId="0" applyNumberFormat="1" applyFont="1" applyBorder="1" applyAlignment="1" applyProtection="1">
      <alignment horizontal="left" vertical="top"/>
      <protection locked="0"/>
    </xf>
    <xf numFmtId="0" fontId="0" fillId="0" borderId="14" xfId="0" applyFont="1" applyBorder="1" applyAlignment="1" applyProtection="1">
      <alignment horizontal="left" vertical="top"/>
    </xf>
    <xf numFmtId="0" fontId="0" fillId="0" borderId="0" xfId="0" applyFont="1" applyBorder="1" applyAlignment="1" applyProtection="1">
      <alignment horizontal="left" vertical="top"/>
    </xf>
    <xf numFmtId="178" fontId="0" fillId="0" borderId="0" xfId="0" applyNumberFormat="1" applyFont="1" applyBorder="1" applyAlignment="1" applyProtection="1">
      <alignment horizontal="left" vertical="top"/>
      <protection locked="0"/>
    </xf>
    <xf numFmtId="178" fontId="2" fillId="0" borderId="0" xfId="0" applyNumberFormat="1" applyFont="1" applyBorder="1" applyAlignment="1" applyProtection="1">
      <alignment horizontal="left" vertical="top"/>
      <protection locked="0"/>
    </xf>
    <xf numFmtId="177" fontId="0" fillId="0" borderId="0" xfId="0" applyNumberFormat="1" applyFont="1" applyBorder="1" applyAlignment="1" applyProtection="1">
      <alignment horizontal="left"/>
    </xf>
    <xf numFmtId="172" fontId="8" fillId="0" borderId="25" xfId="0" applyNumberFormat="1" applyFont="1" applyBorder="1" applyAlignment="1" applyProtection="1">
      <alignment horizontal="right" vertical="center" indent="1"/>
      <protection locked="0"/>
    </xf>
    <xf numFmtId="0" fontId="8" fillId="0" borderId="11" xfId="0" applyFont="1" applyBorder="1" applyAlignment="1" applyProtection="1">
      <alignment horizontal="left" vertical="center" indent="1"/>
      <protection locked="0"/>
    </xf>
    <xf numFmtId="0" fontId="1" fillId="0" borderId="0" xfId="0" applyFont="1" applyBorder="1" applyAlignment="1" applyProtection="1">
      <alignment horizontal="right" vertical="top" wrapText="1"/>
      <protection locked="0"/>
    </xf>
    <xf numFmtId="174" fontId="0" fillId="0" borderId="0" xfId="0" applyNumberFormat="1" applyFont="1" applyBorder="1" applyAlignment="1" applyProtection="1">
      <alignment horizontal="left" vertical="top"/>
    </xf>
    <xf numFmtId="1" fontId="0" fillId="0" borderId="9" xfId="0" applyNumberFormat="1" applyFont="1" applyBorder="1" applyAlignment="1" applyProtection="1">
      <alignment horizontal="left" vertical="top"/>
      <protection locked="0"/>
    </xf>
    <xf numFmtId="0" fontId="1" fillId="0" borderId="4" xfId="0" applyFont="1" applyBorder="1" applyAlignment="1" applyProtection="1">
      <alignment horizontal="left" vertical="top" textRotation="90"/>
    </xf>
    <xf numFmtId="0" fontId="1" fillId="0" borderId="15" xfId="0" applyFont="1" applyBorder="1" applyAlignment="1" applyProtection="1">
      <alignment horizontal="left" vertical="top" textRotation="90"/>
    </xf>
    <xf numFmtId="0" fontId="1" fillId="0" borderId="0" xfId="0" applyFont="1" applyBorder="1" applyAlignment="1" applyProtection="1">
      <alignment horizontal="left" vertical="top" textRotation="90"/>
    </xf>
    <xf numFmtId="0" fontId="1" fillId="0" borderId="16" xfId="0" applyFont="1" applyBorder="1" applyAlignment="1" applyProtection="1">
      <alignment horizontal="left" vertical="top" textRotation="90"/>
    </xf>
    <xf numFmtId="0" fontId="1" fillId="0" borderId="9" xfId="0" applyFont="1" applyBorder="1" applyAlignment="1" applyProtection="1">
      <alignment horizontal="left" vertical="top" textRotation="90"/>
    </xf>
    <xf numFmtId="0" fontId="1" fillId="0" borderId="18" xfId="0" applyFont="1" applyBorder="1" applyAlignment="1" applyProtection="1">
      <alignment horizontal="left" vertical="top" textRotation="90"/>
    </xf>
    <xf numFmtId="174" fontId="0" fillId="0" borderId="4" xfId="0" applyNumberFormat="1" applyFont="1" applyBorder="1" applyAlignment="1" applyProtection="1">
      <alignment horizontal="left" vertical="top"/>
      <protection locked="0"/>
    </xf>
    <xf numFmtId="0" fontId="0" fillId="0" borderId="4" xfId="0" applyFont="1" applyBorder="1" applyAlignment="1" applyProtection="1">
      <alignment horizontal="right" vertical="top" wrapText="1"/>
    </xf>
    <xf numFmtId="0" fontId="2" fillId="0" borderId="14" xfId="0" applyFont="1" applyBorder="1" applyAlignment="1" applyProtection="1">
      <alignment horizontal="left" vertical="top" wrapText="1"/>
    </xf>
    <xf numFmtId="0" fontId="2" fillId="0" borderId="14"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1" fillId="0" borderId="7" xfId="0" applyFont="1" applyBorder="1" applyAlignment="1" applyProtection="1">
      <alignment horizontal="left" vertical="top" textRotation="90" wrapText="1"/>
    </xf>
    <xf numFmtId="0" fontId="1" fillId="0" borderId="8" xfId="0" applyFont="1" applyBorder="1" applyAlignment="1" applyProtection="1">
      <alignment horizontal="left" vertical="top" textRotation="90" wrapText="1"/>
    </xf>
    <xf numFmtId="0" fontId="8" fillId="0" borderId="26" xfId="0" applyFont="1" applyBorder="1" applyAlignment="1" applyProtection="1">
      <alignment horizontal="left" vertical="center" indent="1"/>
      <protection locked="0"/>
    </xf>
    <xf numFmtId="0" fontId="0" fillId="0" borderId="0"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1" fillId="0" borderId="4" xfId="0" applyFont="1" applyBorder="1" applyAlignment="1" applyProtection="1">
      <alignment horizontal="right" vertical="top" wrapText="1"/>
      <protection locked="0"/>
    </xf>
    <xf numFmtId="174" fontId="2" fillId="0" borderId="9" xfId="0" applyNumberFormat="1" applyFont="1" applyBorder="1" applyAlignment="1" applyProtection="1">
      <alignment horizontal="left" vertical="top"/>
      <protection locked="0"/>
    </xf>
    <xf numFmtId="0" fontId="1" fillId="0" borderId="0" xfId="0" applyFont="1" applyAlignment="1" applyProtection="1">
      <alignment horizontal="center" vertical="top" wrapText="1"/>
    </xf>
    <xf numFmtId="179" fontId="0" fillId="0" borderId="0" xfId="0" applyNumberFormat="1" applyFont="1" applyBorder="1" applyAlignment="1" applyProtection="1">
      <alignment horizontal="left" vertical="top"/>
      <protection locked="0"/>
    </xf>
    <xf numFmtId="172" fontId="8" fillId="0" borderId="0" xfId="0" applyNumberFormat="1" applyFont="1" applyFill="1" applyBorder="1" applyAlignment="1" applyProtection="1">
      <alignment horizontal="center" vertical="center" wrapText="1"/>
    </xf>
    <xf numFmtId="0" fontId="39" fillId="0" borderId="3" xfId="0" applyFont="1" applyBorder="1" applyAlignment="1" applyProtection="1">
      <alignment horizontal="center" wrapText="1"/>
    </xf>
    <xf numFmtId="1" fontId="8" fillId="0" borderId="21" xfId="0" applyNumberFormat="1" applyFont="1" applyFill="1" applyBorder="1" applyAlignment="1" applyProtection="1">
      <alignment horizontal="center" vertical="center" wrapText="1"/>
    </xf>
    <xf numFmtId="1" fontId="8" fillId="0" borderId="0" xfId="0" applyNumberFormat="1" applyFont="1" applyFill="1" applyBorder="1" applyAlignment="1" applyProtection="1">
      <alignment horizontal="center" vertical="center" wrapText="1"/>
    </xf>
    <xf numFmtId="0" fontId="38" fillId="0" borderId="3" xfId="0" applyFont="1" applyBorder="1" applyAlignment="1" applyProtection="1">
      <alignment horizontal="center" wrapText="1"/>
    </xf>
    <xf numFmtId="0" fontId="0" fillId="0" borderId="9" xfId="0" applyFont="1" applyBorder="1" applyAlignment="1" applyProtection="1">
      <alignment horizontal="right" vertical="top" wrapText="1"/>
    </xf>
    <xf numFmtId="0" fontId="1" fillId="0" borderId="0" xfId="0" applyFont="1" applyAlignment="1" applyProtection="1">
      <alignment horizontal="center" wrapText="1"/>
    </xf>
    <xf numFmtId="0" fontId="1" fillId="0" borderId="0" xfId="0" applyFont="1" applyBorder="1" applyAlignment="1" applyProtection="1">
      <alignment horizontal="center" wrapText="1"/>
    </xf>
    <xf numFmtId="0" fontId="36" fillId="0" borderId="0" xfId="0" applyFont="1" applyBorder="1" applyAlignment="1" applyProtection="1">
      <alignment horizontal="center" vertical="top" wrapText="1"/>
    </xf>
    <xf numFmtId="188" fontId="0" fillId="0" borderId="3" xfId="0" applyNumberFormat="1" applyFont="1" applyBorder="1" applyAlignment="1" applyProtection="1">
      <alignment horizontal="right" vertical="center" wrapText="1"/>
    </xf>
    <xf numFmtId="188" fontId="2" fillId="0" borderId="3" xfId="0" applyNumberFormat="1" applyFont="1" applyBorder="1" applyAlignment="1" applyProtection="1">
      <alignment horizontal="right" vertical="center" wrapText="1"/>
    </xf>
    <xf numFmtId="180" fontId="2" fillId="0" borderId="27" xfId="0" applyNumberFormat="1" applyFont="1" applyBorder="1" applyAlignment="1" applyProtection="1">
      <alignment horizontal="right" vertical="center" wrapText="1" indent="1"/>
    </xf>
    <xf numFmtId="180" fontId="2" fillId="0" borderId="28" xfId="0" applyNumberFormat="1" applyFont="1" applyBorder="1" applyAlignment="1" applyProtection="1">
      <alignment horizontal="right" vertical="center" wrapText="1" indent="1"/>
    </xf>
    <xf numFmtId="180" fontId="2" fillId="0" borderId="29" xfId="0" applyNumberFormat="1" applyFont="1" applyBorder="1" applyAlignment="1" applyProtection="1">
      <alignment horizontal="right" vertical="center" wrapText="1" indent="1"/>
    </xf>
    <xf numFmtId="0" fontId="8" fillId="0" borderId="0" xfId="0" applyFont="1" applyBorder="1" applyAlignment="1" applyProtection="1">
      <alignment horizontal="left" vertical="top"/>
    </xf>
    <xf numFmtId="0" fontId="0" fillId="0" borderId="21" xfId="0" applyNumberFormat="1" applyFont="1" applyFill="1" applyBorder="1" applyAlignment="1" applyProtection="1">
      <alignment horizontal="center"/>
    </xf>
    <xf numFmtId="172" fontId="2" fillId="0" borderId="0" xfId="1" applyNumberFormat="1" applyFont="1" applyBorder="1" applyAlignment="1" applyProtection="1">
      <alignment horizontal="right" vertical="top" wrapText="1" indent="4"/>
    </xf>
    <xf numFmtId="0" fontId="1" fillId="0" borderId="0" xfId="0" applyFont="1" applyAlignment="1" applyProtection="1">
      <alignment horizontal="center" vertical="center" wrapText="1"/>
    </xf>
    <xf numFmtId="0" fontId="1" fillId="0" borderId="0" xfId="0" applyFont="1" applyBorder="1" applyAlignment="1" applyProtection="1">
      <alignment horizontal="center" vertical="center" wrapText="1"/>
    </xf>
    <xf numFmtId="172" fontId="2" fillId="0" borderId="4" xfId="1" applyNumberFormat="1" applyFont="1" applyBorder="1" applyAlignment="1" applyProtection="1">
      <alignment horizontal="right" vertical="top" wrapText="1" indent="4"/>
    </xf>
    <xf numFmtId="181" fontId="2" fillId="0" borderId="21" xfId="0" applyNumberFormat="1" applyFont="1" applyBorder="1" applyAlignment="1" applyProtection="1">
      <alignment horizontal="center" vertical="top" wrapText="1"/>
    </xf>
    <xf numFmtId="0" fontId="35" fillId="0" borderId="3" xfId="0" applyFont="1" applyFill="1" applyBorder="1" applyAlignment="1" applyProtection="1">
      <alignment horizontal="center" wrapText="1"/>
    </xf>
    <xf numFmtId="0" fontId="35" fillId="0" borderId="9" xfId="0" applyFont="1" applyFill="1" applyBorder="1" applyAlignment="1" applyProtection="1">
      <alignment horizontal="center" wrapText="1"/>
    </xf>
    <xf numFmtId="0" fontId="33" fillId="0" borderId="9" xfId="0" applyFont="1" applyFill="1" applyBorder="1" applyAlignment="1" applyProtection="1">
      <alignment horizontal="center" wrapText="1"/>
    </xf>
    <xf numFmtId="0" fontId="2" fillId="0" borderId="9" xfId="0" applyFont="1" applyBorder="1" applyAlignment="1" applyProtection="1">
      <alignment horizontal="left" vertical="top" wrapText="1"/>
    </xf>
    <xf numFmtId="172" fontId="0" fillId="0" borderId="21" xfId="0" applyNumberFormat="1" applyFont="1" applyBorder="1" applyAlignment="1" applyProtection="1">
      <alignment horizontal="center" vertical="top" wrapText="1"/>
    </xf>
    <xf numFmtId="172" fontId="2" fillId="0" borderId="21" xfId="1" applyNumberFormat="1" applyFont="1" applyBorder="1" applyAlignment="1" applyProtection="1">
      <alignment horizontal="center" vertical="top" wrapText="1"/>
    </xf>
    <xf numFmtId="2" fontId="0" fillId="0" borderId="21" xfId="0" applyNumberFormat="1" applyFont="1" applyBorder="1" applyAlignment="1" applyProtection="1">
      <alignment horizontal="center" vertical="top" wrapText="1"/>
    </xf>
    <xf numFmtId="1" fontId="0" fillId="0" borderId="0" xfId="0" applyNumberFormat="1" applyFont="1" applyBorder="1" applyAlignment="1" applyProtection="1">
      <alignment horizontal="right" vertical="top" wrapText="1"/>
      <protection locked="0"/>
    </xf>
    <xf numFmtId="1" fontId="0" fillId="0" borderId="0" xfId="0" applyNumberFormat="1" applyFont="1" applyBorder="1" applyAlignment="1" applyProtection="1">
      <alignment horizontal="center" vertical="top" wrapText="1"/>
      <protection locked="0"/>
    </xf>
    <xf numFmtId="1" fontId="0" fillId="0" borderId="0" xfId="0" applyNumberFormat="1" applyFont="1" applyBorder="1" applyAlignment="1" applyProtection="1">
      <alignment horizontal="left" vertical="top" wrapText="1"/>
      <protection locked="0"/>
    </xf>
    <xf numFmtId="190" fontId="0" fillId="0" borderId="0" xfId="0" applyNumberFormat="1" applyFont="1" applyBorder="1" applyAlignment="1" applyProtection="1">
      <alignment horizontal="left" vertical="top"/>
      <protection locked="0"/>
    </xf>
    <xf numFmtId="190" fontId="0" fillId="0" borderId="0" xfId="0" applyNumberFormat="1" applyFont="1" applyFill="1" applyBorder="1" applyAlignment="1" applyProtection="1">
      <alignment horizontal="left" vertical="top"/>
      <protection locked="0"/>
    </xf>
    <xf numFmtId="172" fontId="8" fillId="2" borderId="4" xfId="0" applyNumberFormat="1" applyFont="1" applyFill="1" applyBorder="1" applyAlignment="1" applyProtection="1">
      <alignment horizontal="right" vertical="center" wrapText="1" indent="1"/>
    </xf>
    <xf numFmtId="172" fontId="8" fillId="2" borderId="31" xfId="0" applyNumberFormat="1" applyFont="1" applyFill="1" applyBorder="1" applyAlignment="1" applyProtection="1">
      <alignment horizontal="right" vertical="center" wrapText="1" indent="1"/>
    </xf>
    <xf numFmtId="172" fontId="8" fillId="2" borderId="30" xfId="0" applyNumberFormat="1" applyFont="1" applyFill="1" applyBorder="1" applyAlignment="1" applyProtection="1">
      <alignment horizontal="right" vertical="center" wrapText="1" indent="1"/>
    </xf>
    <xf numFmtId="0" fontId="0" fillId="0" borderId="0" xfId="0" applyFont="1" applyBorder="1" applyAlignment="1" applyProtection="1">
      <alignment horizontal="left" wrapText="1"/>
    </xf>
    <xf numFmtId="49" fontId="8" fillId="0" borderId="35" xfId="0" applyNumberFormat="1" applyFont="1" applyBorder="1" applyAlignment="1" applyProtection="1">
      <alignment horizontal="center" wrapText="1"/>
    </xf>
    <xf numFmtId="1" fontId="0" fillId="0" borderId="0" xfId="0" applyNumberFormat="1" applyFont="1" applyBorder="1" applyAlignment="1" applyProtection="1">
      <alignment horizontal="right" vertical="top"/>
      <protection locked="0"/>
    </xf>
    <xf numFmtId="0" fontId="34" fillId="0" borderId="3" xfId="0" applyFont="1" applyBorder="1" applyAlignment="1" applyProtection="1">
      <alignment horizontal="center" wrapText="1"/>
    </xf>
    <xf numFmtId="172" fontId="8" fillId="0" borderId="21" xfId="0" applyNumberFormat="1" applyFont="1" applyFill="1" applyBorder="1" applyAlignment="1" applyProtection="1">
      <alignment horizontal="center" vertical="center" wrapText="1"/>
    </xf>
    <xf numFmtId="0" fontId="9" fillId="0" borderId="0" xfId="0" applyFont="1" applyAlignment="1" applyProtection="1">
      <alignment horizontal="center" wrapText="1"/>
    </xf>
    <xf numFmtId="49" fontId="1" fillId="0" borderId="4" xfId="0" applyNumberFormat="1" applyFont="1" applyBorder="1" applyAlignment="1" applyProtection="1">
      <alignment horizontal="left" vertical="top"/>
      <protection locked="0"/>
    </xf>
    <xf numFmtId="186" fontId="0" fillId="0" borderId="4" xfId="0" applyNumberFormat="1" applyFont="1" applyBorder="1" applyAlignment="1" applyProtection="1">
      <alignment horizontal="center"/>
      <protection locked="0"/>
    </xf>
    <xf numFmtId="187" fontId="0" fillId="0" borderId="4" xfId="0" applyNumberFormat="1" applyFont="1" applyBorder="1" applyAlignment="1" applyProtection="1">
      <alignment horizontal="left"/>
      <protection locked="0"/>
    </xf>
    <xf numFmtId="181" fontId="7" fillId="0" borderId="3" xfId="0" applyNumberFormat="1" applyFont="1" applyFill="1" applyBorder="1" applyAlignment="1" applyProtection="1">
      <alignment horizontal="center" vertical="center" wrapText="1"/>
    </xf>
    <xf numFmtId="181" fontId="7" fillId="0" borderId="32" xfId="0" applyNumberFormat="1" applyFont="1" applyFill="1" applyBorder="1" applyAlignment="1" applyProtection="1">
      <alignment horizontal="center" vertical="center" wrapText="1"/>
    </xf>
    <xf numFmtId="0" fontId="7" fillId="0" borderId="3" xfId="0" applyFont="1" applyBorder="1" applyAlignment="1" applyProtection="1">
      <alignment horizontal="center" vertical="center" wrapText="1"/>
      <protection locked="0"/>
    </xf>
    <xf numFmtId="2" fontId="7" fillId="2" borderId="3" xfId="0" applyNumberFormat="1" applyFont="1" applyFill="1" applyBorder="1" applyAlignment="1" applyProtection="1">
      <alignment horizontal="right" vertical="center" wrapText="1" indent="1"/>
      <protection locked="0"/>
    </xf>
    <xf numFmtId="2" fontId="7" fillId="0" borderId="3" xfId="0" applyNumberFormat="1" applyFont="1" applyFill="1" applyBorder="1" applyAlignment="1" applyProtection="1">
      <alignment horizontal="right" vertical="center" wrapText="1" indent="1"/>
    </xf>
    <xf numFmtId="1" fontId="7" fillId="0" borderId="35" xfId="0" applyNumberFormat="1" applyFont="1" applyFill="1" applyBorder="1" applyAlignment="1" applyProtection="1">
      <alignment horizontal="center" vertical="center" wrapText="1"/>
      <protection locked="0"/>
    </xf>
    <xf numFmtId="1" fontId="7" fillId="0" borderId="3" xfId="0" applyNumberFormat="1" applyFont="1" applyFill="1" applyBorder="1" applyAlignment="1" applyProtection="1">
      <alignment horizontal="center" vertical="center" wrapText="1"/>
      <protection locked="0"/>
    </xf>
    <xf numFmtId="1" fontId="7" fillId="0" borderId="3" xfId="0" applyNumberFormat="1" applyFont="1" applyFill="1" applyBorder="1" applyAlignment="1" applyProtection="1">
      <alignment horizontal="right" vertical="center" wrapText="1" indent="1"/>
      <protection locked="0"/>
    </xf>
    <xf numFmtId="1" fontId="7" fillId="0" borderId="32" xfId="0" applyNumberFormat="1" applyFont="1" applyFill="1" applyBorder="1" applyAlignment="1" applyProtection="1">
      <alignment horizontal="right" vertical="center" wrapText="1" indent="1"/>
      <protection locked="0"/>
    </xf>
    <xf numFmtId="181" fontId="7" fillId="0" borderId="35" xfId="0" applyNumberFormat="1" applyFont="1" applyFill="1" applyBorder="1" applyAlignment="1" applyProtection="1">
      <alignment horizontal="center" vertical="center" wrapText="1"/>
    </xf>
    <xf numFmtId="1" fontId="2" fillId="13" borderId="21" xfId="0" applyNumberFormat="1" applyFont="1" applyFill="1" applyBorder="1" applyAlignment="1" applyProtection="1">
      <alignment horizontal="center" vertical="top" wrapText="1"/>
      <protection locked="0"/>
    </xf>
    <xf numFmtId="0" fontId="0" fillId="0" borderId="13" xfId="0" applyBorder="1" applyAlignment="1" applyProtection="1">
      <alignment horizontal="center" vertical="top"/>
    </xf>
    <xf numFmtId="0" fontId="0" fillId="0" borderId="21" xfId="0" applyBorder="1" applyAlignment="1" applyProtection="1">
      <alignment horizontal="center" vertical="top"/>
    </xf>
    <xf numFmtId="0" fontId="0" fillId="0" borderId="6" xfId="0" applyBorder="1" applyAlignment="1" applyProtection="1">
      <alignment horizontal="center" vertical="top"/>
    </xf>
    <xf numFmtId="0" fontId="9" fillId="0" borderId="0" xfId="0" applyFont="1" applyBorder="1" applyAlignment="1" applyProtection="1">
      <alignment horizontal="center" vertical="center"/>
    </xf>
    <xf numFmtId="0" fontId="9" fillId="4" borderId="0" xfId="0" applyFont="1" applyFill="1" applyBorder="1" applyAlignment="1" applyProtection="1">
      <alignment horizontal="left" vertical="center"/>
      <protection locked="0"/>
    </xf>
    <xf numFmtId="0" fontId="6" fillId="3" borderId="4" xfId="0" applyFont="1" applyFill="1" applyBorder="1" applyAlignment="1" applyProtection="1">
      <alignment horizontal="center" vertical="center" wrapText="1"/>
    </xf>
    <xf numFmtId="0" fontId="6" fillId="3" borderId="9" xfId="0" applyFont="1" applyFill="1" applyBorder="1" applyAlignment="1" applyProtection="1">
      <alignment horizontal="center" vertical="center" wrapText="1"/>
    </xf>
    <xf numFmtId="0" fontId="10" fillId="3" borderId="4" xfId="0" applyFont="1" applyFill="1" applyBorder="1" applyAlignment="1" applyProtection="1">
      <alignment horizontal="center" vertical="center" wrapText="1"/>
    </xf>
    <xf numFmtId="0" fontId="10" fillId="3" borderId="9" xfId="0" applyFont="1" applyFill="1" applyBorder="1" applyAlignment="1" applyProtection="1">
      <alignment horizontal="center" vertical="center" wrapText="1"/>
    </xf>
    <xf numFmtId="0" fontId="7" fillId="3" borderId="4" xfId="0" applyFont="1" applyFill="1" applyBorder="1" applyAlignment="1" applyProtection="1">
      <alignment horizontal="center" vertical="center" wrapText="1"/>
    </xf>
    <xf numFmtId="0" fontId="7" fillId="3" borderId="9" xfId="0" applyFont="1" applyFill="1" applyBorder="1" applyAlignment="1" applyProtection="1">
      <alignment horizontal="center" vertical="center" wrapText="1"/>
    </xf>
    <xf numFmtId="0" fontId="13" fillId="3" borderId="4" xfId="0" applyFont="1" applyFill="1" applyBorder="1" applyAlignment="1">
      <alignment horizontal="center" vertical="center" wrapText="1"/>
    </xf>
    <xf numFmtId="0" fontId="13" fillId="3" borderId="9" xfId="0" applyFont="1" applyFill="1" applyBorder="1" applyAlignment="1">
      <alignment horizontal="center" vertical="center" wrapText="1"/>
    </xf>
    <xf numFmtId="0" fontId="6" fillId="3" borderId="20" xfId="0" applyFont="1" applyFill="1" applyBorder="1" applyAlignment="1">
      <alignment horizontal="center" vertical="center" wrapText="1"/>
    </xf>
    <xf numFmtId="172" fontId="0" fillId="0" borderId="0" xfId="0" applyNumberFormat="1" applyAlignment="1" applyProtection="1">
      <alignment horizontal="left" vertical="top" wrapText="1"/>
    </xf>
    <xf numFmtId="0" fontId="1" fillId="0" borderId="3" xfId="0" applyFont="1" applyFill="1" applyBorder="1" applyAlignment="1" applyProtection="1">
      <alignment horizontal="center" wrapText="1"/>
    </xf>
  </cellXfs>
  <cellStyles count="112">
    <cellStyle name="Comma" xfId="108" builtinId="3"/>
    <cellStyle name="Comma 2" xfId="11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Normal" xfId="0" builtinId="0"/>
    <cellStyle name="Normal 2" xfId="109"/>
    <cellStyle name="Percent" xfId="1" builtinId="5"/>
    <cellStyle name="Percent 2" xfId="111"/>
  </cellStyles>
  <dxfs count="47">
    <dxf>
      <font>
        <color auto="1"/>
      </font>
      <border>
        <vertical/>
        <horizontal/>
      </border>
    </dxf>
    <dxf>
      <border>
        <bottom style="thin">
          <color auto="1"/>
        </bottom>
        <vertical/>
        <horizontal/>
      </border>
    </dxf>
    <dxf>
      <font>
        <color auto="1"/>
      </font>
      <border>
        <vertical/>
        <horizontal/>
      </border>
    </dxf>
    <dxf>
      <border>
        <bottom style="thin">
          <color auto="1"/>
        </bottom>
        <vertical/>
        <horizontal/>
      </border>
    </dxf>
    <dxf>
      <font>
        <color auto="1"/>
      </font>
      <border>
        <vertical/>
        <horizontal/>
      </border>
    </dxf>
    <dxf>
      <border>
        <bottom style="thin">
          <color auto="1"/>
        </bottom>
        <vertical/>
        <horizontal/>
      </border>
    </dxf>
    <dxf>
      <font>
        <color auto="1"/>
      </font>
      <border>
        <vertical/>
        <horizontal/>
      </border>
    </dxf>
    <dxf>
      <border>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auto="1"/>
      </font>
      <border>
        <vertical/>
        <horizontal/>
      </border>
    </dxf>
    <dxf>
      <border>
        <bottom style="thin">
          <color auto="1"/>
        </bottom>
        <vertical/>
        <horizontal/>
      </border>
    </dxf>
    <dxf>
      <font>
        <color auto="1"/>
      </font>
      <border>
        <vertical/>
        <horizontal/>
      </border>
    </dxf>
    <dxf>
      <border>
        <bottom style="thin">
          <color auto="1"/>
        </bottom>
        <vertical/>
        <horizontal/>
      </border>
    </dxf>
    <dxf>
      <font>
        <color auto="1"/>
      </font>
      <border>
        <vertical/>
        <horizontal/>
      </border>
    </dxf>
    <dxf>
      <border>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b/>
        <i val="0"/>
        <color rgb="FFD10024"/>
      </font>
    </dxf>
    <dxf>
      <font>
        <b/>
        <i val="0"/>
        <color rgb="FFD10024"/>
      </font>
    </dxf>
    <dxf>
      <font>
        <b/>
        <i val="0"/>
        <color rgb="FFD10024"/>
      </font>
    </dxf>
    <dxf>
      <font>
        <b/>
        <i val="0"/>
        <color rgb="FFD10024"/>
      </font>
    </dxf>
    <dxf>
      <font>
        <color theme="0"/>
      </font>
      <border>
        <left style="thin">
          <color theme="0"/>
        </left>
        <right style="thin">
          <color theme="0"/>
        </right>
        <top style="thin">
          <color theme="0"/>
        </top>
        <bottom style="thin">
          <color theme="0"/>
        </bottom>
        <vertical/>
        <horizontal/>
      </border>
    </dxf>
    <dxf>
      <fill>
        <patternFill patternType="gray125">
          <fgColor rgb="FFD10024"/>
          <bgColor auto="1"/>
        </patternFill>
      </fill>
      <border>
        <top style="dashDot">
          <color theme="1"/>
        </top>
        <bottom style="dashDot">
          <color theme="1"/>
        </bottom>
      </border>
    </dxf>
    <dxf>
      <font>
        <b/>
        <i val="0"/>
        <color rgb="FFD10024"/>
      </font>
    </dxf>
    <dxf>
      <font>
        <color theme="0"/>
      </font>
      <fill>
        <patternFill patternType="solid">
          <bgColor theme="0"/>
        </patternFill>
      </fill>
      <border>
        <left/>
        <right/>
        <top/>
        <bottom/>
      </border>
    </dxf>
    <dxf>
      <font>
        <color theme="0"/>
      </font>
    </dxf>
    <dxf>
      <numFmt numFmtId="191" formatCode="#\-?/?\ &quot;in&quot;"/>
    </dxf>
    <dxf>
      <numFmt numFmtId="192" formatCode="#\ &quot;in&quot;"/>
    </dxf>
  </dxfs>
  <tableStyles count="0" defaultTableStyle="TableStyleMedium2" defaultPivotStyle="PivotStyleLight16"/>
  <colors>
    <mruColors>
      <color rgb="FFD1002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Consumo de RE500SD+HAS cm3/cm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17714457567804023"/>
                  <c:y val="-3.87084426946631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trendlineLbl>
          </c:trendline>
          <c:xVal>
            <c:numRef>
              <c:f>Definiciones!$U$102:$U$112</c:f>
              <c:numCache>
                <c:formatCode>General</c:formatCode>
                <c:ptCount val="11"/>
              </c:numCache>
            </c:numRef>
          </c:xVal>
          <c:yVal>
            <c:numRef>
              <c:f>Definiciones!$W$110:$W$120</c:f>
              <c:numCache>
                <c:formatCode>General</c:formatCode>
                <c:ptCount val="11"/>
              </c:numCache>
            </c:numRef>
          </c:yVal>
          <c:smooth val="1"/>
        </c:ser>
        <c:dLbls>
          <c:showLegendKey val="0"/>
          <c:showVal val="0"/>
          <c:showCatName val="0"/>
          <c:showSerName val="0"/>
          <c:showPercent val="0"/>
          <c:showBubbleSize val="0"/>
        </c:dLbls>
        <c:axId val="1352179712"/>
        <c:axId val="891928576"/>
      </c:scatterChart>
      <c:valAx>
        <c:axId val="1352179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91928576"/>
        <c:crosses val="autoZero"/>
        <c:crossBetween val="midCat"/>
      </c:valAx>
      <c:valAx>
        <c:axId val="89192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521797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Consumo de RE500SD+Rebar cm3/cm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2.2648495234335514E-2"/>
                  <c:y val="-4.051887501382586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trendlineLbl>
          </c:trendline>
          <c:xVal>
            <c:numRef>
              <c:f>Definiciones!$U$102:$U$112</c:f>
              <c:numCache>
                <c:formatCode>General</c:formatCode>
                <c:ptCount val="11"/>
              </c:numCache>
            </c:numRef>
          </c:xVal>
          <c:yVal>
            <c:numRef>
              <c:f>Definiciones!$V$113:$V$123</c:f>
              <c:numCache>
                <c:formatCode>General</c:formatCode>
                <c:ptCount val="11"/>
              </c:numCache>
            </c:numRef>
          </c:yVal>
          <c:smooth val="1"/>
        </c:ser>
        <c:dLbls>
          <c:showLegendKey val="0"/>
          <c:showVal val="0"/>
          <c:showCatName val="0"/>
          <c:showSerName val="0"/>
          <c:showPercent val="0"/>
          <c:showBubbleSize val="0"/>
        </c:dLbls>
        <c:axId val="891931296"/>
        <c:axId val="891932384"/>
      </c:scatterChart>
      <c:valAx>
        <c:axId val="891931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91932384"/>
        <c:crosses val="autoZero"/>
        <c:crossBetween val="midCat"/>
      </c:valAx>
      <c:valAx>
        <c:axId val="89193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91931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oneCellAnchor>
    <xdr:from>
      <xdr:col>30</xdr:col>
      <xdr:colOff>533400</xdr:colOff>
      <xdr:row>26</xdr:row>
      <xdr:rowOff>0</xdr:rowOff>
    </xdr:from>
    <xdr:ext cx="8284315" cy="5430860"/>
    <xdr:pic>
      <xdr:nvPicPr>
        <xdr:cNvPr id="3" name="3 Imagen"/>
        <xdr:cNvPicPr>
          <a:picLocks noChangeAspect="1"/>
        </xdr:cNvPicPr>
      </xdr:nvPicPr>
      <xdr:blipFill>
        <a:blip xmlns:r="http://schemas.openxmlformats.org/officeDocument/2006/relationships" r:embed="rId1"/>
        <a:stretch>
          <a:fillRect/>
        </a:stretch>
      </xdr:blipFill>
      <xdr:spPr>
        <a:xfrm>
          <a:off x="20802600" y="3886200"/>
          <a:ext cx="8284315" cy="5430860"/>
        </a:xfrm>
        <a:prstGeom prst="rect">
          <a:avLst/>
        </a:prstGeom>
      </xdr:spPr>
    </xdr:pic>
    <xdr:clientData/>
  </xdr:oneCellAnchor>
  <xdr:twoCellAnchor>
    <xdr:from>
      <xdr:col>22</xdr:col>
      <xdr:colOff>632570</xdr:colOff>
      <xdr:row>132</xdr:row>
      <xdr:rowOff>4482</xdr:rowOff>
    </xdr:from>
    <xdr:to>
      <xdr:col>25</xdr:col>
      <xdr:colOff>0</xdr:colOff>
      <xdr:row>149</xdr:row>
      <xdr:rowOff>58831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1678</xdr:colOff>
      <xdr:row>135</xdr:row>
      <xdr:rowOff>0</xdr:rowOff>
    </xdr:from>
    <xdr:to>
      <xdr:col>22</xdr:col>
      <xdr:colOff>611280</xdr:colOff>
      <xdr:row>152</xdr:row>
      <xdr:rowOff>54349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xdr:col>
      <xdr:colOff>33337</xdr:colOff>
      <xdr:row>486</xdr:row>
      <xdr:rowOff>28575</xdr:rowOff>
    </xdr:from>
    <xdr:ext cx="225253" cy="168829"/>
    <mc:AlternateContent xmlns:mc="http://schemas.openxmlformats.org/markup-compatibility/2006" xmlns:a14="http://schemas.microsoft.com/office/drawing/2010/main">
      <mc:Choice Requires="a14">
        <xdr:sp macro="" textlink="">
          <xdr:nvSpPr>
            <xdr:cNvPr id="2" name="TextBox 1"/>
            <xdr:cNvSpPr txBox="1"/>
          </xdr:nvSpPr>
          <xdr:spPr>
            <a:xfrm>
              <a:off x="576262" y="6566535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2" name="TextBox 1"/>
            <xdr:cNvSpPr txBox="1"/>
          </xdr:nvSpPr>
          <xdr:spPr>
            <a:xfrm>
              <a:off x="576262" y="6566535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mn-lt"/>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7</xdr:col>
      <xdr:colOff>47625</xdr:colOff>
      <xdr:row>486</xdr:row>
      <xdr:rowOff>28575</xdr:rowOff>
    </xdr:from>
    <xdr:ext cx="225253" cy="168829"/>
    <mc:AlternateContent xmlns:mc="http://schemas.openxmlformats.org/markup-compatibility/2006" xmlns:a14="http://schemas.microsoft.com/office/drawing/2010/main">
      <mc:Choice Requires="a14">
        <xdr:sp macro="" textlink="">
          <xdr:nvSpPr>
            <xdr:cNvPr id="58" name="TextBox 57"/>
            <xdr:cNvSpPr txBox="1"/>
          </xdr:nvSpPr>
          <xdr:spPr>
            <a:xfrm>
              <a:off x="1314450" y="6566535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58" name="TextBox 57"/>
            <xdr:cNvSpPr txBox="1"/>
          </xdr:nvSpPr>
          <xdr:spPr>
            <a:xfrm>
              <a:off x="1314450" y="6566535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mn-lt"/>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3</xdr:col>
      <xdr:colOff>19050</xdr:colOff>
      <xdr:row>433</xdr:row>
      <xdr:rowOff>28575</xdr:rowOff>
    </xdr:from>
    <xdr:ext cx="225253" cy="168829"/>
    <mc:AlternateContent xmlns:mc="http://schemas.openxmlformats.org/markup-compatibility/2006" xmlns:a14="http://schemas.microsoft.com/office/drawing/2010/main">
      <mc:Choice Requires="a14">
        <xdr:sp macro="" textlink="">
          <xdr:nvSpPr>
            <xdr:cNvPr id="59" name="TextBox 58"/>
            <xdr:cNvSpPr txBox="1"/>
          </xdr:nvSpPr>
          <xdr:spPr>
            <a:xfrm>
              <a:off x="561975" y="797147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59" name="TextBox 58"/>
            <xdr:cNvSpPr txBox="1"/>
          </xdr:nvSpPr>
          <xdr:spPr>
            <a:xfrm>
              <a:off x="561975" y="797147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7</xdr:col>
      <xdr:colOff>47625</xdr:colOff>
      <xdr:row>433</xdr:row>
      <xdr:rowOff>28575</xdr:rowOff>
    </xdr:from>
    <xdr:ext cx="225253" cy="168829"/>
    <mc:AlternateContent xmlns:mc="http://schemas.openxmlformats.org/markup-compatibility/2006" xmlns:a14="http://schemas.microsoft.com/office/drawing/2010/main">
      <mc:Choice Requires="a14">
        <xdr:sp macro="" textlink="">
          <xdr:nvSpPr>
            <xdr:cNvPr id="60" name="TextBox 59"/>
            <xdr:cNvSpPr txBox="1"/>
          </xdr:nvSpPr>
          <xdr:spPr>
            <a:xfrm>
              <a:off x="1314450" y="5554027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60" name="TextBox 59"/>
            <xdr:cNvSpPr txBox="1"/>
          </xdr:nvSpPr>
          <xdr:spPr>
            <a:xfrm>
              <a:off x="1314450" y="5554027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mn-lt"/>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8</xdr:col>
      <xdr:colOff>104775</xdr:colOff>
      <xdr:row>398</xdr:row>
      <xdr:rowOff>9525</xdr:rowOff>
    </xdr:from>
    <xdr:ext cx="343492" cy="168829"/>
    <mc:AlternateContent xmlns:mc="http://schemas.openxmlformats.org/markup-compatibility/2006" xmlns:a14="http://schemas.microsoft.com/office/drawing/2010/main">
      <mc:Choice Requires="a14">
        <xdr:sp macro="" textlink="">
          <xdr:nvSpPr>
            <xdr:cNvPr id="61" name="TextBox 60"/>
            <xdr:cNvSpPr txBox="1"/>
          </xdr:nvSpPr>
          <xdr:spPr>
            <a:xfrm>
              <a:off x="1552575" y="48301275"/>
              <a:ext cx="343492"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61" name="TextBox 60"/>
            <xdr:cNvSpPr txBox="1"/>
          </xdr:nvSpPr>
          <xdr:spPr>
            <a:xfrm>
              <a:off x="1552575" y="48301275"/>
              <a:ext cx="343492"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mn-lt"/>
                </a:rPr>
                <a:t>mm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8</xdr:col>
      <xdr:colOff>104775</xdr:colOff>
      <xdr:row>535</xdr:row>
      <xdr:rowOff>9525</xdr:rowOff>
    </xdr:from>
    <xdr:ext cx="343492" cy="168829"/>
    <mc:AlternateContent xmlns:mc="http://schemas.openxmlformats.org/markup-compatibility/2006" xmlns:a14="http://schemas.microsoft.com/office/drawing/2010/main">
      <mc:Choice Requires="a14">
        <xdr:sp macro="" textlink="">
          <xdr:nvSpPr>
            <xdr:cNvPr id="68" name="TextBox 67"/>
            <xdr:cNvSpPr txBox="1"/>
          </xdr:nvSpPr>
          <xdr:spPr>
            <a:xfrm>
              <a:off x="1552575" y="48139350"/>
              <a:ext cx="343492"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68" name="TextBox 67"/>
            <xdr:cNvSpPr txBox="1"/>
          </xdr:nvSpPr>
          <xdr:spPr>
            <a:xfrm>
              <a:off x="1552575" y="48139350"/>
              <a:ext cx="343492"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0" i="0">
                  <a:latin typeface="+mn-lt"/>
                </a:rPr>
                <a:t>mm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2</xdr:col>
      <xdr:colOff>19050</xdr:colOff>
      <xdr:row>531</xdr:row>
      <xdr:rowOff>19050</xdr:rowOff>
    </xdr:from>
    <xdr:ext cx="631904" cy="150362"/>
    <mc:AlternateContent xmlns:mc="http://schemas.openxmlformats.org/markup-compatibility/2006" xmlns:a14="http://schemas.microsoft.com/office/drawing/2010/main">
      <mc:Choice Requires="a14">
        <xdr:sp macro="" textlink="">
          <xdr:nvSpPr>
            <xdr:cNvPr id="71" name="TextBox 70"/>
            <xdr:cNvSpPr txBox="1"/>
          </xdr:nvSpPr>
          <xdr:spPr>
            <a:xfrm>
              <a:off x="381000" y="86353650"/>
              <a:ext cx="631904"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𝑠𝑎</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71" name="TextBox 70"/>
            <xdr:cNvSpPr txBox="1"/>
          </xdr:nvSpPr>
          <xdr:spPr>
            <a:xfrm>
              <a:off x="381000" y="86353650"/>
              <a:ext cx="631904"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0</xdr:colOff>
      <xdr:row>529</xdr:row>
      <xdr:rowOff>0</xdr:rowOff>
    </xdr:from>
    <xdr:ext cx="983539" cy="160685"/>
    <mc:AlternateContent xmlns:mc="http://schemas.openxmlformats.org/markup-compatibility/2006" xmlns:a14="http://schemas.microsoft.com/office/drawing/2010/main">
      <mc:Choice Requires="a14">
        <xdr:sp macro="" textlink="">
          <xdr:nvSpPr>
            <xdr:cNvPr id="72" name="TextBox 71"/>
            <xdr:cNvSpPr txBox="1"/>
          </xdr:nvSpPr>
          <xdr:spPr>
            <a:xfrm>
              <a:off x="361950" y="98764725"/>
              <a:ext cx="983539"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𝑠𝑎</m:t>
                        </m:r>
                      </m:sub>
                    </m:sSub>
                    <m:r>
                      <a:rPr lang="es-CO" sz="1000" b="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𝑛</m:t>
                        </m:r>
                        <m:r>
                          <a:rPr lang="es-CO" sz="1000" b="0" i="1">
                            <a:solidFill>
                              <a:schemeClr val="tx1"/>
                            </a:solidFill>
                            <a:effectLst/>
                            <a:latin typeface="Cambria Math" panose="02040503050406030204" pitchFamily="18" charset="0"/>
                            <a:ea typeface="+mn-ea"/>
                            <a:cs typeface="+mn-cs"/>
                          </a:rPr>
                          <m:t> </m:t>
                        </m:r>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𝑠𝑒</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r>
                      <a:rPr lang="es-CO" sz="1000" b="0" i="1">
                        <a:solidFill>
                          <a:schemeClr val="tx1"/>
                        </a:solidFill>
                        <a:effectLst/>
                        <a:latin typeface="Cambria Math" panose="02040503050406030204" pitchFamily="18" charset="0"/>
                        <a:ea typeface="+mn-ea"/>
                        <a:cs typeface="+mn-cs"/>
                      </a:rPr>
                      <m:t> </m:t>
                    </m:r>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𝑓</m:t>
                        </m:r>
                      </m:e>
                      <m:sub>
                        <m:r>
                          <a:rPr lang="es-CO" sz="1000" b="0" i="1">
                            <a:solidFill>
                              <a:schemeClr val="tx1"/>
                            </a:solidFill>
                            <a:effectLst/>
                            <a:latin typeface="Cambria Math" panose="02040503050406030204" pitchFamily="18" charset="0"/>
                            <a:ea typeface="+mn-ea"/>
                            <a:cs typeface="+mn-cs"/>
                          </a:rPr>
                          <m:t>𝑢𝑡𝑎</m:t>
                        </m:r>
                      </m:sub>
                    </m:sSub>
                  </m:oMath>
                </m:oMathPara>
              </a14:m>
              <a:endParaRPr lang="es-ES" sz="1000"/>
            </a:p>
          </xdr:txBody>
        </xdr:sp>
      </mc:Choice>
      <mc:Fallback xmlns="">
        <xdr:sp macro="" textlink="">
          <xdr:nvSpPr>
            <xdr:cNvPr id="72" name="TextBox 71"/>
            <xdr:cNvSpPr txBox="1"/>
          </xdr:nvSpPr>
          <xdr:spPr>
            <a:xfrm>
              <a:off x="361950" y="98764725"/>
              <a:ext cx="983539"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a:t>
              </a:r>
              <a:r>
                <a:rPr lang="es-CO" sz="1000" b="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𝑛 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𝑠𝑒,𝑉</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  𝑓_𝑢𝑡𝑎</a:t>
              </a:r>
              <a:endParaRPr lang="es-ES" sz="1000"/>
            </a:p>
          </xdr:txBody>
        </xdr:sp>
      </mc:Fallback>
    </mc:AlternateContent>
    <xdr:clientData/>
  </xdr:oneCellAnchor>
  <xdr:oneCellAnchor>
    <xdr:from>
      <xdr:col>2</xdr:col>
      <xdr:colOff>19050</xdr:colOff>
      <xdr:row>552</xdr:row>
      <xdr:rowOff>19050</xdr:rowOff>
    </xdr:from>
    <xdr:ext cx="1234056" cy="345800"/>
    <mc:AlternateContent xmlns:mc="http://schemas.openxmlformats.org/markup-compatibility/2006" xmlns:a14="http://schemas.microsoft.com/office/drawing/2010/main">
      <mc:Choice Requires="a14">
        <xdr:sp macro="" textlink="">
          <xdr:nvSpPr>
            <xdr:cNvPr id="73" name="TextBox 72"/>
            <xdr:cNvSpPr txBox="1"/>
          </xdr:nvSpPr>
          <xdr:spPr>
            <a:xfrm>
              <a:off x="381000" y="90287475"/>
              <a:ext cx="1234056"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𝑀</m:t>
                        </m:r>
                      </m:e>
                      <m:sub>
                        <m:r>
                          <a:rPr lang="es-CO" sz="1000" b="0" i="1">
                            <a:solidFill>
                              <a:schemeClr val="tx1"/>
                            </a:solidFill>
                            <a:effectLst/>
                            <a:latin typeface="Cambria Math" panose="02040503050406030204" pitchFamily="18" charset="0"/>
                            <a:ea typeface="+mn-ea"/>
                            <a:cs typeface="+mn-cs"/>
                          </a:rPr>
                          <m:t>𝑠</m:t>
                        </m:r>
                      </m:sub>
                    </m:sSub>
                    <m:r>
                      <a:rPr lang="es-CO" sz="1000" b="0" i="1">
                        <a:solidFill>
                          <a:schemeClr val="tx1"/>
                        </a:solidFill>
                        <a:effectLst/>
                        <a:latin typeface="Cambria Math" panose="02040503050406030204" pitchFamily="18" charset="0"/>
                        <a:ea typeface="+mn-ea"/>
                        <a:cs typeface="+mn-cs"/>
                      </a:rPr>
                      <m:t>=</m:t>
                    </m:r>
                    <m:sSubSup>
                      <m:sSubSupPr>
                        <m:ctrlPr>
                          <a:rPr lang="es-CO" sz="1000" b="0" i="1">
                            <a:solidFill>
                              <a:schemeClr val="tx1"/>
                            </a:solidFill>
                            <a:effectLst/>
                            <a:latin typeface="Cambria Math" panose="02040503050406030204" pitchFamily="18" charset="0"/>
                            <a:ea typeface="+mn-ea"/>
                            <a:cs typeface="+mn-cs"/>
                          </a:rPr>
                        </m:ctrlPr>
                      </m:sSubSupPr>
                      <m:e>
                        <m:r>
                          <a:rPr lang="es-CO" sz="1000" b="0" i="1">
                            <a:solidFill>
                              <a:schemeClr val="tx1"/>
                            </a:solidFill>
                            <a:effectLst/>
                            <a:latin typeface="Cambria Math" panose="02040503050406030204" pitchFamily="18" charset="0"/>
                            <a:ea typeface="+mn-ea"/>
                            <a:cs typeface="+mn-cs"/>
                          </a:rPr>
                          <m:t>𝑀</m:t>
                        </m:r>
                      </m:e>
                      <m:sub>
                        <m:r>
                          <a:rPr lang="es-CO" sz="1000" b="0" i="1">
                            <a:solidFill>
                              <a:schemeClr val="tx1"/>
                            </a:solidFill>
                            <a:effectLst/>
                            <a:latin typeface="Cambria Math" panose="02040503050406030204" pitchFamily="18" charset="0"/>
                            <a:ea typeface="+mn-ea"/>
                            <a:cs typeface="+mn-cs"/>
                          </a:rPr>
                          <m:t>𝑠</m:t>
                        </m:r>
                      </m:sub>
                      <m:sup>
                        <m:r>
                          <a:rPr lang="es-CO" sz="1000" b="0" i="1">
                            <a:solidFill>
                              <a:schemeClr val="tx1"/>
                            </a:solidFill>
                            <a:effectLst/>
                            <a:latin typeface="Cambria Math" panose="02040503050406030204" pitchFamily="18" charset="0"/>
                            <a:ea typeface="+mn-ea"/>
                            <a:cs typeface="+mn-cs"/>
                          </a:rPr>
                          <m:t>0</m:t>
                        </m:r>
                      </m:sup>
                    </m:sSubSup>
                    <m:r>
                      <a:rPr lang="es-CO" sz="1000" b="0" i="1">
                        <a:solidFill>
                          <a:schemeClr val="tx1"/>
                        </a:solidFill>
                        <a:effectLst/>
                        <a:latin typeface="Cambria Math" panose="02040503050406030204" pitchFamily="18" charset="0"/>
                        <a:ea typeface="+mn-ea"/>
                        <a:cs typeface="+mn-cs"/>
                      </a:rPr>
                      <m:t> </m:t>
                    </m:r>
                    <m:d>
                      <m:dPr>
                        <m:ctrlPr>
                          <a:rPr lang="es-CO" sz="1000" b="0" i="1">
                            <a:solidFill>
                              <a:schemeClr val="tx1"/>
                            </a:solidFill>
                            <a:effectLst/>
                            <a:latin typeface="Cambria Math" panose="02040503050406030204" pitchFamily="18" charset="0"/>
                            <a:ea typeface="+mn-ea"/>
                            <a:cs typeface="+mn-cs"/>
                          </a:rPr>
                        </m:ctrlPr>
                      </m:dPr>
                      <m:e>
                        <m:r>
                          <a:rPr lang="es-CO" sz="1000" b="0" i="1">
                            <a:solidFill>
                              <a:schemeClr val="tx1"/>
                            </a:solidFill>
                            <a:effectLst/>
                            <a:latin typeface="Cambria Math" panose="02040503050406030204" pitchFamily="18" charset="0"/>
                            <a:ea typeface="+mn-ea"/>
                            <a:cs typeface="+mn-cs"/>
                          </a:rPr>
                          <m:t>1−</m:t>
                        </m:r>
                        <m:f>
                          <m:fPr>
                            <m:ctrlPr>
                              <a:rPr lang="es-CO" sz="1000" b="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num>
                          <m:den>
                            <m:r>
                              <a:rPr lang="es-CO" sz="1000" i="1">
                                <a:solidFill>
                                  <a:schemeClr val="tx1"/>
                                </a:solidFill>
                                <a:effectLst/>
                                <a:latin typeface="Cambria Math" panose="02040503050406030204" pitchFamily="18" charset="0"/>
                                <a:ea typeface="+mn-ea"/>
                                <a:cs typeface="+mn-cs"/>
                              </a:rPr>
                              <m:t>𝜙</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𝑠𝑎</m:t>
                                </m:r>
                              </m:sub>
                            </m:sSub>
                          </m:den>
                        </m:f>
                      </m:e>
                    </m:d>
                  </m:oMath>
                </m:oMathPara>
              </a14:m>
              <a:endParaRPr lang="es-ES" sz="1000"/>
            </a:p>
          </xdr:txBody>
        </xdr:sp>
      </mc:Choice>
      <mc:Fallback xmlns="">
        <xdr:sp macro="" textlink="">
          <xdr:nvSpPr>
            <xdr:cNvPr id="73" name="TextBox 72"/>
            <xdr:cNvSpPr txBox="1"/>
          </xdr:nvSpPr>
          <xdr:spPr>
            <a:xfrm>
              <a:off x="381000" y="90287475"/>
              <a:ext cx="1234056"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𝑀_𝑠=𝑀_𝑠^0  (1−𝑁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r>
                <a:rPr lang="es-CO"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𝜙</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 </a:t>
              </a:r>
              <a:r>
                <a:rPr lang="es-CO" sz="1000" b="0" i="0">
                  <a:solidFill>
                    <a:schemeClr val="tx1"/>
                  </a:solidFill>
                  <a:effectLst/>
                  <a:latin typeface="Cambria Math" panose="02040503050406030204" pitchFamily="18" charset="0"/>
                  <a:ea typeface="+mn-ea"/>
                  <a:cs typeface="+mn-cs"/>
                </a:rPr>
                <a:t>))</a:t>
              </a:r>
              <a:endParaRPr lang="es-ES" sz="1000"/>
            </a:p>
          </xdr:txBody>
        </xdr:sp>
      </mc:Fallback>
    </mc:AlternateContent>
    <xdr:clientData/>
  </xdr:oneCellAnchor>
  <xdr:oneCellAnchor>
    <xdr:from>
      <xdr:col>2</xdr:col>
      <xdr:colOff>19050</xdr:colOff>
      <xdr:row>551</xdr:row>
      <xdr:rowOff>19050</xdr:rowOff>
    </xdr:from>
    <xdr:ext cx="729302" cy="314125"/>
    <mc:AlternateContent xmlns:mc="http://schemas.openxmlformats.org/markup-compatibility/2006" xmlns:a14="http://schemas.microsoft.com/office/drawing/2010/main">
      <mc:Choice Requires="a14">
        <xdr:sp macro="" textlink="">
          <xdr:nvSpPr>
            <xdr:cNvPr id="74" name="TextBox 73"/>
            <xdr:cNvSpPr txBox="1"/>
          </xdr:nvSpPr>
          <xdr:spPr>
            <a:xfrm>
              <a:off x="381000" y="89916000"/>
              <a:ext cx="729302" cy="314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CO" sz="1000" b="0" i="1">
                            <a:solidFill>
                              <a:schemeClr val="tx1"/>
                            </a:solidFill>
                            <a:effectLst/>
                            <a:latin typeface="Cambria Math" panose="02040503050406030204" pitchFamily="18" charset="0"/>
                            <a:ea typeface="+mn-ea"/>
                            <a:cs typeface="+mn-cs"/>
                          </a:rPr>
                        </m:ctrlPr>
                      </m:sSubSupPr>
                      <m:e>
                        <m:r>
                          <a:rPr lang="es-CO" sz="1000" b="0" i="1">
                            <a:solidFill>
                              <a:schemeClr val="tx1"/>
                            </a:solidFill>
                            <a:effectLst/>
                            <a:latin typeface="Cambria Math" panose="02040503050406030204" pitchFamily="18" charset="0"/>
                            <a:ea typeface="+mn-ea"/>
                            <a:cs typeface="+mn-cs"/>
                          </a:rPr>
                          <m:t>𝑉</m:t>
                        </m:r>
                      </m:e>
                      <m:sub>
                        <m:r>
                          <a:rPr lang="es-CO" sz="1000" b="0" i="1">
                            <a:solidFill>
                              <a:schemeClr val="tx1"/>
                            </a:solidFill>
                            <a:effectLst/>
                            <a:latin typeface="Cambria Math" panose="02040503050406030204" pitchFamily="18" charset="0"/>
                            <a:ea typeface="+mn-ea"/>
                            <a:cs typeface="+mn-cs"/>
                          </a:rPr>
                          <m:t>𝑠</m:t>
                        </m:r>
                      </m:sub>
                      <m:sup>
                        <m:r>
                          <a:rPr lang="es-CO" sz="1000" b="0" i="1">
                            <a:solidFill>
                              <a:schemeClr val="tx1"/>
                            </a:solidFill>
                            <a:effectLst/>
                            <a:latin typeface="Cambria Math" panose="02040503050406030204" pitchFamily="18" charset="0"/>
                            <a:ea typeface="+mn-ea"/>
                            <a:cs typeface="+mn-cs"/>
                          </a:rPr>
                          <m:t>𝑀</m:t>
                        </m:r>
                      </m:sup>
                    </m:sSubSup>
                    <m:r>
                      <a:rPr lang="es-CO" sz="1000" b="0" i="1">
                        <a:solidFill>
                          <a:schemeClr val="tx1"/>
                        </a:solidFill>
                        <a:effectLst/>
                        <a:latin typeface="Cambria Math" panose="02040503050406030204" pitchFamily="18" charset="0"/>
                        <a:ea typeface="+mn-ea"/>
                        <a:cs typeface="+mn-cs"/>
                      </a:rPr>
                      <m:t>=</m:t>
                    </m:r>
                    <m:f>
                      <m:fPr>
                        <m:ctrlPr>
                          <a:rPr lang="es-CO" sz="1000" b="0" i="1">
                            <a:solidFill>
                              <a:schemeClr val="tx1"/>
                            </a:solidFill>
                            <a:effectLst/>
                            <a:latin typeface="Cambria Math" panose="02040503050406030204" pitchFamily="18" charset="0"/>
                            <a:ea typeface="+mn-ea"/>
                            <a:cs typeface="+mn-cs"/>
                          </a:rPr>
                        </m:ctrlPr>
                      </m:fPr>
                      <m:num>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Cambria Math" panose="02040503050406030204" pitchFamily="18" charset="0"/>
                                <a:cs typeface="+mn-cs"/>
                              </a:rPr>
                              <m:t>𝛼</m:t>
                            </m:r>
                          </m:e>
                          <m:sub>
                            <m:r>
                              <a:rPr lang="es-CO" sz="1000" b="0" i="1">
                                <a:solidFill>
                                  <a:schemeClr val="tx1"/>
                                </a:solidFill>
                                <a:effectLst/>
                                <a:latin typeface="Cambria Math" panose="02040503050406030204" pitchFamily="18" charset="0"/>
                                <a:ea typeface="+mn-ea"/>
                                <a:cs typeface="+mn-cs"/>
                              </a:rPr>
                              <m:t>𝑀</m:t>
                            </m:r>
                          </m:sub>
                        </m:sSub>
                        <m:r>
                          <a:rPr lang="es-CO" sz="1000" b="0" i="1">
                            <a:solidFill>
                              <a:schemeClr val="tx1"/>
                            </a:solidFill>
                            <a:effectLst/>
                            <a:latin typeface="Cambria Math" panose="02040503050406030204" pitchFamily="18" charset="0"/>
                            <a:ea typeface="+mn-ea"/>
                            <a:cs typeface="+mn-cs"/>
                          </a:rPr>
                          <m:t> </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𝑀</m:t>
                            </m:r>
                          </m:e>
                          <m:sub>
                            <m:r>
                              <a:rPr lang="es-CO" sz="1000" b="0" i="1">
                                <a:solidFill>
                                  <a:schemeClr val="tx1"/>
                                </a:solidFill>
                                <a:effectLst/>
                                <a:latin typeface="Cambria Math" panose="02040503050406030204" pitchFamily="18" charset="0"/>
                                <a:ea typeface="+mn-ea"/>
                                <a:cs typeface="+mn-cs"/>
                              </a:rPr>
                              <m:t>𝑠</m:t>
                            </m:r>
                          </m:sub>
                        </m:sSub>
                      </m:num>
                      <m:den>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𝐿</m:t>
                            </m:r>
                          </m:e>
                          <m:sub>
                            <m:r>
                              <a:rPr lang="es-CO" sz="1000" b="0" i="1">
                                <a:solidFill>
                                  <a:schemeClr val="tx1"/>
                                </a:solidFill>
                                <a:effectLst/>
                                <a:latin typeface="Cambria Math" panose="02040503050406030204" pitchFamily="18" charset="0"/>
                                <a:ea typeface="+mn-ea"/>
                                <a:cs typeface="+mn-cs"/>
                              </a:rPr>
                              <m:t>𝑏</m:t>
                            </m:r>
                          </m:sub>
                        </m:sSub>
                      </m:den>
                    </m:f>
                  </m:oMath>
                </m:oMathPara>
              </a14:m>
              <a:endParaRPr lang="es-ES" sz="1000"/>
            </a:p>
          </xdr:txBody>
        </xdr:sp>
      </mc:Choice>
      <mc:Fallback xmlns="">
        <xdr:sp macro="" textlink="">
          <xdr:nvSpPr>
            <xdr:cNvPr id="74" name="TextBox 73"/>
            <xdr:cNvSpPr txBox="1"/>
          </xdr:nvSpPr>
          <xdr:spPr>
            <a:xfrm>
              <a:off x="381000" y="89916000"/>
              <a:ext cx="729302" cy="314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𝑉_𝑠^𝑀=(</a:t>
              </a:r>
              <a:r>
                <a:rPr lang="es-CO" sz="1000" b="0" i="0">
                  <a:solidFill>
                    <a:schemeClr val="tx1"/>
                  </a:solidFill>
                  <a:effectLst/>
                  <a:latin typeface="Cambria Math" panose="02040503050406030204" pitchFamily="18" charset="0"/>
                  <a:ea typeface="Cambria Math" panose="02040503050406030204" pitchFamily="18" charset="0"/>
                  <a:cs typeface="+mn-cs"/>
                </a:rPr>
                <a:t>𝛼</a:t>
              </a:r>
              <a:r>
                <a:rPr lang="es-CO" sz="1000" b="0" i="0">
                  <a:solidFill>
                    <a:schemeClr val="tx1"/>
                  </a:solidFill>
                  <a:effectLst/>
                  <a:latin typeface="Cambria Math" panose="02040503050406030204" pitchFamily="18" charset="0"/>
                  <a:ea typeface="+mn-ea"/>
                  <a:cs typeface="+mn-cs"/>
                </a:rPr>
                <a:t>_𝑀  𝑀_𝑠)/𝐿_𝑏 </a:t>
              </a:r>
              <a:endParaRPr lang="es-ES" sz="1000"/>
            </a:p>
          </xdr:txBody>
        </xdr:sp>
      </mc:Fallback>
    </mc:AlternateContent>
    <xdr:clientData/>
  </xdr:oneCellAnchor>
  <xdr:oneCellAnchor>
    <xdr:from>
      <xdr:col>2</xdr:col>
      <xdr:colOff>19050</xdr:colOff>
      <xdr:row>553</xdr:row>
      <xdr:rowOff>19050</xdr:rowOff>
    </xdr:from>
    <xdr:ext cx="1046184" cy="163699"/>
    <mc:AlternateContent xmlns:mc="http://schemas.openxmlformats.org/markup-compatibility/2006" xmlns:a14="http://schemas.microsoft.com/office/drawing/2010/main">
      <mc:Choice Requires="a14">
        <xdr:sp macro="" textlink="">
          <xdr:nvSpPr>
            <xdr:cNvPr id="75" name="TextBox 74"/>
            <xdr:cNvSpPr txBox="1"/>
          </xdr:nvSpPr>
          <xdr:spPr>
            <a:xfrm>
              <a:off x="381000" y="90697050"/>
              <a:ext cx="1046184" cy="163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CO" sz="1000" b="0" i="1">
                            <a:solidFill>
                              <a:schemeClr val="tx1"/>
                            </a:solidFill>
                            <a:effectLst/>
                            <a:latin typeface="Cambria Math" panose="02040503050406030204" pitchFamily="18" charset="0"/>
                            <a:ea typeface="+mn-ea"/>
                            <a:cs typeface="+mn-cs"/>
                          </a:rPr>
                        </m:ctrlPr>
                      </m:sSubSupPr>
                      <m:e>
                        <m:r>
                          <a:rPr lang="es-CO" sz="1000" b="0" i="1">
                            <a:solidFill>
                              <a:schemeClr val="tx1"/>
                            </a:solidFill>
                            <a:effectLst/>
                            <a:latin typeface="Cambria Math" panose="02040503050406030204" pitchFamily="18" charset="0"/>
                            <a:ea typeface="+mn-ea"/>
                            <a:cs typeface="+mn-cs"/>
                          </a:rPr>
                          <m:t>𝑀</m:t>
                        </m:r>
                      </m:e>
                      <m:sub>
                        <m:r>
                          <a:rPr lang="es-CO" sz="1000" b="0" i="1">
                            <a:solidFill>
                              <a:schemeClr val="tx1"/>
                            </a:solidFill>
                            <a:effectLst/>
                            <a:latin typeface="Cambria Math" panose="02040503050406030204" pitchFamily="18" charset="0"/>
                            <a:ea typeface="+mn-ea"/>
                            <a:cs typeface="+mn-cs"/>
                          </a:rPr>
                          <m:t>𝑠</m:t>
                        </m:r>
                      </m:sub>
                      <m:sup>
                        <m:r>
                          <a:rPr lang="es-CO" sz="1000" b="0" i="1">
                            <a:solidFill>
                              <a:schemeClr val="tx1"/>
                            </a:solidFill>
                            <a:effectLst/>
                            <a:latin typeface="Cambria Math" panose="02040503050406030204" pitchFamily="18" charset="0"/>
                            <a:ea typeface="+mn-ea"/>
                            <a:cs typeface="+mn-cs"/>
                          </a:rPr>
                          <m:t>0</m:t>
                        </m:r>
                      </m:sup>
                    </m:sSubSup>
                    <m:r>
                      <a:rPr lang="es-CO" sz="1000" b="0" i="1">
                        <a:solidFill>
                          <a:schemeClr val="tx1"/>
                        </a:solidFill>
                        <a:effectLst/>
                        <a:latin typeface="Cambria Math" panose="02040503050406030204" pitchFamily="18" charset="0"/>
                        <a:ea typeface="+mn-ea"/>
                        <a:cs typeface="+mn-cs"/>
                      </a:rPr>
                      <m:t>=1,2  </m:t>
                    </m:r>
                    <m:r>
                      <a:rPr lang="es-CO" sz="1000" b="0" i="1">
                        <a:solidFill>
                          <a:schemeClr val="tx1"/>
                        </a:solidFill>
                        <a:effectLst/>
                        <a:latin typeface="Cambria Math" panose="02040503050406030204" pitchFamily="18" charset="0"/>
                        <a:ea typeface="+mn-ea"/>
                        <a:cs typeface="+mn-cs"/>
                      </a:rPr>
                      <m:t>𝑆</m:t>
                    </m:r>
                    <m:r>
                      <a:rPr lang="es-CO" sz="1000" b="0" i="1">
                        <a:solidFill>
                          <a:schemeClr val="tx1"/>
                        </a:solidFill>
                        <a:effectLst/>
                        <a:latin typeface="Cambria Math" panose="02040503050406030204" pitchFamily="18" charset="0"/>
                        <a:ea typeface="+mn-ea"/>
                        <a:cs typeface="+mn-cs"/>
                      </a:rPr>
                      <m:t>  </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𝑓</m:t>
                        </m:r>
                      </m:e>
                      <m:sub>
                        <m:r>
                          <a:rPr lang="es-CO" sz="1000" i="1">
                            <a:solidFill>
                              <a:schemeClr val="tx1"/>
                            </a:solidFill>
                            <a:effectLst/>
                            <a:latin typeface="Cambria Math" panose="02040503050406030204" pitchFamily="18" charset="0"/>
                            <a:ea typeface="+mn-ea"/>
                            <a:cs typeface="+mn-cs"/>
                          </a:rPr>
                          <m:t>𝑢</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oMath>
                </m:oMathPara>
              </a14:m>
              <a:endParaRPr lang="es-ES" sz="1000"/>
            </a:p>
          </xdr:txBody>
        </xdr:sp>
      </mc:Choice>
      <mc:Fallback xmlns="">
        <xdr:sp macro="" textlink="">
          <xdr:nvSpPr>
            <xdr:cNvPr id="75" name="TextBox 74"/>
            <xdr:cNvSpPr txBox="1"/>
          </xdr:nvSpPr>
          <xdr:spPr>
            <a:xfrm>
              <a:off x="381000" y="90697050"/>
              <a:ext cx="1046184" cy="163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𝑀_𝑠^0=1,2  𝑆  𝑓</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a:t>
              </a:r>
              <a:r>
                <a:rPr lang="es-CO" sz="1000" b="0" i="0">
                  <a:solidFill>
                    <a:schemeClr val="tx1"/>
                  </a:solidFill>
                  <a:effectLst/>
                  <a:latin typeface="Cambria Math" panose="02040503050406030204" pitchFamily="18" charset="0"/>
                  <a:ea typeface="+mn-ea"/>
                  <a:cs typeface="+mn-cs"/>
                </a:rPr>
                <a:t>,𝑚𝑖𝑛</a:t>
              </a:r>
              <a:r>
                <a:rPr lang="es-ES" sz="1000" b="0" i="0">
                  <a:solidFill>
                    <a:schemeClr val="tx1"/>
                  </a:solidFill>
                  <a:effectLst/>
                  <a:latin typeface="Cambria Math" panose="02040503050406030204" pitchFamily="18" charset="0"/>
                  <a:ea typeface="+mn-ea"/>
                  <a:cs typeface="+mn-cs"/>
                </a:rPr>
                <a:t>)</a:t>
              </a:r>
              <a:endParaRPr lang="es-ES" sz="1000"/>
            </a:p>
          </xdr:txBody>
        </xdr:sp>
      </mc:Fallback>
    </mc:AlternateContent>
    <xdr:clientData/>
  </xdr:oneCellAnchor>
  <xdr:oneCellAnchor>
    <xdr:from>
      <xdr:col>2</xdr:col>
      <xdr:colOff>19050</xdr:colOff>
      <xdr:row>554</xdr:row>
      <xdr:rowOff>19050</xdr:rowOff>
    </xdr:from>
    <xdr:ext cx="691471" cy="345800"/>
    <mc:AlternateContent xmlns:mc="http://schemas.openxmlformats.org/markup-compatibility/2006" xmlns:a14="http://schemas.microsoft.com/office/drawing/2010/main">
      <mc:Choice Requires="a14">
        <xdr:sp macro="" textlink="">
          <xdr:nvSpPr>
            <xdr:cNvPr id="76" name="TextBox 75"/>
            <xdr:cNvSpPr txBox="1"/>
          </xdr:nvSpPr>
          <xdr:spPr>
            <a:xfrm>
              <a:off x="381000" y="90916125"/>
              <a:ext cx="691471"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CO" sz="1000" b="0" i="1">
                            <a:solidFill>
                              <a:schemeClr val="tx1"/>
                            </a:solidFill>
                            <a:effectLst/>
                            <a:latin typeface="Cambria Math" panose="02040503050406030204" pitchFamily="18" charset="0"/>
                            <a:ea typeface="+mn-ea"/>
                            <a:cs typeface="+mn-cs"/>
                          </a:rPr>
                        </m:ctrlPr>
                      </m:dPr>
                      <m:e>
                        <m:r>
                          <a:rPr lang="es-CO" sz="1000" b="0" i="1">
                            <a:solidFill>
                              <a:schemeClr val="tx1"/>
                            </a:solidFill>
                            <a:effectLst/>
                            <a:latin typeface="Cambria Math" panose="02040503050406030204" pitchFamily="18" charset="0"/>
                            <a:ea typeface="+mn-ea"/>
                            <a:cs typeface="+mn-cs"/>
                          </a:rPr>
                          <m:t>1−</m:t>
                        </m:r>
                        <m:f>
                          <m:fPr>
                            <m:ctrlPr>
                              <a:rPr lang="es-CO" sz="1000" b="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num>
                          <m:den>
                            <m:r>
                              <a:rPr lang="es-CO" sz="1000" i="1">
                                <a:solidFill>
                                  <a:schemeClr val="tx1"/>
                                </a:solidFill>
                                <a:effectLst/>
                                <a:latin typeface="Cambria Math" panose="02040503050406030204" pitchFamily="18" charset="0"/>
                                <a:ea typeface="+mn-ea"/>
                                <a:cs typeface="+mn-cs"/>
                              </a:rPr>
                              <m:t>𝜙</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𝑠𝑎</m:t>
                                </m:r>
                              </m:sub>
                            </m:sSub>
                          </m:den>
                        </m:f>
                      </m:e>
                    </m:d>
                  </m:oMath>
                </m:oMathPara>
              </a14:m>
              <a:endParaRPr lang="es-ES" sz="1000"/>
            </a:p>
          </xdr:txBody>
        </xdr:sp>
      </mc:Choice>
      <mc:Fallback xmlns="">
        <xdr:sp macro="" textlink="">
          <xdr:nvSpPr>
            <xdr:cNvPr id="76" name="TextBox 75"/>
            <xdr:cNvSpPr txBox="1"/>
          </xdr:nvSpPr>
          <xdr:spPr>
            <a:xfrm>
              <a:off x="381000" y="90916125"/>
              <a:ext cx="691471"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(1−𝑁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r>
                <a:rPr lang="es-CO"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𝜙</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 </a:t>
              </a:r>
              <a:r>
                <a:rPr lang="es-CO" sz="1000" b="0" i="0">
                  <a:solidFill>
                    <a:schemeClr val="tx1"/>
                  </a:solidFill>
                  <a:effectLst/>
                  <a:latin typeface="Cambria Math" panose="02040503050406030204" pitchFamily="18" charset="0"/>
                  <a:ea typeface="+mn-ea"/>
                  <a:cs typeface="+mn-cs"/>
                </a:rPr>
                <a:t>))</a:t>
              </a:r>
              <a:endParaRPr lang="es-ES" sz="1000"/>
            </a:p>
          </xdr:txBody>
        </xdr:sp>
      </mc:Fallback>
    </mc:AlternateContent>
    <xdr:clientData/>
  </xdr:oneCellAnchor>
  <xdr:oneCellAnchor>
    <xdr:from>
      <xdr:col>2</xdr:col>
      <xdr:colOff>19050</xdr:colOff>
      <xdr:row>555</xdr:row>
      <xdr:rowOff>19050</xdr:rowOff>
    </xdr:from>
    <xdr:ext cx="624465" cy="308739"/>
    <mc:AlternateContent xmlns:mc="http://schemas.openxmlformats.org/markup-compatibility/2006" xmlns:a14="http://schemas.microsoft.com/office/drawing/2010/main">
      <mc:Choice Requires="a14">
        <xdr:sp macro="" textlink="">
          <xdr:nvSpPr>
            <xdr:cNvPr id="77" name="TextBox 76"/>
            <xdr:cNvSpPr txBox="1"/>
          </xdr:nvSpPr>
          <xdr:spPr>
            <a:xfrm>
              <a:off x="381000" y="91325700"/>
              <a:ext cx="624465" cy="3087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CO" sz="1000" b="0" i="1">
                        <a:solidFill>
                          <a:schemeClr val="tx1"/>
                        </a:solidFill>
                        <a:effectLst/>
                        <a:latin typeface="Cambria Math" panose="02040503050406030204" pitchFamily="18" charset="0"/>
                        <a:ea typeface="+mn-ea"/>
                        <a:cs typeface="+mn-cs"/>
                      </a:rPr>
                      <m:t>𝑆</m:t>
                    </m:r>
                    <m:r>
                      <a:rPr lang="es-CO" sz="1000" b="0" i="1">
                        <a:solidFill>
                          <a:schemeClr val="tx1"/>
                        </a:solidFill>
                        <a:effectLst/>
                        <a:latin typeface="Cambria Math" panose="02040503050406030204" pitchFamily="18" charset="0"/>
                        <a:ea typeface="+mn-ea"/>
                        <a:cs typeface="+mn-cs"/>
                      </a:rPr>
                      <m:t>=</m:t>
                    </m:r>
                    <m:f>
                      <m:fPr>
                        <m:ctrlPr>
                          <a:rPr lang="es-CO" sz="1000" b="0" i="1">
                            <a:solidFill>
                              <a:schemeClr val="tx1"/>
                            </a:solidFill>
                            <a:effectLst/>
                            <a:latin typeface="Cambria Math" panose="02040503050406030204" pitchFamily="18" charset="0"/>
                            <a:ea typeface="+mn-ea"/>
                            <a:cs typeface="+mn-cs"/>
                          </a:rPr>
                        </m:ctrlPr>
                      </m:fPr>
                      <m:num>
                        <m:r>
                          <a:rPr lang="es-CO" sz="1000" b="0" i="1">
                            <a:solidFill>
                              <a:schemeClr val="tx1"/>
                            </a:solidFill>
                            <a:effectLst/>
                            <a:latin typeface="Cambria Math" panose="02040503050406030204" pitchFamily="18" charset="0"/>
                            <a:ea typeface="Cambria Math" panose="02040503050406030204" pitchFamily="18" charset="0"/>
                            <a:cs typeface="+mn-cs"/>
                          </a:rPr>
                          <m:t>𝜋</m:t>
                        </m:r>
                        <m:r>
                          <a:rPr lang="es-CO" sz="1000" b="0" i="1">
                            <a:solidFill>
                              <a:schemeClr val="tx1"/>
                            </a:solidFill>
                            <a:effectLst/>
                            <a:latin typeface="Cambria Math" panose="02040503050406030204" pitchFamily="18" charset="0"/>
                            <a:ea typeface="Cambria Math" panose="02040503050406030204" pitchFamily="18" charset="0"/>
                            <a:cs typeface="+mn-cs"/>
                          </a:rPr>
                          <m:t> </m:t>
                        </m:r>
                        <m:sSup>
                          <m:sSupPr>
                            <m:ctrlPr>
                              <a:rPr lang="es-CO" sz="10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s-CO" sz="1000" b="0" i="1">
                                    <a:solidFill>
                                      <a:schemeClr val="tx1"/>
                                    </a:solidFill>
                                    <a:effectLst/>
                                    <a:latin typeface="Cambria Math" panose="02040503050406030204" pitchFamily="18" charset="0"/>
                                    <a:ea typeface="Cambria Math" panose="02040503050406030204" pitchFamily="18" charset="0"/>
                                    <a:cs typeface="+mn-cs"/>
                                  </a:rPr>
                                </m:ctrlPr>
                              </m:dPr>
                              <m:e>
                                <m:r>
                                  <a:rPr lang="es-CO" sz="1000" b="0" i="1">
                                    <a:solidFill>
                                      <a:schemeClr val="tx1"/>
                                    </a:solidFill>
                                    <a:effectLst/>
                                    <a:latin typeface="Cambria Math" panose="02040503050406030204" pitchFamily="18" charset="0"/>
                                    <a:ea typeface="Cambria Math" panose="02040503050406030204" pitchFamily="18" charset="0"/>
                                    <a:cs typeface="+mn-cs"/>
                                  </a:rPr>
                                  <m:t>𝑑</m:t>
                                </m:r>
                              </m:e>
                            </m:d>
                          </m:e>
                          <m:sup>
                            <m:r>
                              <a:rPr lang="es-CO" sz="1000" b="0" i="1">
                                <a:solidFill>
                                  <a:schemeClr val="tx1"/>
                                </a:solidFill>
                                <a:effectLst/>
                                <a:latin typeface="Cambria Math" panose="02040503050406030204" pitchFamily="18" charset="0"/>
                                <a:ea typeface="Cambria Math" panose="02040503050406030204" pitchFamily="18" charset="0"/>
                                <a:cs typeface="+mn-cs"/>
                              </a:rPr>
                              <m:t>3</m:t>
                            </m:r>
                          </m:sup>
                        </m:sSup>
                      </m:num>
                      <m:den>
                        <m:r>
                          <a:rPr lang="es-CO" sz="1000" b="0" i="1">
                            <a:solidFill>
                              <a:schemeClr val="tx1"/>
                            </a:solidFill>
                            <a:effectLst/>
                            <a:latin typeface="Cambria Math" panose="02040503050406030204" pitchFamily="18" charset="0"/>
                            <a:ea typeface="+mn-ea"/>
                            <a:cs typeface="+mn-cs"/>
                          </a:rPr>
                          <m:t>32</m:t>
                        </m:r>
                      </m:den>
                    </m:f>
                  </m:oMath>
                </m:oMathPara>
              </a14:m>
              <a:endParaRPr lang="es-ES" sz="1000"/>
            </a:p>
          </xdr:txBody>
        </xdr:sp>
      </mc:Choice>
      <mc:Fallback xmlns="">
        <xdr:sp macro="" textlink="">
          <xdr:nvSpPr>
            <xdr:cNvPr id="77" name="TextBox 76"/>
            <xdr:cNvSpPr txBox="1"/>
          </xdr:nvSpPr>
          <xdr:spPr>
            <a:xfrm>
              <a:off x="381000" y="91325700"/>
              <a:ext cx="624465" cy="3087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𝑆=(</a:t>
              </a:r>
              <a:r>
                <a:rPr lang="es-CO" sz="1000" b="0" i="0">
                  <a:solidFill>
                    <a:schemeClr val="tx1"/>
                  </a:solidFill>
                  <a:effectLst/>
                  <a:latin typeface="Cambria Math" panose="02040503050406030204" pitchFamily="18" charset="0"/>
                  <a:ea typeface="Cambria Math" panose="02040503050406030204" pitchFamily="18" charset="0"/>
                  <a:cs typeface="+mn-cs"/>
                </a:rPr>
                <a:t>𝜋 (𝑑)^3</a:t>
              </a:r>
              <a:r>
                <a:rPr lang="es-CO" sz="1000" b="0" i="0">
                  <a:solidFill>
                    <a:schemeClr val="tx1"/>
                  </a:solidFill>
                  <a:effectLst/>
                  <a:latin typeface="Cambria Math" panose="02040503050406030204" pitchFamily="18" charset="0"/>
                  <a:ea typeface="+mn-ea"/>
                  <a:cs typeface="+mn-cs"/>
                </a:rPr>
                <a:t>)/32</a:t>
              </a:r>
              <a:endParaRPr lang="es-ES" sz="1000"/>
            </a:p>
          </xdr:txBody>
        </xdr:sp>
      </mc:Fallback>
    </mc:AlternateContent>
    <xdr:clientData/>
  </xdr:oneCellAnchor>
  <xdr:oneCellAnchor>
    <xdr:from>
      <xdr:col>2</xdr:col>
      <xdr:colOff>19050</xdr:colOff>
      <xdr:row>556</xdr:row>
      <xdr:rowOff>19050</xdr:rowOff>
    </xdr:from>
    <xdr:ext cx="789447" cy="150362"/>
    <mc:AlternateContent xmlns:mc="http://schemas.openxmlformats.org/markup-compatibility/2006" xmlns:a14="http://schemas.microsoft.com/office/drawing/2010/main">
      <mc:Choice Requires="a14">
        <xdr:sp macro="" textlink="">
          <xdr:nvSpPr>
            <xdr:cNvPr id="78" name="TextBox 77"/>
            <xdr:cNvSpPr txBox="1"/>
          </xdr:nvSpPr>
          <xdr:spPr>
            <a:xfrm>
              <a:off x="381000" y="91697175"/>
              <a:ext cx="789447"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𝐿</m:t>
                        </m:r>
                      </m:e>
                      <m:sub>
                        <m:r>
                          <a:rPr lang="es-CO" sz="1000" b="0" i="1">
                            <a:solidFill>
                              <a:schemeClr val="tx1"/>
                            </a:solidFill>
                            <a:effectLst/>
                            <a:latin typeface="Cambria Math" panose="02040503050406030204" pitchFamily="18" charset="0"/>
                            <a:ea typeface="+mn-ea"/>
                            <a:cs typeface="+mn-cs"/>
                          </a:rPr>
                          <m:t>𝑏</m:t>
                        </m:r>
                      </m:sub>
                    </m:sSub>
                    <m:r>
                      <a:rPr lang="es-CO" sz="1000" b="0" i="1">
                        <a:solidFill>
                          <a:schemeClr val="tx1"/>
                        </a:solidFill>
                        <a:effectLst/>
                        <a:latin typeface="Cambria Math" panose="02040503050406030204" pitchFamily="18" charset="0"/>
                        <a:ea typeface="+mn-ea"/>
                        <a:cs typeface="+mn-cs"/>
                      </a:rPr>
                      <m:t>=</m:t>
                    </m:r>
                    <m:r>
                      <a:rPr lang="es-CO" sz="1000" i="1">
                        <a:solidFill>
                          <a:schemeClr val="tx1"/>
                        </a:solidFill>
                        <a:effectLst/>
                        <a:latin typeface="Cambria Math" panose="02040503050406030204" pitchFamily="18" charset="0"/>
                        <a:ea typeface="+mn-ea"/>
                        <a:cs typeface="+mn-cs"/>
                      </a:rPr>
                      <m:t>𝑧</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𝑛</m:t>
                    </m:r>
                    <m:r>
                      <a:rPr lang="es-CO" sz="1000" b="0" i="1">
                        <a:solidFill>
                          <a:schemeClr val="tx1"/>
                        </a:solidFill>
                        <a:effectLst/>
                        <a:latin typeface="Cambria Math" panose="02040503050406030204" pitchFamily="18" charset="0"/>
                        <a:ea typeface="+mn-ea"/>
                        <a:cs typeface="+mn-cs"/>
                      </a:rPr>
                      <m:t> </m:t>
                    </m:r>
                    <m:sSub>
                      <m:sSubPr>
                        <m:ctrlPr>
                          <a:rPr lang="es-CO" sz="1000" b="0" i="1">
                            <a:solidFill>
                              <a:schemeClr val="tx1"/>
                            </a:solidFill>
                            <a:effectLst/>
                            <a:latin typeface="Cambria Math" panose="02040503050406030204" pitchFamily="18" charset="0"/>
                            <a:ea typeface="Cambria Math" panose="02040503050406030204" pitchFamily="18" charset="0"/>
                            <a:cs typeface="+mn-cs"/>
                          </a:rPr>
                        </m:ctrlPr>
                      </m:sSubPr>
                      <m:e>
                        <m:r>
                          <a:rPr lang="es-CO" sz="1000" b="0" i="1">
                            <a:solidFill>
                              <a:schemeClr val="tx1"/>
                            </a:solidFill>
                            <a:effectLst/>
                            <a:latin typeface="Cambria Math" panose="02040503050406030204" pitchFamily="18" charset="0"/>
                            <a:ea typeface="Cambria Math" panose="02040503050406030204" pitchFamily="18" charset="0"/>
                            <a:cs typeface="+mn-cs"/>
                          </a:rPr>
                          <m:t>𝑑</m:t>
                        </m:r>
                      </m:e>
                      <m:sub>
                        <m:r>
                          <a:rPr lang="es-CO" sz="1000" b="0" i="1">
                            <a:solidFill>
                              <a:schemeClr val="tx1"/>
                            </a:solidFill>
                            <a:effectLst/>
                            <a:latin typeface="Cambria Math" panose="02040503050406030204" pitchFamily="18" charset="0"/>
                            <a:ea typeface="Cambria Math" panose="02040503050406030204" pitchFamily="18" charset="0"/>
                            <a:cs typeface="+mn-cs"/>
                          </a:rPr>
                          <m:t>0</m:t>
                        </m:r>
                      </m:sub>
                    </m:sSub>
                  </m:oMath>
                </m:oMathPara>
              </a14:m>
              <a:endParaRPr lang="es-ES" sz="1000"/>
            </a:p>
          </xdr:txBody>
        </xdr:sp>
      </mc:Choice>
      <mc:Fallback xmlns="">
        <xdr:sp macro="" textlink="">
          <xdr:nvSpPr>
            <xdr:cNvPr id="78" name="TextBox 77"/>
            <xdr:cNvSpPr txBox="1"/>
          </xdr:nvSpPr>
          <xdr:spPr>
            <a:xfrm>
              <a:off x="381000" y="91697175"/>
              <a:ext cx="789447"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𝐿_𝑏=</a:t>
              </a:r>
              <a:r>
                <a:rPr lang="es-CO" sz="1000" i="0">
                  <a:solidFill>
                    <a:schemeClr val="tx1"/>
                  </a:solidFill>
                  <a:effectLst/>
                  <a:latin typeface="Cambria Math" panose="02040503050406030204" pitchFamily="18" charset="0"/>
                  <a:ea typeface="+mn-ea"/>
                  <a:cs typeface="+mn-cs"/>
                </a:rPr>
                <a:t>𝑧</a:t>
              </a:r>
              <a:r>
                <a:rPr lang="es-CO" sz="1000" b="0" i="0">
                  <a:solidFill>
                    <a:schemeClr val="tx1"/>
                  </a:solidFill>
                  <a:effectLst/>
                  <a:latin typeface="Cambria Math" panose="02040503050406030204" pitchFamily="18" charset="0"/>
                  <a:ea typeface="+mn-ea"/>
                  <a:cs typeface="+mn-cs"/>
                </a:rPr>
                <a:t>+𝑛 </a:t>
              </a:r>
              <a:r>
                <a:rPr lang="es-CO" sz="1000" b="0" i="0">
                  <a:solidFill>
                    <a:schemeClr val="tx1"/>
                  </a:solidFill>
                  <a:effectLst/>
                  <a:latin typeface="Cambria Math" panose="02040503050406030204" pitchFamily="18" charset="0"/>
                  <a:ea typeface="Cambria Math" panose="02040503050406030204" pitchFamily="18" charset="0"/>
                  <a:cs typeface="+mn-cs"/>
                </a:rPr>
                <a:t>𝑑_0</a:t>
              </a:r>
              <a:endParaRPr lang="es-ES" sz="1000"/>
            </a:p>
          </xdr:txBody>
        </xdr:sp>
      </mc:Fallback>
    </mc:AlternateContent>
    <xdr:clientData/>
  </xdr:oneCellAnchor>
  <xdr:oneCellAnchor>
    <xdr:from>
      <xdr:col>2</xdr:col>
      <xdr:colOff>19050</xdr:colOff>
      <xdr:row>557</xdr:row>
      <xdr:rowOff>19050</xdr:rowOff>
    </xdr:from>
    <xdr:ext cx="647677" cy="153504"/>
    <mc:AlternateContent xmlns:mc="http://schemas.openxmlformats.org/markup-compatibility/2006" xmlns:a14="http://schemas.microsoft.com/office/drawing/2010/main">
      <mc:Choice Requires="a14">
        <xdr:sp macro="" textlink="">
          <xdr:nvSpPr>
            <xdr:cNvPr id="79" name="TextBox 78"/>
            <xdr:cNvSpPr txBox="1"/>
          </xdr:nvSpPr>
          <xdr:spPr>
            <a:xfrm>
              <a:off x="381000" y="91887675"/>
              <a:ext cx="647677" cy="153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Sup>
                      <m:sSubSupPr>
                        <m:ctrlPr>
                          <a:rPr lang="es-CO" sz="1000" i="1">
                            <a:solidFill>
                              <a:schemeClr val="tx1"/>
                            </a:solidFill>
                            <a:effectLst/>
                            <a:latin typeface="Cambria Math" panose="02040503050406030204" pitchFamily="18" charset="0"/>
                            <a:ea typeface="+mn-ea"/>
                            <a:cs typeface="+mn-cs"/>
                          </a:rPr>
                        </m:ctrlPr>
                      </m:sSubSupPr>
                      <m:e>
                        <m:r>
                          <a:rPr lang="es-CO" sz="1000" b="0" i="1">
                            <a:solidFill>
                              <a:schemeClr val="tx1"/>
                            </a:solidFill>
                            <a:effectLst/>
                            <a:latin typeface="Cambria Math" panose="02040503050406030204" pitchFamily="18" charset="0"/>
                            <a:ea typeface="+mn-ea"/>
                            <a:cs typeface="+mn-cs"/>
                          </a:rPr>
                          <m:t>𝑉</m:t>
                        </m:r>
                      </m:e>
                      <m:sub>
                        <m:r>
                          <a:rPr lang="es-CO" sz="1000" b="0" i="1">
                            <a:solidFill>
                              <a:schemeClr val="tx1"/>
                            </a:solidFill>
                            <a:effectLst/>
                            <a:latin typeface="Cambria Math" panose="02040503050406030204" pitchFamily="18" charset="0"/>
                            <a:ea typeface="+mn-ea"/>
                            <a:cs typeface="+mn-cs"/>
                          </a:rPr>
                          <m:t>𝑠</m:t>
                        </m:r>
                      </m:sub>
                      <m:sup>
                        <m:r>
                          <a:rPr lang="es-CO" sz="1000" b="0" i="1">
                            <a:solidFill>
                              <a:schemeClr val="tx1"/>
                            </a:solidFill>
                            <a:effectLst/>
                            <a:latin typeface="Cambria Math" panose="02040503050406030204" pitchFamily="18" charset="0"/>
                            <a:ea typeface="+mn-ea"/>
                            <a:cs typeface="+mn-cs"/>
                          </a:rPr>
                          <m:t>𝑀</m:t>
                        </m:r>
                      </m:sup>
                    </m:sSubSup>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79" name="TextBox 78"/>
            <xdr:cNvSpPr txBox="1"/>
          </xdr:nvSpPr>
          <xdr:spPr>
            <a:xfrm>
              <a:off x="381000" y="91887675"/>
              <a:ext cx="647677" cy="153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𝑉_𝑠^𝑀</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1</xdr:col>
      <xdr:colOff>152400</xdr:colOff>
      <xdr:row>565</xdr:row>
      <xdr:rowOff>171450</xdr:rowOff>
    </xdr:from>
    <xdr:ext cx="223459" cy="183768"/>
    <mc:AlternateContent xmlns:mc="http://schemas.openxmlformats.org/markup-compatibility/2006" xmlns:a14="http://schemas.microsoft.com/office/drawing/2010/main">
      <mc:Choice Requires="a14">
        <xdr:sp macro="" textlink="">
          <xdr:nvSpPr>
            <xdr:cNvPr id="80" name="TextBox 79"/>
            <xdr:cNvSpPr txBox="1"/>
          </xdr:nvSpPr>
          <xdr:spPr>
            <a:xfrm>
              <a:off x="333375" y="88811100"/>
              <a:ext cx="223459" cy="183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CO" sz="1100" b="0" i="1">
                            <a:solidFill>
                              <a:schemeClr val="tx1"/>
                            </a:solidFill>
                            <a:effectLst/>
                            <a:latin typeface="Cambria Math" panose="02040503050406030204" pitchFamily="18" charset="0"/>
                            <a:ea typeface="+mn-ea"/>
                            <a:cs typeface="+mn-cs"/>
                          </a:rPr>
                        </m:ctrlPr>
                      </m:sSubSupPr>
                      <m:e>
                        <m:r>
                          <a:rPr lang="es-CO" sz="1100" b="1" i="0">
                            <a:solidFill>
                              <a:schemeClr val="tx1"/>
                            </a:solidFill>
                            <a:effectLst/>
                            <a:latin typeface="Cambria Math" panose="02040503050406030204" pitchFamily="18" charset="0"/>
                            <a:ea typeface="+mn-ea"/>
                            <a:cs typeface="+mn-cs"/>
                          </a:rPr>
                          <m:t>𝐌</m:t>
                        </m:r>
                      </m:e>
                      <m:sub>
                        <m:r>
                          <a:rPr lang="es-CO" sz="1100" b="0" i="1">
                            <a:solidFill>
                              <a:schemeClr val="tx1"/>
                            </a:solidFill>
                            <a:effectLst/>
                            <a:latin typeface="Cambria Math" panose="02040503050406030204" pitchFamily="18" charset="0"/>
                            <a:ea typeface="+mn-ea"/>
                            <a:cs typeface="+mn-cs"/>
                          </a:rPr>
                          <m:t>𝑠</m:t>
                        </m:r>
                      </m:sub>
                      <m:sup>
                        <m:r>
                          <a:rPr lang="es-CO" sz="1100" b="0" i="1">
                            <a:solidFill>
                              <a:schemeClr val="tx1"/>
                            </a:solidFill>
                            <a:effectLst/>
                            <a:latin typeface="Cambria Math" panose="02040503050406030204" pitchFamily="18" charset="0"/>
                            <a:ea typeface="+mn-ea"/>
                            <a:cs typeface="+mn-cs"/>
                          </a:rPr>
                          <m:t>0</m:t>
                        </m:r>
                      </m:sup>
                    </m:sSubSup>
                  </m:oMath>
                </m:oMathPara>
              </a14:m>
              <a:endParaRPr lang="es-ES" sz="1100">
                <a:latin typeface="+mn-lt"/>
              </a:endParaRPr>
            </a:p>
          </xdr:txBody>
        </xdr:sp>
      </mc:Choice>
      <mc:Fallback xmlns="">
        <xdr:sp macro="" textlink="">
          <xdr:nvSpPr>
            <xdr:cNvPr id="80" name="TextBox 79"/>
            <xdr:cNvSpPr txBox="1"/>
          </xdr:nvSpPr>
          <xdr:spPr>
            <a:xfrm>
              <a:off x="333375" y="88811100"/>
              <a:ext cx="223459" cy="183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1" i="0">
                  <a:solidFill>
                    <a:schemeClr val="tx1"/>
                  </a:solidFill>
                  <a:effectLst/>
                  <a:latin typeface="+mn-lt"/>
                  <a:ea typeface="+mn-ea"/>
                  <a:cs typeface="+mn-cs"/>
                </a:rPr>
                <a:t>𝐌</a:t>
              </a:r>
              <a:r>
                <a:rPr lang="es-CO" sz="1100" b="0" i="0">
                  <a:solidFill>
                    <a:schemeClr val="tx1"/>
                  </a:solidFill>
                  <a:effectLst/>
                  <a:latin typeface="+mn-lt"/>
                  <a:ea typeface="+mn-ea"/>
                  <a:cs typeface="+mn-cs"/>
                </a:rPr>
                <a:t>_𝑠^0</a:t>
              </a:r>
              <a:endParaRPr lang="es-ES" sz="1100">
                <a:latin typeface="+mn-lt"/>
              </a:endParaRPr>
            </a:p>
          </xdr:txBody>
        </xdr:sp>
      </mc:Fallback>
    </mc:AlternateContent>
    <xdr:clientData/>
  </xdr:oneCellAnchor>
  <xdr:oneCellAnchor>
    <xdr:from>
      <xdr:col>7</xdr:col>
      <xdr:colOff>0</xdr:colOff>
      <xdr:row>565</xdr:row>
      <xdr:rowOff>66675</xdr:rowOff>
    </xdr:from>
    <xdr:ext cx="551177" cy="276614"/>
    <mc:AlternateContent xmlns:mc="http://schemas.openxmlformats.org/markup-compatibility/2006" xmlns:a14="http://schemas.microsoft.com/office/drawing/2010/main">
      <mc:Choice Requires="a14">
        <xdr:sp macro="" textlink="">
          <xdr:nvSpPr>
            <xdr:cNvPr id="81" name="TextBox 80"/>
            <xdr:cNvSpPr txBox="1"/>
          </xdr:nvSpPr>
          <xdr:spPr>
            <a:xfrm>
              <a:off x="1266825" y="88706325"/>
              <a:ext cx="551177" cy="27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CO" sz="800" b="0" i="1">
                            <a:solidFill>
                              <a:schemeClr val="tx1"/>
                            </a:solidFill>
                            <a:effectLst/>
                            <a:latin typeface="Cambria Math" panose="02040503050406030204" pitchFamily="18" charset="0"/>
                            <a:ea typeface="+mn-ea"/>
                            <a:cs typeface="+mn-cs"/>
                          </a:rPr>
                        </m:ctrlPr>
                      </m:dPr>
                      <m:e>
                        <m:r>
                          <a:rPr lang="es-CO" sz="800" b="0" i="1">
                            <a:solidFill>
                              <a:schemeClr val="tx1"/>
                            </a:solidFill>
                            <a:effectLst/>
                            <a:latin typeface="Cambria Math" panose="02040503050406030204" pitchFamily="18" charset="0"/>
                            <a:ea typeface="+mn-ea"/>
                            <a:cs typeface="+mn-cs"/>
                          </a:rPr>
                          <m:t>1−</m:t>
                        </m:r>
                        <m:f>
                          <m:fPr>
                            <m:ctrlPr>
                              <a:rPr lang="es-CO" sz="800" b="0" i="1">
                                <a:solidFill>
                                  <a:schemeClr val="tx1"/>
                                </a:solidFill>
                                <a:effectLst/>
                                <a:latin typeface="Cambria Math" panose="02040503050406030204" pitchFamily="18" charset="0"/>
                                <a:ea typeface="+mn-ea"/>
                                <a:cs typeface="+mn-cs"/>
                              </a:rPr>
                            </m:ctrlPr>
                          </m:fPr>
                          <m:num>
                            <m:sSub>
                              <m:sSubPr>
                                <m:ctrlPr>
                                  <a:rPr lang="es-ES" sz="800" i="1">
                                    <a:solidFill>
                                      <a:schemeClr val="tx1"/>
                                    </a:solidFill>
                                    <a:effectLst/>
                                    <a:latin typeface="Cambria Math" panose="02040503050406030204" pitchFamily="18" charset="0"/>
                                    <a:ea typeface="+mn-ea"/>
                                    <a:cs typeface="+mn-cs"/>
                                  </a:rPr>
                                </m:ctrlPr>
                              </m:sSubPr>
                              <m:e>
                                <m:r>
                                  <a:rPr lang="es-CO" sz="800" b="0" i="1">
                                    <a:solidFill>
                                      <a:schemeClr val="tx1"/>
                                    </a:solidFill>
                                    <a:effectLst/>
                                    <a:latin typeface="Cambria Math" panose="02040503050406030204" pitchFamily="18" charset="0"/>
                                    <a:ea typeface="+mn-ea"/>
                                    <a:cs typeface="+mn-cs"/>
                                  </a:rPr>
                                  <m:t>𝑁</m:t>
                                </m:r>
                              </m:e>
                              <m:sub>
                                <m:r>
                                  <a:rPr lang="es-CO" sz="800" i="1">
                                    <a:solidFill>
                                      <a:schemeClr val="tx1"/>
                                    </a:solidFill>
                                    <a:effectLst/>
                                    <a:latin typeface="Cambria Math" panose="02040503050406030204" pitchFamily="18" charset="0"/>
                                    <a:ea typeface="+mn-ea"/>
                                    <a:cs typeface="+mn-cs"/>
                                  </a:rPr>
                                  <m:t>𝑢𝑎</m:t>
                                </m:r>
                              </m:sub>
                            </m:sSub>
                          </m:num>
                          <m:den>
                            <m:r>
                              <a:rPr lang="es-CO" sz="800" i="1">
                                <a:solidFill>
                                  <a:schemeClr val="tx1"/>
                                </a:solidFill>
                                <a:effectLst/>
                                <a:latin typeface="Cambria Math" panose="02040503050406030204" pitchFamily="18" charset="0"/>
                                <a:ea typeface="+mn-ea"/>
                                <a:cs typeface="+mn-cs"/>
                              </a:rPr>
                              <m:t>𝜙</m:t>
                            </m:r>
                            <m:sSub>
                              <m:sSubPr>
                                <m:ctrlPr>
                                  <a:rPr lang="es-ES" sz="800" i="1">
                                    <a:solidFill>
                                      <a:schemeClr val="tx1"/>
                                    </a:solidFill>
                                    <a:effectLst/>
                                    <a:latin typeface="Cambria Math" panose="02040503050406030204" pitchFamily="18" charset="0"/>
                                    <a:ea typeface="+mn-ea"/>
                                    <a:cs typeface="+mn-cs"/>
                                  </a:rPr>
                                </m:ctrlPr>
                              </m:sSubPr>
                              <m:e>
                                <m:r>
                                  <a:rPr lang="es-CO" sz="800" b="0" i="1">
                                    <a:solidFill>
                                      <a:schemeClr val="tx1"/>
                                    </a:solidFill>
                                    <a:effectLst/>
                                    <a:latin typeface="Cambria Math" panose="02040503050406030204" pitchFamily="18" charset="0"/>
                                    <a:ea typeface="+mn-ea"/>
                                    <a:cs typeface="+mn-cs"/>
                                  </a:rPr>
                                  <m:t>𝑁</m:t>
                                </m:r>
                              </m:e>
                              <m:sub>
                                <m:r>
                                  <a:rPr lang="es-CO" sz="800" i="1">
                                    <a:solidFill>
                                      <a:schemeClr val="tx1"/>
                                    </a:solidFill>
                                    <a:effectLst/>
                                    <a:latin typeface="Cambria Math" panose="02040503050406030204" pitchFamily="18" charset="0"/>
                                    <a:ea typeface="+mn-ea"/>
                                    <a:cs typeface="+mn-cs"/>
                                  </a:rPr>
                                  <m:t>𝑠𝑎</m:t>
                                </m:r>
                              </m:sub>
                            </m:sSub>
                          </m:den>
                        </m:f>
                      </m:e>
                    </m:d>
                  </m:oMath>
                </m:oMathPara>
              </a14:m>
              <a:endParaRPr lang="es-ES" sz="800"/>
            </a:p>
          </xdr:txBody>
        </xdr:sp>
      </mc:Choice>
      <mc:Fallback xmlns="">
        <xdr:sp macro="" textlink="">
          <xdr:nvSpPr>
            <xdr:cNvPr id="81" name="TextBox 80"/>
            <xdr:cNvSpPr txBox="1"/>
          </xdr:nvSpPr>
          <xdr:spPr>
            <a:xfrm>
              <a:off x="1266825" y="88706325"/>
              <a:ext cx="551177" cy="27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800" b="0" i="0">
                  <a:solidFill>
                    <a:schemeClr val="tx1"/>
                  </a:solidFill>
                  <a:effectLst/>
                  <a:latin typeface="+mn-lt"/>
                  <a:ea typeface="+mn-ea"/>
                  <a:cs typeface="+mn-cs"/>
                </a:rPr>
                <a:t>(1−𝑁</a:t>
              </a:r>
              <a:r>
                <a:rPr lang="es-ES" sz="800" b="0" i="0">
                  <a:solidFill>
                    <a:schemeClr val="tx1"/>
                  </a:solidFill>
                  <a:effectLst/>
                  <a:latin typeface="+mn-lt"/>
                  <a:ea typeface="+mn-ea"/>
                  <a:cs typeface="+mn-cs"/>
                </a:rPr>
                <a:t>_</a:t>
              </a:r>
              <a:r>
                <a:rPr lang="es-CO" sz="800" i="0">
                  <a:solidFill>
                    <a:schemeClr val="tx1"/>
                  </a:solidFill>
                  <a:effectLst/>
                  <a:latin typeface="+mn-lt"/>
                  <a:ea typeface="+mn-ea"/>
                  <a:cs typeface="+mn-cs"/>
                </a:rPr>
                <a:t>𝑢𝑎</a:t>
              </a:r>
              <a:r>
                <a:rPr lang="es-CO" sz="800" b="0" i="0">
                  <a:solidFill>
                    <a:schemeClr val="tx1"/>
                  </a:solidFill>
                  <a:effectLst/>
                  <a:latin typeface="+mn-lt"/>
                  <a:ea typeface="+mn-ea"/>
                  <a:cs typeface="+mn-cs"/>
                </a:rPr>
                <a:t>/(</a:t>
              </a:r>
              <a:r>
                <a:rPr lang="es-CO" sz="800" i="0">
                  <a:solidFill>
                    <a:schemeClr val="tx1"/>
                  </a:solidFill>
                  <a:effectLst/>
                  <a:latin typeface="+mn-lt"/>
                  <a:ea typeface="+mn-ea"/>
                  <a:cs typeface="+mn-cs"/>
                </a:rPr>
                <a:t>𝜙</a:t>
              </a:r>
              <a:r>
                <a:rPr lang="es-CO" sz="800" b="0" i="0">
                  <a:solidFill>
                    <a:schemeClr val="tx1"/>
                  </a:solidFill>
                  <a:effectLst/>
                  <a:latin typeface="+mn-lt"/>
                  <a:ea typeface="+mn-ea"/>
                  <a:cs typeface="+mn-cs"/>
                </a:rPr>
                <a:t>𝑁</a:t>
              </a:r>
              <a:r>
                <a:rPr lang="es-ES" sz="800" b="0" i="0">
                  <a:solidFill>
                    <a:schemeClr val="tx1"/>
                  </a:solidFill>
                  <a:effectLst/>
                  <a:latin typeface="+mn-lt"/>
                  <a:ea typeface="+mn-ea"/>
                  <a:cs typeface="+mn-cs"/>
                </a:rPr>
                <a:t>_</a:t>
              </a:r>
              <a:r>
                <a:rPr lang="es-CO" sz="800" i="0">
                  <a:solidFill>
                    <a:schemeClr val="tx1"/>
                  </a:solidFill>
                  <a:effectLst/>
                  <a:latin typeface="+mn-lt"/>
                  <a:ea typeface="+mn-ea"/>
                  <a:cs typeface="+mn-cs"/>
                </a:rPr>
                <a:t>𝑠𝑎 </a:t>
              </a:r>
              <a:r>
                <a:rPr lang="es-CO" sz="800" b="0" i="0">
                  <a:solidFill>
                    <a:schemeClr val="tx1"/>
                  </a:solidFill>
                  <a:effectLst/>
                  <a:latin typeface="+mn-lt"/>
                  <a:ea typeface="+mn-ea"/>
                  <a:cs typeface="+mn-cs"/>
                </a:rPr>
                <a:t>))</a:t>
              </a:r>
              <a:endParaRPr lang="es-ES" sz="800"/>
            </a:p>
          </xdr:txBody>
        </xdr:sp>
      </mc:Fallback>
    </mc:AlternateContent>
    <xdr:clientData/>
  </xdr:oneCellAnchor>
  <xdr:oneCellAnchor>
    <xdr:from>
      <xdr:col>2</xdr:col>
      <xdr:colOff>0</xdr:colOff>
      <xdr:row>571</xdr:row>
      <xdr:rowOff>9525</xdr:rowOff>
    </xdr:from>
    <xdr:ext cx="229294" cy="179536"/>
    <mc:AlternateContent xmlns:mc="http://schemas.openxmlformats.org/markup-compatibility/2006" xmlns:a14="http://schemas.microsoft.com/office/drawing/2010/main">
      <mc:Choice Requires="a14">
        <xdr:sp macro="" textlink="">
          <xdr:nvSpPr>
            <xdr:cNvPr id="82" name="TextBox 81"/>
            <xdr:cNvSpPr txBox="1"/>
          </xdr:nvSpPr>
          <xdr:spPr>
            <a:xfrm>
              <a:off x="361950" y="89735025"/>
              <a:ext cx="229294" cy="179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CO" sz="1100" i="1">
                            <a:solidFill>
                              <a:schemeClr val="tx1"/>
                            </a:solidFill>
                            <a:effectLst/>
                            <a:latin typeface="Cambria Math" panose="02040503050406030204" pitchFamily="18" charset="0"/>
                            <a:ea typeface="+mn-ea"/>
                            <a:cs typeface="+mn-cs"/>
                          </a:rPr>
                        </m:ctrlPr>
                      </m:sSubSupPr>
                      <m:e>
                        <m:r>
                          <a:rPr lang="es-CO" sz="1100" b="1" i="0">
                            <a:solidFill>
                              <a:schemeClr val="tx1"/>
                            </a:solidFill>
                            <a:effectLst/>
                            <a:latin typeface="Cambria Math" panose="02040503050406030204" pitchFamily="18" charset="0"/>
                            <a:ea typeface="+mn-ea"/>
                            <a:cs typeface="+mn-cs"/>
                          </a:rPr>
                          <m:t>𝐕</m:t>
                        </m:r>
                      </m:e>
                      <m:sub>
                        <m:r>
                          <a:rPr lang="es-CO" sz="1100" b="0" i="1">
                            <a:solidFill>
                              <a:schemeClr val="tx1"/>
                            </a:solidFill>
                            <a:effectLst/>
                            <a:latin typeface="Cambria Math" panose="02040503050406030204" pitchFamily="18" charset="0"/>
                            <a:ea typeface="+mn-ea"/>
                            <a:cs typeface="+mn-cs"/>
                          </a:rPr>
                          <m:t>𝑠</m:t>
                        </m:r>
                      </m:sub>
                      <m:sup>
                        <m:r>
                          <a:rPr lang="es-CO" sz="1100" b="0" i="1">
                            <a:solidFill>
                              <a:schemeClr val="tx1"/>
                            </a:solidFill>
                            <a:effectLst/>
                            <a:latin typeface="Cambria Math" panose="02040503050406030204" pitchFamily="18" charset="0"/>
                            <a:ea typeface="+mn-ea"/>
                            <a:cs typeface="+mn-cs"/>
                          </a:rPr>
                          <m:t>𝑀</m:t>
                        </m:r>
                      </m:sup>
                    </m:sSubSup>
                  </m:oMath>
                </m:oMathPara>
              </a14:m>
              <a:endParaRPr lang="es-ES" sz="1100"/>
            </a:p>
          </xdr:txBody>
        </xdr:sp>
      </mc:Choice>
      <mc:Fallback xmlns="">
        <xdr:sp macro="" textlink="">
          <xdr:nvSpPr>
            <xdr:cNvPr id="82" name="TextBox 81"/>
            <xdr:cNvSpPr txBox="1"/>
          </xdr:nvSpPr>
          <xdr:spPr>
            <a:xfrm>
              <a:off x="361950" y="89735025"/>
              <a:ext cx="229294" cy="179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1" i="0">
                  <a:solidFill>
                    <a:schemeClr val="tx1"/>
                  </a:solidFill>
                  <a:effectLst/>
                  <a:latin typeface="+mn-lt"/>
                  <a:ea typeface="+mn-ea"/>
                  <a:cs typeface="+mn-cs"/>
                </a:rPr>
                <a:t>𝐕</a:t>
              </a:r>
              <a:r>
                <a:rPr lang="es-CO" sz="1100" b="1" i="0">
                  <a:solidFill>
                    <a:schemeClr val="tx1"/>
                  </a:solidFill>
                  <a:effectLst/>
                  <a:latin typeface="Cambria Math" panose="02040503050406030204" pitchFamily="18" charset="0"/>
                  <a:ea typeface="+mn-ea"/>
                  <a:cs typeface="+mn-cs"/>
                </a:rPr>
                <a:t>_</a:t>
              </a:r>
              <a:r>
                <a:rPr lang="es-CO" sz="1100" b="0" i="0">
                  <a:solidFill>
                    <a:schemeClr val="tx1"/>
                  </a:solidFill>
                  <a:effectLst/>
                  <a:latin typeface="Cambria Math" panose="02040503050406030204" pitchFamily="18" charset="0"/>
                  <a:ea typeface="+mn-ea"/>
                  <a:cs typeface="+mn-cs"/>
                </a:rPr>
                <a:t>𝑠^𝑀</a:t>
              </a:r>
              <a:endParaRPr lang="es-ES" sz="1100"/>
            </a:p>
          </xdr:txBody>
        </xdr:sp>
      </mc:Fallback>
    </mc:AlternateContent>
    <xdr:clientData/>
  </xdr:oneCellAnchor>
  <xdr:oneCellAnchor>
    <xdr:from>
      <xdr:col>11</xdr:col>
      <xdr:colOff>133350</xdr:colOff>
      <xdr:row>571</xdr:row>
      <xdr:rowOff>0</xdr:rowOff>
    </xdr:from>
    <xdr:ext cx="338747" cy="179536"/>
    <mc:AlternateContent xmlns:mc="http://schemas.openxmlformats.org/markup-compatibility/2006" xmlns:a14="http://schemas.microsoft.com/office/drawing/2010/main">
      <mc:Choice Requires="a14">
        <xdr:sp macro="" textlink="">
          <xdr:nvSpPr>
            <xdr:cNvPr id="83" name="TextBox 82"/>
            <xdr:cNvSpPr txBox="1"/>
          </xdr:nvSpPr>
          <xdr:spPr>
            <a:xfrm>
              <a:off x="2124075" y="89725500"/>
              <a:ext cx="338747" cy="179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CO" sz="1100" b="1" i="0">
                        <a:solidFill>
                          <a:schemeClr val="tx1"/>
                        </a:solidFill>
                        <a:effectLst/>
                        <a:latin typeface="Cambria Math" panose="02040503050406030204" pitchFamily="18" charset="0"/>
                        <a:ea typeface="+mn-ea"/>
                        <a:cs typeface="+mn-cs"/>
                      </a:rPr>
                      <m:t>𝛟</m:t>
                    </m:r>
                    <m:sSubSup>
                      <m:sSubSupPr>
                        <m:ctrlPr>
                          <a:rPr lang="es-CO" sz="1100" i="1">
                            <a:solidFill>
                              <a:schemeClr val="tx1"/>
                            </a:solidFill>
                            <a:effectLst/>
                            <a:latin typeface="Cambria Math" panose="02040503050406030204" pitchFamily="18" charset="0"/>
                            <a:ea typeface="+mn-ea"/>
                            <a:cs typeface="+mn-cs"/>
                          </a:rPr>
                        </m:ctrlPr>
                      </m:sSubSupPr>
                      <m:e>
                        <m:r>
                          <a:rPr lang="es-CO" sz="1100" b="1" i="0">
                            <a:solidFill>
                              <a:schemeClr val="tx1"/>
                            </a:solidFill>
                            <a:effectLst/>
                            <a:latin typeface="Cambria Math" panose="02040503050406030204" pitchFamily="18" charset="0"/>
                            <a:ea typeface="+mn-ea"/>
                            <a:cs typeface="+mn-cs"/>
                          </a:rPr>
                          <m:t>𝐕</m:t>
                        </m:r>
                      </m:e>
                      <m:sub>
                        <m:r>
                          <a:rPr lang="es-CO" sz="1100" b="0" i="1">
                            <a:solidFill>
                              <a:schemeClr val="tx1"/>
                            </a:solidFill>
                            <a:effectLst/>
                            <a:latin typeface="Cambria Math" panose="02040503050406030204" pitchFamily="18" charset="0"/>
                            <a:ea typeface="+mn-ea"/>
                            <a:cs typeface="+mn-cs"/>
                          </a:rPr>
                          <m:t>𝑠</m:t>
                        </m:r>
                      </m:sub>
                      <m:sup>
                        <m:r>
                          <a:rPr lang="es-CO" sz="1100" b="0" i="1">
                            <a:solidFill>
                              <a:schemeClr val="tx1"/>
                            </a:solidFill>
                            <a:effectLst/>
                            <a:latin typeface="Cambria Math" panose="02040503050406030204" pitchFamily="18" charset="0"/>
                            <a:ea typeface="+mn-ea"/>
                            <a:cs typeface="+mn-cs"/>
                          </a:rPr>
                          <m:t>𝑀</m:t>
                        </m:r>
                      </m:sup>
                    </m:sSubSup>
                  </m:oMath>
                </m:oMathPara>
              </a14:m>
              <a:endParaRPr lang="es-ES" sz="1100"/>
            </a:p>
          </xdr:txBody>
        </xdr:sp>
      </mc:Choice>
      <mc:Fallback xmlns="">
        <xdr:sp macro="" textlink="">
          <xdr:nvSpPr>
            <xdr:cNvPr id="83" name="TextBox 82"/>
            <xdr:cNvSpPr txBox="1"/>
          </xdr:nvSpPr>
          <xdr:spPr>
            <a:xfrm>
              <a:off x="2124075" y="89725500"/>
              <a:ext cx="338747" cy="179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100" b="1" i="0">
                  <a:solidFill>
                    <a:schemeClr val="tx1"/>
                  </a:solidFill>
                  <a:effectLst/>
                  <a:latin typeface="+mn-lt"/>
                  <a:ea typeface="+mn-ea"/>
                  <a:cs typeface="+mn-cs"/>
                </a:rPr>
                <a:t>𝛟𝐕</a:t>
              </a:r>
              <a:r>
                <a:rPr lang="es-CO" sz="1100" b="1" i="0">
                  <a:solidFill>
                    <a:schemeClr val="tx1"/>
                  </a:solidFill>
                  <a:effectLst/>
                  <a:latin typeface="Cambria Math" panose="02040503050406030204" pitchFamily="18" charset="0"/>
                  <a:ea typeface="+mn-ea"/>
                  <a:cs typeface="+mn-cs"/>
                </a:rPr>
                <a:t>_</a:t>
              </a:r>
              <a:r>
                <a:rPr lang="es-CO" sz="1100" b="0" i="0">
                  <a:solidFill>
                    <a:schemeClr val="tx1"/>
                  </a:solidFill>
                  <a:effectLst/>
                  <a:latin typeface="Cambria Math" panose="02040503050406030204" pitchFamily="18" charset="0"/>
                  <a:ea typeface="+mn-ea"/>
                  <a:cs typeface="+mn-cs"/>
                </a:rPr>
                <a:t>𝑠^𝑀</a:t>
              </a:r>
              <a:endParaRPr lang="es-ES" sz="1100"/>
            </a:p>
          </xdr:txBody>
        </xdr:sp>
      </mc:Fallback>
    </mc:AlternateContent>
    <xdr:clientData/>
  </xdr:oneCellAnchor>
  <xdr:oneCellAnchor>
    <xdr:from>
      <xdr:col>2</xdr:col>
      <xdr:colOff>19050</xdr:colOff>
      <xdr:row>615</xdr:row>
      <xdr:rowOff>19050</xdr:rowOff>
    </xdr:from>
    <xdr:ext cx="695447" cy="166392"/>
    <mc:AlternateContent xmlns:mc="http://schemas.openxmlformats.org/markup-compatibility/2006" xmlns:a14="http://schemas.microsoft.com/office/drawing/2010/main">
      <mc:Choice Requires="a14">
        <xdr:sp macro="" textlink="">
          <xdr:nvSpPr>
            <xdr:cNvPr id="84" name="TextBox 83"/>
            <xdr:cNvSpPr txBox="1"/>
          </xdr:nvSpPr>
          <xdr:spPr>
            <a:xfrm>
              <a:off x="381000" y="102793800"/>
              <a:ext cx="695447"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b="0" i="1">
                            <a:solidFill>
                              <a:schemeClr val="tx1"/>
                            </a:solidFill>
                            <a:effectLst/>
                            <a:latin typeface="Cambria Math" panose="02040503050406030204" pitchFamily="18" charset="0"/>
                            <a:ea typeface="+mn-ea"/>
                            <a:cs typeface="+mn-cs"/>
                          </a:rPr>
                          <m:t>𝑐𝑝𝑔</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84" name="TextBox 83"/>
            <xdr:cNvSpPr txBox="1"/>
          </xdr:nvSpPr>
          <xdr:spPr>
            <a:xfrm>
              <a:off x="381000" y="102793800"/>
              <a:ext cx="695447"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𝑐𝑝𝑔</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0</xdr:colOff>
      <xdr:row>613</xdr:row>
      <xdr:rowOff>0</xdr:rowOff>
    </xdr:from>
    <xdr:ext cx="897682" cy="166392"/>
    <mc:AlternateContent xmlns:mc="http://schemas.openxmlformats.org/markup-compatibility/2006" xmlns:a14="http://schemas.microsoft.com/office/drawing/2010/main">
      <mc:Choice Requires="a14">
        <xdr:sp macro="" textlink="">
          <xdr:nvSpPr>
            <xdr:cNvPr id="85" name="TextBox 84"/>
            <xdr:cNvSpPr txBox="1"/>
          </xdr:nvSpPr>
          <xdr:spPr>
            <a:xfrm>
              <a:off x="361950" y="102355650"/>
              <a:ext cx="897682"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b="0" i="1">
                            <a:solidFill>
                              <a:schemeClr val="tx1"/>
                            </a:solidFill>
                            <a:effectLst/>
                            <a:latin typeface="Cambria Math" panose="02040503050406030204" pitchFamily="18" charset="0"/>
                            <a:ea typeface="+mn-ea"/>
                            <a:cs typeface="+mn-cs"/>
                          </a:rPr>
                          <m:t>𝑐𝑝𝑔</m:t>
                        </m:r>
                      </m:sub>
                    </m:sSub>
                    <m:r>
                      <a:rPr lang="es-CO" sz="1000" b="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𝑘</m:t>
                        </m:r>
                      </m:e>
                      <m:sub>
                        <m:r>
                          <a:rPr lang="es-CO" sz="1000" b="0" i="1">
                            <a:solidFill>
                              <a:schemeClr val="tx1"/>
                            </a:solidFill>
                            <a:effectLst/>
                            <a:latin typeface="Cambria Math" panose="02040503050406030204" pitchFamily="18" charset="0"/>
                            <a:ea typeface="+mn-ea"/>
                            <a:cs typeface="+mn-cs"/>
                          </a:rPr>
                          <m:t>𝑐𝑝</m:t>
                        </m:r>
                      </m:sub>
                    </m:sSub>
                    <m:r>
                      <a:rPr lang="es-CO" sz="1000" b="0" i="1">
                        <a:solidFill>
                          <a:schemeClr val="tx1"/>
                        </a:solidFill>
                        <a:effectLst/>
                        <a:latin typeface="Cambria Math" panose="02040503050406030204" pitchFamily="18" charset="0"/>
                        <a:ea typeface="+mn-ea"/>
                        <a:cs typeface="+mn-cs"/>
                      </a:rPr>
                      <m:t> </m:t>
                    </m:r>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𝑐𝑝𝑔</m:t>
                        </m:r>
                      </m:sub>
                    </m:sSub>
                  </m:oMath>
                </m:oMathPara>
              </a14:m>
              <a:endParaRPr lang="es-ES" sz="1000"/>
            </a:p>
          </xdr:txBody>
        </xdr:sp>
      </mc:Choice>
      <mc:Fallback xmlns="">
        <xdr:sp macro="" textlink="">
          <xdr:nvSpPr>
            <xdr:cNvPr id="85" name="TextBox 84"/>
            <xdr:cNvSpPr txBox="1"/>
          </xdr:nvSpPr>
          <xdr:spPr>
            <a:xfrm>
              <a:off x="361950" y="102355650"/>
              <a:ext cx="897682"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𝑐𝑝𝑔=𝑘</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𝑐𝑝  𝑁_𝑐𝑝𝑔</a:t>
              </a:r>
              <a:endParaRPr lang="es-ES" sz="1000"/>
            </a:p>
          </xdr:txBody>
        </xdr:sp>
      </mc:Fallback>
    </mc:AlternateContent>
    <xdr:clientData/>
  </xdr:oneCellAnchor>
  <xdr:oneCellAnchor>
    <xdr:from>
      <xdr:col>2</xdr:col>
      <xdr:colOff>19050</xdr:colOff>
      <xdr:row>614</xdr:row>
      <xdr:rowOff>19050</xdr:rowOff>
    </xdr:from>
    <xdr:ext cx="1328056" cy="177356"/>
    <mc:AlternateContent xmlns:mc="http://schemas.openxmlformats.org/markup-compatibility/2006" xmlns:a14="http://schemas.microsoft.com/office/drawing/2010/main">
      <mc:Choice Requires="a14">
        <xdr:sp macro="" textlink="">
          <xdr:nvSpPr>
            <xdr:cNvPr id="87" name="TextBox 86"/>
            <xdr:cNvSpPr txBox="1"/>
          </xdr:nvSpPr>
          <xdr:spPr>
            <a:xfrm>
              <a:off x="381000" y="102565200"/>
              <a:ext cx="1328056" cy="1773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𝑐𝑝𝑔</m:t>
                        </m:r>
                      </m:sub>
                    </m:sSub>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𝑀𝐼𝑁</m:t>
                    </m:r>
                    <m:d>
                      <m:dPr>
                        <m:begChr m:val="["/>
                        <m:endChr m:val="]"/>
                        <m:ctrlPr>
                          <a:rPr lang="es-CO" sz="1000" b="0" i="1">
                            <a:solidFill>
                              <a:schemeClr val="tx1"/>
                            </a:solidFill>
                            <a:effectLst/>
                            <a:latin typeface="Cambria Math" panose="02040503050406030204" pitchFamily="18" charset="0"/>
                            <a:ea typeface="+mn-ea"/>
                            <a:cs typeface="+mn-cs"/>
                          </a:rPr>
                        </m:ctrlPr>
                      </m:dPr>
                      <m:e>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𝑐𝑏𝑔</m:t>
                            </m:r>
                          </m:sub>
                        </m:sSub>
                        <m:r>
                          <a:rPr lang="es-CO" sz="1000" b="0" i="1">
                            <a:solidFill>
                              <a:schemeClr val="tx1"/>
                            </a:solidFill>
                            <a:effectLst/>
                            <a:latin typeface="Cambria Math" panose="02040503050406030204" pitchFamily="18" charset="0"/>
                            <a:ea typeface="+mn-ea"/>
                            <a:cs typeface="+mn-cs"/>
                          </a:rPr>
                          <m:t>;</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𝑎𝑔</m:t>
                            </m:r>
                          </m:sub>
                        </m:sSub>
                      </m:e>
                    </m:d>
                  </m:oMath>
                </m:oMathPara>
              </a14:m>
              <a:endParaRPr lang="es-ES" sz="1000"/>
            </a:p>
          </xdr:txBody>
        </xdr:sp>
      </mc:Choice>
      <mc:Fallback xmlns="">
        <xdr:sp macro="" textlink="">
          <xdr:nvSpPr>
            <xdr:cNvPr id="87" name="TextBox 86"/>
            <xdr:cNvSpPr txBox="1"/>
          </xdr:nvSpPr>
          <xdr:spPr>
            <a:xfrm>
              <a:off x="381000" y="102565200"/>
              <a:ext cx="1328056" cy="1773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𝑁_𝑐𝑝𝑔=𝑀𝐼𝑁[𝑁_𝑐𝑏𝑔;𝑁_𝑎𝑔 ]</a:t>
              </a:r>
              <a:endParaRPr lang="es-ES" sz="1000"/>
            </a:p>
          </xdr:txBody>
        </xdr:sp>
      </mc:Fallback>
    </mc:AlternateContent>
    <xdr:clientData/>
  </xdr:oneCellAnchor>
  <xdr:oneCellAnchor>
    <xdr:from>
      <xdr:col>3</xdr:col>
      <xdr:colOff>47625</xdr:colOff>
      <xdr:row>597</xdr:row>
      <xdr:rowOff>28575</xdr:rowOff>
    </xdr:from>
    <xdr:ext cx="225253" cy="168829"/>
    <mc:AlternateContent xmlns:mc="http://schemas.openxmlformats.org/markup-compatibility/2006" xmlns:a14="http://schemas.microsoft.com/office/drawing/2010/main">
      <mc:Choice Requires="a14">
        <xdr:sp macro="" textlink="">
          <xdr:nvSpPr>
            <xdr:cNvPr id="91" name="TextBox 90"/>
            <xdr:cNvSpPr txBox="1"/>
          </xdr:nvSpPr>
          <xdr:spPr>
            <a:xfrm>
              <a:off x="590550"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91" name="TextBox 90"/>
            <xdr:cNvSpPr txBox="1"/>
          </xdr:nvSpPr>
          <xdr:spPr>
            <a:xfrm>
              <a:off x="590550"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11</xdr:col>
      <xdr:colOff>76200</xdr:colOff>
      <xdr:row>597</xdr:row>
      <xdr:rowOff>28575</xdr:rowOff>
    </xdr:from>
    <xdr:ext cx="225253" cy="168829"/>
    <mc:AlternateContent xmlns:mc="http://schemas.openxmlformats.org/markup-compatibility/2006" xmlns:a14="http://schemas.microsoft.com/office/drawing/2010/main">
      <mc:Choice Requires="a14">
        <xdr:sp macro="" textlink="">
          <xdr:nvSpPr>
            <xdr:cNvPr id="92" name="TextBox 91"/>
            <xdr:cNvSpPr txBox="1"/>
          </xdr:nvSpPr>
          <xdr:spPr>
            <a:xfrm>
              <a:off x="1343025"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92" name="TextBox 91"/>
            <xdr:cNvSpPr txBox="1"/>
          </xdr:nvSpPr>
          <xdr:spPr>
            <a:xfrm>
              <a:off x="1343025"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2</xdr:col>
      <xdr:colOff>19050</xdr:colOff>
      <xdr:row>577</xdr:row>
      <xdr:rowOff>19050</xdr:rowOff>
    </xdr:from>
    <xdr:ext cx="2041007" cy="345800"/>
    <mc:AlternateContent xmlns:mc="http://schemas.openxmlformats.org/markup-compatibility/2006" xmlns:a14="http://schemas.microsoft.com/office/drawing/2010/main">
      <mc:Choice Requires="a14">
        <xdr:sp macro="" textlink="">
          <xdr:nvSpPr>
            <xdr:cNvPr id="3" name="TextBox 2"/>
            <xdr:cNvSpPr txBox="1"/>
          </xdr:nvSpPr>
          <xdr:spPr>
            <a:xfrm>
              <a:off x="381000" y="95850075"/>
              <a:ext cx="2041007"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b="0" i="1">
                            <a:solidFill>
                              <a:schemeClr val="tx1"/>
                            </a:solidFill>
                            <a:effectLst/>
                            <a:latin typeface="Cambria Math" panose="02040503050406030204" pitchFamily="18" charset="0"/>
                            <a:ea typeface="+mn-ea"/>
                            <a:cs typeface="+mn-cs"/>
                          </a:rPr>
                          <m:t>𝑐𝑏𝑔</m:t>
                        </m:r>
                      </m:sub>
                    </m:sSub>
                    <m:r>
                      <a:rPr lang="es-CO" sz="1000" i="1">
                        <a:solidFill>
                          <a:schemeClr val="tx1"/>
                        </a:solidFill>
                        <a:effectLst/>
                        <a:latin typeface="Cambria Math" panose="02040503050406030204" pitchFamily="18" charset="0"/>
                        <a:ea typeface="+mn-ea"/>
                        <a:cs typeface="+mn-cs"/>
                      </a:rPr>
                      <m:t>=</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𝑉𝑐</m:t>
                                </m:r>
                              </m:sub>
                            </m:sSub>
                          </m:num>
                          <m:den>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𝑉𝑐</m:t>
                                </m:r>
                                <m:r>
                                  <a:rPr lang="es-CO" sz="1000" i="1">
                                    <a:solidFill>
                                      <a:schemeClr val="tx1"/>
                                    </a:solidFill>
                                    <a:effectLst/>
                                    <a:latin typeface="Cambria Math" panose="02040503050406030204" pitchFamily="18" charset="0"/>
                                    <a:ea typeface="+mn-ea"/>
                                    <a:cs typeface="+mn-cs"/>
                                  </a:rPr>
                                  <m:t>0</m:t>
                                </m:r>
                              </m:sub>
                            </m:sSub>
                          </m:den>
                        </m:f>
                      </m:e>
                    </m:d>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𝑒𝑑</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b="0" i="1">
                            <a:solidFill>
                              <a:schemeClr val="tx1"/>
                            </a:solidFill>
                            <a:effectLst/>
                            <a:latin typeface="Cambria Math" panose="02040503050406030204" pitchFamily="18" charset="0"/>
                            <a:ea typeface="+mn-ea"/>
                            <a:cs typeface="+mn-cs"/>
                          </a:rPr>
                          <m:t>h</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𝑏</m:t>
                        </m:r>
                      </m:sub>
                    </m:sSub>
                  </m:oMath>
                </m:oMathPara>
              </a14:m>
              <a:endParaRPr lang="es-ES" sz="1000"/>
            </a:p>
          </xdr:txBody>
        </xdr:sp>
      </mc:Choice>
      <mc:Fallback xmlns="">
        <xdr:sp macro="" textlink="">
          <xdr:nvSpPr>
            <xdr:cNvPr id="3" name="TextBox 2"/>
            <xdr:cNvSpPr txBox="1"/>
          </xdr:nvSpPr>
          <xdr:spPr>
            <a:xfrm>
              <a:off x="381000" y="95850075"/>
              <a:ext cx="2041007"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𝑐𝑏𝑔</a:t>
              </a:r>
              <a:r>
                <a:rPr lang="es-CO" sz="1000" i="0">
                  <a:solidFill>
                    <a:schemeClr val="tx1"/>
                  </a:solidFill>
                  <a:effectLst/>
                  <a:latin typeface="+mn-lt"/>
                  <a:ea typeface="+mn-ea"/>
                  <a:cs typeface="+mn-cs"/>
                </a:rPr>
                <a:t>=</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𝐴</a:t>
              </a:r>
              <a:r>
                <a:rPr lang="es-ES" sz="100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𝑉𝑐</a:t>
              </a:r>
              <a:r>
                <a:rPr lang="es-ES" sz="1000" b="0" i="0">
                  <a:solidFill>
                    <a:schemeClr val="tx1"/>
                  </a:solidFill>
                  <a:effectLst/>
                  <a:latin typeface="+mn-lt"/>
                  <a:ea typeface="+mn-ea"/>
                  <a:cs typeface="+mn-cs"/>
                </a:rPr>
                <a:t>/</a:t>
              </a:r>
              <a:r>
                <a:rPr lang="es-CO" sz="1000" i="0">
                  <a:solidFill>
                    <a:schemeClr val="tx1"/>
                  </a:solidFill>
                  <a:effectLst/>
                  <a:latin typeface="+mn-lt"/>
                  <a:ea typeface="+mn-ea"/>
                  <a:cs typeface="+mn-cs"/>
                </a:rPr>
                <a:t>𝐴</a:t>
              </a:r>
              <a:r>
                <a:rPr lang="es-ES" sz="100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𝑉𝑐</a:t>
              </a:r>
              <a:r>
                <a:rPr lang="es-CO" sz="1000" i="0">
                  <a:solidFill>
                    <a:schemeClr val="tx1"/>
                  </a:solidFill>
                  <a:effectLst/>
                  <a:latin typeface="+mn-lt"/>
                  <a:ea typeface="+mn-ea"/>
                  <a:cs typeface="+mn-cs"/>
                </a:rPr>
                <a:t>0 )</a:t>
              </a:r>
              <a:r>
                <a:rPr lang="es-ES" sz="1000" i="0">
                  <a:solidFill>
                    <a:schemeClr val="tx1"/>
                  </a:solidFill>
                  <a:effectLst/>
                  <a:latin typeface="+mn-lt"/>
                  <a:ea typeface="+mn-ea"/>
                  <a:cs typeface="+mn-cs"/>
                </a:rPr>
                <a:t> </a:t>
              </a:r>
              <a:r>
                <a:rPr lang="es-CO" sz="1000" i="0">
                  <a:solidFill>
                    <a:schemeClr val="tx1"/>
                  </a:solidFill>
                  <a:effectLst/>
                  <a:latin typeface="+mn-lt"/>
                  <a:ea typeface="+mn-ea"/>
                  <a:cs typeface="+mn-cs"/>
                </a:rPr>
                <a:t>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𝑒𝑐,</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 </a:t>
              </a:r>
              <a:r>
                <a:rPr lang="es-CO" sz="1000" i="0">
                  <a:solidFill>
                    <a:schemeClr val="tx1"/>
                  </a:solidFill>
                  <a:effectLst/>
                  <a:latin typeface="+mn-lt"/>
                  <a:ea typeface="+mn-ea"/>
                  <a:cs typeface="+mn-cs"/>
                </a:rPr>
                <a:t>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𝑒𝑑,</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 </a:t>
              </a:r>
              <a:r>
                <a:rPr lang="es-CO" sz="1000" i="0">
                  <a:solidFill>
                    <a:schemeClr val="tx1"/>
                  </a:solidFill>
                  <a:effectLst/>
                  <a:latin typeface="+mn-lt"/>
                  <a:ea typeface="+mn-ea"/>
                  <a:cs typeface="+mn-cs"/>
                </a:rPr>
                <a:t>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𝑐,</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 </a:t>
              </a:r>
              <a:r>
                <a:rPr lang="es-CO" sz="1000" i="0">
                  <a:solidFill>
                    <a:schemeClr val="tx1"/>
                  </a:solidFill>
                  <a:effectLst/>
                  <a:latin typeface="+mn-lt"/>
                  <a:ea typeface="+mn-ea"/>
                  <a:cs typeface="+mn-cs"/>
                </a:rPr>
                <a:t>𝜓</a:t>
              </a:r>
              <a:r>
                <a:rPr lang="es-ES" sz="100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ℎ</a:t>
              </a:r>
              <a:r>
                <a:rPr lang="es-CO" sz="1000" i="0">
                  <a:solidFill>
                    <a:schemeClr val="tx1"/>
                  </a:solidFill>
                  <a:effectLst/>
                  <a:latin typeface="+mn-lt"/>
                  <a:ea typeface="+mn-ea"/>
                  <a:cs typeface="+mn-cs"/>
                </a:rPr>
                <a:t>,</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 </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_</a:t>
              </a:r>
              <a:r>
                <a:rPr lang="es-CO" sz="1000" i="0">
                  <a:solidFill>
                    <a:schemeClr val="tx1"/>
                  </a:solidFill>
                  <a:effectLst/>
                  <a:latin typeface="+mn-lt"/>
                  <a:ea typeface="+mn-ea"/>
                  <a:cs typeface="+mn-cs"/>
                </a:rPr>
                <a:t>𝑏</a:t>
              </a:r>
              <a:endParaRPr lang="es-ES" sz="1000"/>
            </a:p>
          </xdr:txBody>
        </xdr:sp>
      </mc:Fallback>
    </mc:AlternateContent>
    <xdr:clientData/>
  </xdr:oneCellAnchor>
  <xdr:oneCellAnchor>
    <xdr:from>
      <xdr:col>2</xdr:col>
      <xdr:colOff>19050</xdr:colOff>
      <xdr:row>578</xdr:row>
      <xdr:rowOff>19050</xdr:rowOff>
    </xdr:from>
    <xdr:ext cx="705578" cy="166392"/>
    <mc:AlternateContent xmlns:mc="http://schemas.openxmlformats.org/markup-compatibility/2006" xmlns:a14="http://schemas.microsoft.com/office/drawing/2010/main">
      <mc:Choice Requires="a14">
        <xdr:sp macro="" textlink="">
          <xdr:nvSpPr>
            <xdr:cNvPr id="94" name="TextBox 93"/>
            <xdr:cNvSpPr txBox="1"/>
          </xdr:nvSpPr>
          <xdr:spPr>
            <a:xfrm>
              <a:off x="381000" y="95669100"/>
              <a:ext cx="705578"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b="0" i="1">
                            <a:solidFill>
                              <a:schemeClr val="tx1"/>
                            </a:solidFill>
                            <a:effectLst/>
                            <a:latin typeface="Cambria Math" panose="02040503050406030204" pitchFamily="18" charset="0"/>
                            <a:ea typeface="+mn-ea"/>
                            <a:cs typeface="+mn-cs"/>
                          </a:rPr>
                          <m:t>𝑐𝑏𝑔</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94" name="TextBox 93"/>
            <xdr:cNvSpPr txBox="1"/>
          </xdr:nvSpPr>
          <xdr:spPr>
            <a:xfrm>
              <a:off x="381000" y="95669100"/>
              <a:ext cx="705578"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𝑐𝑏𝑔</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19050</xdr:colOff>
      <xdr:row>579</xdr:row>
      <xdr:rowOff>19050</xdr:rowOff>
    </xdr:from>
    <xdr:ext cx="233461" cy="150362"/>
    <mc:AlternateContent xmlns:mc="http://schemas.openxmlformats.org/markup-compatibility/2006" xmlns:a14="http://schemas.microsoft.com/office/drawing/2010/main">
      <mc:Choice Requires="a14">
        <xdr:sp macro="" textlink="">
          <xdr:nvSpPr>
            <xdr:cNvPr id="95" name="TextBox 94"/>
            <xdr:cNvSpPr txBox="1"/>
          </xdr:nvSpPr>
          <xdr:spPr>
            <a:xfrm>
              <a:off x="381000" y="96421575"/>
              <a:ext cx="233461"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𝑉𝑐</m:t>
                        </m:r>
                      </m:sub>
                    </m:sSub>
                  </m:oMath>
                </m:oMathPara>
              </a14:m>
              <a:endParaRPr lang="es-ES" sz="1000"/>
            </a:p>
          </xdr:txBody>
        </xdr:sp>
      </mc:Choice>
      <mc:Fallback xmlns="">
        <xdr:sp macro="" textlink="">
          <xdr:nvSpPr>
            <xdr:cNvPr id="95" name="TextBox 94"/>
            <xdr:cNvSpPr txBox="1"/>
          </xdr:nvSpPr>
          <xdr:spPr>
            <a:xfrm>
              <a:off x="381000" y="96421575"/>
              <a:ext cx="233461"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𝑉𝑐</a:t>
              </a:r>
              <a:endParaRPr lang="es-ES" sz="1000"/>
            </a:p>
          </xdr:txBody>
        </xdr:sp>
      </mc:Fallback>
    </mc:AlternateContent>
    <xdr:clientData/>
  </xdr:oneCellAnchor>
  <xdr:oneCellAnchor>
    <xdr:from>
      <xdr:col>2</xdr:col>
      <xdr:colOff>19050</xdr:colOff>
      <xdr:row>580</xdr:row>
      <xdr:rowOff>19050</xdr:rowOff>
    </xdr:from>
    <xdr:ext cx="1018227" cy="204095"/>
    <mc:AlternateContent xmlns:mc="http://schemas.openxmlformats.org/markup-compatibility/2006" xmlns:a14="http://schemas.microsoft.com/office/drawing/2010/main">
      <mc:Choice Requires="a14">
        <xdr:sp macro="" textlink="">
          <xdr:nvSpPr>
            <xdr:cNvPr id="96" name="TextBox 95"/>
            <xdr:cNvSpPr txBox="1"/>
          </xdr:nvSpPr>
          <xdr:spPr>
            <a:xfrm>
              <a:off x="381000" y="96612075"/>
              <a:ext cx="1018227" cy="204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𝑉𝑐</m:t>
                        </m:r>
                        <m:r>
                          <a:rPr lang="es-CO" sz="1000" b="0" i="1">
                            <a:solidFill>
                              <a:schemeClr val="tx1"/>
                            </a:solidFill>
                            <a:effectLst/>
                            <a:latin typeface="Cambria Math" panose="02040503050406030204" pitchFamily="18" charset="0"/>
                            <a:ea typeface="+mn-ea"/>
                            <a:cs typeface="+mn-cs"/>
                          </a:rPr>
                          <m:t>0</m:t>
                        </m:r>
                      </m:sub>
                    </m:sSub>
                    <m:r>
                      <a:rPr lang="es-CO" sz="1000" b="0" i="0">
                        <a:solidFill>
                          <a:schemeClr val="tx1"/>
                        </a:solidFill>
                        <a:effectLst/>
                        <a:latin typeface="Cambria Math" panose="02040503050406030204" pitchFamily="18" charset="0"/>
                        <a:ea typeface="+mn-ea"/>
                        <a:cs typeface="+mn-cs"/>
                      </a:rPr>
                      <m:t>=4,5 </m:t>
                    </m:r>
                    <m:sSup>
                      <m:sSupPr>
                        <m:ctrlPr>
                          <a:rPr lang="es-CO" sz="1000" b="0" i="1">
                            <a:solidFill>
                              <a:schemeClr val="tx1"/>
                            </a:solidFill>
                            <a:effectLst/>
                            <a:latin typeface="Cambria Math" panose="02040503050406030204" pitchFamily="18" charset="0"/>
                            <a:ea typeface="+mn-ea"/>
                            <a:cs typeface="+mn-cs"/>
                          </a:rPr>
                        </m:ctrlPr>
                      </m:sSupPr>
                      <m:e>
                        <m:d>
                          <m:dPr>
                            <m:ctrlPr>
                              <a:rPr lang="es-CO" sz="1000" b="0" i="1">
                                <a:solidFill>
                                  <a:schemeClr val="tx1"/>
                                </a:solidFill>
                                <a:effectLst/>
                                <a:latin typeface="Cambria Math" panose="02040503050406030204" pitchFamily="18" charset="0"/>
                                <a:ea typeface="+mn-ea"/>
                                <a:cs typeface="+mn-cs"/>
                              </a:rPr>
                            </m:ctrlPr>
                          </m:dPr>
                          <m:e>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,1</m:t>
                                </m:r>
                              </m:sub>
                            </m:sSub>
                          </m:e>
                        </m:d>
                      </m:e>
                      <m:sup>
                        <m:r>
                          <a:rPr lang="es-CO" sz="1000" b="0" i="1">
                            <a:solidFill>
                              <a:schemeClr val="tx1"/>
                            </a:solidFill>
                            <a:effectLst/>
                            <a:latin typeface="Cambria Math" panose="02040503050406030204" pitchFamily="18" charset="0"/>
                            <a:ea typeface="+mn-ea"/>
                            <a:cs typeface="+mn-cs"/>
                          </a:rPr>
                          <m:t>2</m:t>
                        </m:r>
                      </m:sup>
                    </m:sSup>
                  </m:oMath>
                </m:oMathPara>
              </a14:m>
              <a:endParaRPr lang="es-ES" sz="1000"/>
            </a:p>
          </xdr:txBody>
        </xdr:sp>
      </mc:Choice>
      <mc:Fallback xmlns="">
        <xdr:sp macro="" textlink="">
          <xdr:nvSpPr>
            <xdr:cNvPr id="96" name="TextBox 95"/>
            <xdr:cNvSpPr txBox="1"/>
          </xdr:nvSpPr>
          <xdr:spPr>
            <a:xfrm>
              <a:off x="381000" y="96612075"/>
              <a:ext cx="1018227" cy="204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𝑉𝑐0=4,5 </a:t>
              </a:r>
              <a:r>
                <a:rPr lang="es-CO" sz="1000" b="0" i="0">
                  <a:solidFill>
                    <a:schemeClr val="tx1"/>
                  </a:solidFill>
                  <a:effectLst/>
                  <a:latin typeface="+mn-lt"/>
                  <a:ea typeface="+mn-ea"/>
                  <a:cs typeface="+mn-cs"/>
                </a:rPr>
                <a:t>(</a:t>
              </a:r>
              <a:r>
                <a:rPr lang="es-CO" sz="1000" b="0" i="0">
                  <a:solidFill>
                    <a:schemeClr val="tx1"/>
                  </a:solidFill>
                  <a:effectLst/>
                  <a:latin typeface="Cambria Math" panose="02040503050406030204" pitchFamily="18" charset="0"/>
                  <a:ea typeface="+mn-ea"/>
                  <a:cs typeface="+mn-cs"/>
                </a:rPr>
                <a:t>𝑐</a:t>
              </a:r>
              <a:r>
                <a:rPr lang="es-CO" sz="1000" b="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𝑎,1</a:t>
              </a:r>
              <a:r>
                <a:rPr lang="es-CO" sz="1000" b="0" i="0">
                  <a:solidFill>
                    <a:schemeClr val="tx1"/>
                  </a:solidFill>
                  <a:effectLst/>
                  <a:latin typeface="+mn-lt"/>
                  <a:ea typeface="+mn-ea"/>
                  <a:cs typeface="+mn-cs"/>
                </a:rPr>
                <a:t>) )</a:t>
              </a:r>
              <a:r>
                <a:rPr lang="es-CO" sz="1000" b="0" i="0">
                  <a:solidFill>
                    <a:schemeClr val="tx1"/>
                  </a:solidFill>
                  <a:effectLst/>
                  <a:latin typeface="Cambria Math" panose="02040503050406030204" pitchFamily="18" charset="0"/>
                  <a:ea typeface="+mn-ea"/>
                  <a:cs typeface="+mn-cs"/>
                </a:rPr>
                <a:t>^2</a:t>
              </a:r>
              <a:endParaRPr lang="es-ES" sz="1000"/>
            </a:p>
          </xdr:txBody>
        </xdr:sp>
      </mc:Fallback>
    </mc:AlternateContent>
    <xdr:clientData/>
  </xdr:oneCellAnchor>
  <xdr:oneCellAnchor>
    <xdr:from>
      <xdr:col>2</xdr:col>
      <xdr:colOff>19050</xdr:colOff>
      <xdr:row>581</xdr:row>
      <xdr:rowOff>19050</xdr:rowOff>
    </xdr:from>
    <xdr:ext cx="1471237" cy="495457"/>
    <mc:AlternateContent xmlns:mc="http://schemas.openxmlformats.org/markup-compatibility/2006" xmlns:a14="http://schemas.microsoft.com/office/drawing/2010/main">
      <mc:Choice Requires="a14">
        <xdr:sp macro="" textlink="">
          <xdr:nvSpPr>
            <xdr:cNvPr id="97" name="TextBox 96"/>
            <xdr:cNvSpPr txBox="1"/>
          </xdr:nvSpPr>
          <xdr:spPr>
            <a:xfrm>
              <a:off x="381000" y="96859725"/>
              <a:ext cx="1471237" cy="495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r>
                      <a:rPr lang="es-CO" sz="1000" i="1">
                        <a:solidFill>
                          <a:schemeClr val="tx1"/>
                        </a:solidFill>
                        <a:effectLst/>
                        <a:latin typeface="Cambria Math" panose="02040503050406030204" pitchFamily="18" charset="0"/>
                        <a:ea typeface="+mn-ea"/>
                        <a:cs typeface="+mn-cs"/>
                      </a:rPr>
                      <m:t>=</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r>
                              <a:rPr lang="es-CO" sz="1000" i="1">
                                <a:solidFill>
                                  <a:schemeClr val="tx1"/>
                                </a:solidFill>
                                <a:effectLst/>
                                <a:latin typeface="Cambria Math" panose="02040503050406030204" pitchFamily="18" charset="0"/>
                                <a:ea typeface="+mn-ea"/>
                                <a:cs typeface="+mn-cs"/>
                              </a:rPr>
                              <m:t>1</m:t>
                            </m:r>
                          </m:num>
                          <m:den>
                            <m:r>
                              <a:rPr lang="es-CO" sz="1000" i="1">
                                <a:solidFill>
                                  <a:schemeClr val="tx1"/>
                                </a:solidFill>
                                <a:effectLst/>
                                <a:latin typeface="Cambria Math" panose="02040503050406030204" pitchFamily="18" charset="0"/>
                                <a:ea typeface="+mn-ea"/>
                                <a:cs typeface="+mn-cs"/>
                              </a:rPr>
                              <m:t>1+</m:t>
                            </m:r>
                            <m:f>
                              <m:fPr>
                                <m:ctrlPr>
                                  <a:rPr lang="es-ES" sz="1000" i="1">
                                    <a:solidFill>
                                      <a:schemeClr val="tx1"/>
                                    </a:solidFill>
                                    <a:effectLst/>
                                    <a:latin typeface="Cambria Math" panose="02040503050406030204" pitchFamily="18" charset="0"/>
                                    <a:ea typeface="+mn-ea"/>
                                    <a:cs typeface="+mn-cs"/>
                                  </a:rPr>
                                </m:ctrlPr>
                              </m:fPr>
                              <m:num>
                                <m:r>
                                  <a:rPr lang="es-CO" sz="1000" i="1">
                                    <a:solidFill>
                                      <a:schemeClr val="tx1"/>
                                    </a:solidFill>
                                    <a:effectLst/>
                                    <a:latin typeface="Cambria Math" panose="02040503050406030204" pitchFamily="18" charset="0"/>
                                    <a:ea typeface="+mn-ea"/>
                                    <a:cs typeface="+mn-cs"/>
                                  </a:rPr>
                                  <m:t>2</m:t>
                                </m:r>
                                <m:sSub>
                                  <m:sSubPr>
                                    <m:ctrlPr>
                                      <a:rPr lang="es-ES" sz="1000" i="1">
                                        <a:solidFill>
                                          <a:schemeClr val="tx1"/>
                                        </a:solidFill>
                                        <a:effectLst/>
                                        <a:latin typeface="Cambria Math" panose="02040503050406030204" pitchFamily="18" charset="0"/>
                                        <a:ea typeface="+mn-ea"/>
                                        <a:cs typeface="+mn-cs"/>
                                      </a:rPr>
                                    </m:ctrlPr>
                                  </m:sSubPr>
                                  <m:e>
                                    <m:sSup>
                                      <m:sSupPr>
                                        <m:ctrlPr>
                                          <a:rPr lang="es-ES" sz="1000" i="1">
                                            <a:solidFill>
                                              <a:schemeClr val="tx1"/>
                                            </a:solidFill>
                                            <a:effectLst/>
                                            <a:latin typeface="Cambria Math" panose="02040503050406030204" pitchFamily="18" charset="0"/>
                                            <a:ea typeface="+mn-ea"/>
                                            <a:cs typeface="+mn-cs"/>
                                          </a:rPr>
                                        </m:ctrlPr>
                                      </m:sSupPr>
                                      <m:e>
                                        <m:r>
                                          <a:rPr lang="es-CO" sz="1000" i="1">
                                            <a:solidFill>
                                              <a:schemeClr val="tx1"/>
                                            </a:solidFill>
                                            <a:effectLst/>
                                            <a:latin typeface="Cambria Math" panose="02040503050406030204" pitchFamily="18" charset="0"/>
                                            <a:ea typeface="+mn-ea"/>
                                            <a:cs typeface="+mn-cs"/>
                                          </a:rPr>
                                          <m:t>𝑒</m:t>
                                        </m:r>
                                      </m:e>
                                      <m:sup>
                                        <m:r>
                                          <a:rPr lang="es-CO" sz="1000" i="1">
                                            <a:solidFill>
                                              <a:schemeClr val="tx1"/>
                                            </a:solidFill>
                                            <a:effectLst/>
                                            <a:latin typeface="Cambria Math" panose="02040503050406030204" pitchFamily="18" charset="0"/>
                                            <a:ea typeface="+mn-ea"/>
                                            <a:cs typeface="+mn-cs"/>
                                          </a:rPr>
                                          <m:t>′</m:t>
                                        </m:r>
                                      </m:sup>
                                    </m:sSup>
                                  </m:e>
                                  <m:sub>
                                    <m:r>
                                      <a:rPr lang="es-CO" sz="1000" b="0" i="1">
                                        <a:solidFill>
                                          <a:schemeClr val="tx1"/>
                                        </a:solidFill>
                                        <a:effectLst/>
                                        <a:latin typeface="Cambria Math" panose="02040503050406030204" pitchFamily="18" charset="0"/>
                                        <a:ea typeface="+mn-ea"/>
                                        <a:cs typeface="+mn-cs"/>
                                      </a:rPr>
                                      <m:t>𝑉</m:t>
                                    </m:r>
                                  </m:sub>
                                </m:sSub>
                              </m:num>
                              <m:den>
                                <m:r>
                                  <a:rPr lang="es-CO" sz="1000" i="1">
                                    <a:solidFill>
                                      <a:schemeClr val="tx1"/>
                                    </a:solidFill>
                                    <a:effectLst/>
                                    <a:latin typeface="Cambria Math" panose="02040503050406030204" pitchFamily="18" charset="0"/>
                                    <a:ea typeface="+mn-ea"/>
                                    <a:cs typeface="+mn-cs"/>
                                  </a:rPr>
                                  <m:t>3</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,1</m:t>
                                    </m:r>
                                  </m:sub>
                                </m:sSub>
                              </m:den>
                            </m:f>
                          </m:den>
                        </m:f>
                      </m:e>
                    </m:d>
                    <m:r>
                      <a:rPr lang="es-CO" sz="1000" i="1">
                        <a:solidFill>
                          <a:schemeClr val="tx1"/>
                        </a:solidFill>
                        <a:effectLst/>
                        <a:latin typeface="Cambria Math" panose="02040503050406030204" pitchFamily="18" charset="0"/>
                        <a:ea typeface="+mn-ea"/>
                        <a:cs typeface="+mn-cs"/>
                      </a:rPr>
                      <m:t>≤1,0</m:t>
                    </m:r>
                  </m:oMath>
                </m:oMathPara>
              </a14:m>
              <a:endParaRPr lang="es-ES" sz="800"/>
            </a:p>
          </xdr:txBody>
        </xdr:sp>
      </mc:Choice>
      <mc:Fallback xmlns="">
        <xdr:sp macro="" textlink="">
          <xdr:nvSpPr>
            <xdr:cNvPr id="97" name="TextBox 96"/>
            <xdr:cNvSpPr txBox="1"/>
          </xdr:nvSpPr>
          <xdr:spPr>
            <a:xfrm>
              <a:off x="381000" y="96859725"/>
              <a:ext cx="1471237" cy="495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mn-lt"/>
                  <a:ea typeface="+mn-ea"/>
                  <a:cs typeface="+mn-cs"/>
                </a:rPr>
                <a:t>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𝑒𝑐,</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a:t>
              </a:r>
              <a:r>
                <a:rPr lang="es-CO" sz="1000" i="0">
                  <a:solidFill>
                    <a:schemeClr val="tx1"/>
                  </a:solidFill>
                  <a:effectLst/>
                  <a:latin typeface="+mn-lt"/>
                  <a:ea typeface="+mn-ea"/>
                  <a:cs typeface="+mn-cs"/>
                </a:rPr>
                <a:t>=</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1</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1+</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2</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𝑒</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a:t>
              </a:r>
              <a:r>
                <a:rPr lang="es-ES" sz="100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a:t>
              </a:r>
              <a:r>
                <a:rPr lang="es-CO" sz="1000" i="0">
                  <a:solidFill>
                    <a:schemeClr val="tx1"/>
                  </a:solidFill>
                  <a:effectLst/>
                  <a:latin typeface="+mn-lt"/>
                  <a:ea typeface="+mn-ea"/>
                  <a:cs typeface="+mn-cs"/>
                </a:rPr>
                <a:t>3</a:t>
              </a:r>
              <a:r>
                <a:rPr lang="es-CO" sz="1000" b="0" i="0">
                  <a:solidFill>
                    <a:schemeClr val="tx1"/>
                  </a:solidFill>
                  <a:effectLst/>
                  <a:latin typeface="Cambria Math" panose="02040503050406030204" pitchFamily="18" charset="0"/>
                  <a:ea typeface="+mn-ea"/>
                  <a:cs typeface="+mn-cs"/>
                </a:rPr>
                <a:t>𝑐</a:t>
              </a:r>
              <a:r>
                <a:rPr lang="es-ES" sz="1000" b="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𝑎,1</a:t>
              </a:r>
              <a:r>
                <a:rPr lang="es-ES" sz="1000" b="0" i="0">
                  <a:solidFill>
                    <a:schemeClr val="tx1"/>
                  </a:solidFill>
                  <a:effectLst/>
                  <a:latin typeface="+mn-lt"/>
                  <a:ea typeface="+mn-ea"/>
                  <a:cs typeface="+mn-cs"/>
                </a:rPr>
                <a:t>)</a:t>
              </a:r>
              <a:r>
                <a:rPr lang="es-CO" sz="1000" b="0" i="0">
                  <a:solidFill>
                    <a:schemeClr val="tx1"/>
                  </a:solidFill>
                  <a:effectLst/>
                  <a:latin typeface="+mn-lt"/>
                  <a:ea typeface="+mn-ea"/>
                  <a:cs typeface="+mn-cs"/>
                </a:rPr>
                <a:t> </a:t>
              </a:r>
              <a:r>
                <a:rPr lang="es-ES" sz="1000" b="0" i="0">
                  <a:solidFill>
                    <a:schemeClr val="tx1"/>
                  </a:solidFill>
                  <a:effectLst/>
                  <a:latin typeface="+mn-lt"/>
                  <a:ea typeface="+mn-ea"/>
                  <a:cs typeface="+mn-cs"/>
                </a:rPr>
                <a:t>))</a:t>
              </a:r>
              <a:r>
                <a:rPr lang="es-CO" sz="1000" b="0" i="0">
                  <a:solidFill>
                    <a:schemeClr val="tx1"/>
                  </a:solidFill>
                  <a:effectLst/>
                  <a:latin typeface="+mn-lt"/>
                  <a:ea typeface="+mn-ea"/>
                  <a:cs typeface="+mn-cs"/>
                </a:rPr>
                <a:t>)</a:t>
              </a:r>
              <a:r>
                <a:rPr lang="es-CO" sz="1000" i="0">
                  <a:solidFill>
                    <a:schemeClr val="tx1"/>
                  </a:solidFill>
                  <a:effectLst/>
                  <a:latin typeface="+mn-lt"/>
                  <a:ea typeface="+mn-ea"/>
                  <a:cs typeface="+mn-cs"/>
                </a:rPr>
                <a:t>≤1,0</a:t>
              </a:r>
              <a:endParaRPr lang="es-ES" sz="800"/>
            </a:p>
          </xdr:txBody>
        </xdr:sp>
      </mc:Fallback>
    </mc:AlternateContent>
    <xdr:clientData/>
  </xdr:oneCellAnchor>
  <xdr:oneCellAnchor>
    <xdr:from>
      <xdr:col>2</xdr:col>
      <xdr:colOff>19050</xdr:colOff>
      <xdr:row>582</xdr:row>
      <xdr:rowOff>19050</xdr:rowOff>
    </xdr:from>
    <xdr:ext cx="1880194" cy="345800"/>
    <mc:AlternateContent xmlns:mc="http://schemas.openxmlformats.org/markup-compatibility/2006" xmlns:a14="http://schemas.microsoft.com/office/drawing/2010/main">
      <mc:Choice Requires="a14">
        <xdr:sp macro="" textlink="">
          <xdr:nvSpPr>
            <xdr:cNvPr id="98" name="TextBox 97"/>
            <xdr:cNvSpPr txBox="1"/>
          </xdr:nvSpPr>
          <xdr:spPr>
            <a:xfrm>
              <a:off x="381000" y="97383600"/>
              <a:ext cx="1880194"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𝑒𝑑</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r>
                      <a:rPr lang="es-CO" sz="1000" i="1">
                        <a:solidFill>
                          <a:schemeClr val="tx1"/>
                        </a:solidFill>
                        <a:effectLst/>
                        <a:latin typeface="Cambria Math" panose="02040503050406030204" pitchFamily="18" charset="0"/>
                        <a:ea typeface="+mn-ea"/>
                        <a:cs typeface="+mn-cs"/>
                      </a:rPr>
                      <m:t>=0,7+0,3</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𝑐</m:t>
                                </m:r>
                              </m:e>
                              <m:sub>
                                <m:r>
                                  <a:rPr lang="es-CO" sz="1000" i="1">
                                    <a:solidFill>
                                      <a:schemeClr val="tx1"/>
                                    </a:solidFill>
                                    <a:effectLst/>
                                    <a:latin typeface="Cambria Math" panose="02040503050406030204" pitchFamily="18" charset="0"/>
                                    <a:ea typeface="+mn-ea"/>
                                    <a:cs typeface="+mn-cs"/>
                                  </a:rPr>
                                  <m:t>𝑎</m:t>
                                </m:r>
                                <m:r>
                                  <a:rPr lang="es-CO" sz="1000" i="1">
                                    <a:solidFill>
                                      <a:schemeClr val="tx1"/>
                                    </a:solidFill>
                                    <a:effectLst/>
                                    <a:latin typeface="Cambria Math" panose="02040503050406030204" pitchFamily="18" charset="0"/>
                                    <a:ea typeface="+mn-ea"/>
                                    <a:cs typeface="+mn-cs"/>
                                  </a:rPr>
                                  <m:t>,2</m:t>
                                </m:r>
                              </m:sub>
                            </m:sSub>
                          </m:num>
                          <m:den>
                            <m:r>
                              <a:rPr lang="es-CO" sz="1000" i="1">
                                <a:solidFill>
                                  <a:schemeClr val="tx1"/>
                                </a:solidFill>
                                <a:effectLst/>
                                <a:latin typeface="Cambria Math" panose="02040503050406030204" pitchFamily="18" charset="0"/>
                                <a:ea typeface="+mn-ea"/>
                                <a:cs typeface="+mn-cs"/>
                              </a:rPr>
                              <m:t>1,5</m:t>
                            </m:r>
                            <m:r>
                              <a:rPr lang="es-CO" sz="1000" b="0" i="1">
                                <a:solidFill>
                                  <a:schemeClr val="tx1"/>
                                </a:solidFill>
                                <a:effectLst/>
                                <a:latin typeface="Cambria Math" panose="02040503050406030204" pitchFamily="18" charset="0"/>
                                <a:ea typeface="+mn-ea"/>
                                <a:cs typeface="+mn-cs"/>
                              </a:rPr>
                              <m:t> </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𝐶</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,1</m:t>
                                </m:r>
                              </m:sub>
                            </m:sSub>
                          </m:den>
                        </m:f>
                      </m:e>
                    </m:d>
                    <m:r>
                      <a:rPr lang="es-CO" sz="1000" i="1">
                        <a:solidFill>
                          <a:schemeClr val="tx1"/>
                        </a:solidFill>
                        <a:effectLst/>
                        <a:latin typeface="Cambria Math" panose="02040503050406030204" pitchFamily="18" charset="0"/>
                        <a:ea typeface="+mn-ea"/>
                        <a:cs typeface="+mn-cs"/>
                      </a:rPr>
                      <m:t>≤1,0</m:t>
                    </m:r>
                  </m:oMath>
                </m:oMathPara>
              </a14:m>
              <a:endParaRPr lang="es-ES" sz="800"/>
            </a:p>
          </xdr:txBody>
        </xdr:sp>
      </mc:Choice>
      <mc:Fallback xmlns="">
        <xdr:sp macro="" textlink="">
          <xdr:nvSpPr>
            <xdr:cNvPr id="98" name="TextBox 97"/>
            <xdr:cNvSpPr txBox="1"/>
          </xdr:nvSpPr>
          <xdr:spPr>
            <a:xfrm>
              <a:off x="381000" y="97383600"/>
              <a:ext cx="1880194"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mn-lt"/>
                  <a:ea typeface="+mn-ea"/>
                  <a:cs typeface="+mn-cs"/>
                </a:rPr>
                <a:t>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𝑒𝑑,</a:t>
              </a: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a:t>
              </a:r>
              <a:r>
                <a:rPr lang="es-CO" sz="1000" i="0">
                  <a:solidFill>
                    <a:schemeClr val="tx1"/>
                  </a:solidFill>
                  <a:effectLst/>
                  <a:latin typeface="+mn-lt"/>
                  <a:ea typeface="+mn-ea"/>
                  <a:cs typeface="+mn-cs"/>
                </a:rPr>
                <a:t>=0,7+0,3</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𝑐</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𝑎,</a:t>
              </a:r>
              <a:r>
                <a:rPr lang="es-CO" sz="1000" b="0" i="0">
                  <a:solidFill>
                    <a:schemeClr val="tx1"/>
                  </a:solidFill>
                  <a:effectLst/>
                  <a:latin typeface="Cambria Math" panose="02040503050406030204" pitchFamily="18" charset="0"/>
                  <a:ea typeface="+mn-ea"/>
                  <a:cs typeface="+mn-cs"/>
                </a:rPr>
                <a:t>2</a:t>
              </a:r>
              <a:r>
                <a:rPr lang="es-ES" sz="1000" b="0" i="0">
                  <a:solidFill>
                    <a:schemeClr val="tx1"/>
                  </a:solidFill>
                  <a:effectLst/>
                  <a:latin typeface="+mn-lt"/>
                  <a:ea typeface="+mn-ea"/>
                  <a:cs typeface="+mn-cs"/>
                </a:rPr>
                <a:t>)/(</a:t>
              </a:r>
              <a:r>
                <a:rPr lang="es-CO" sz="1000" i="0">
                  <a:solidFill>
                    <a:schemeClr val="tx1"/>
                  </a:solidFill>
                  <a:effectLst/>
                  <a:latin typeface="+mn-lt"/>
                  <a:ea typeface="+mn-ea"/>
                  <a:cs typeface="+mn-cs"/>
                </a:rPr>
                <a:t>1,5</a:t>
              </a:r>
              <a:r>
                <a:rPr lang="es-CO" sz="1000" b="0" i="0">
                  <a:solidFill>
                    <a:schemeClr val="tx1"/>
                  </a:solidFill>
                  <a:effectLst/>
                  <a:latin typeface="Cambria Math" panose="02040503050406030204" pitchFamily="18" charset="0"/>
                  <a:ea typeface="+mn-ea"/>
                  <a:cs typeface="+mn-cs"/>
                </a:rPr>
                <a:t> 𝐶</a:t>
              </a:r>
              <a:r>
                <a:rPr lang="es-ES" sz="1000" b="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𝑎,1</a:t>
              </a:r>
              <a:r>
                <a:rPr lang="es-ES" sz="1000" b="0" i="0">
                  <a:solidFill>
                    <a:schemeClr val="tx1"/>
                  </a:solidFill>
                  <a:effectLst/>
                  <a:latin typeface="+mn-lt"/>
                  <a:ea typeface="+mn-ea"/>
                  <a:cs typeface="+mn-cs"/>
                </a:rPr>
                <a:t>)</a:t>
              </a:r>
              <a:r>
                <a:rPr lang="es-CO" sz="1000" b="0" i="0">
                  <a:solidFill>
                    <a:schemeClr val="tx1"/>
                  </a:solidFill>
                  <a:effectLst/>
                  <a:latin typeface="+mn-lt"/>
                  <a:ea typeface="+mn-ea"/>
                  <a:cs typeface="+mn-cs"/>
                </a:rPr>
                <a:t> </a:t>
              </a:r>
              <a:r>
                <a:rPr lang="es-ES" sz="1000" b="0" i="0">
                  <a:solidFill>
                    <a:schemeClr val="tx1"/>
                  </a:solidFill>
                  <a:effectLst/>
                  <a:latin typeface="+mn-lt"/>
                  <a:ea typeface="+mn-ea"/>
                  <a:cs typeface="+mn-cs"/>
                </a:rPr>
                <a:t>)</a:t>
              </a:r>
              <a:r>
                <a:rPr lang="es-CO" sz="1000" b="0" i="0">
                  <a:solidFill>
                    <a:schemeClr val="tx1"/>
                  </a:solidFill>
                  <a:effectLst/>
                  <a:latin typeface="+mn-lt"/>
                  <a:ea typeface="+mn-ea"/>
                  <a:cs typeface="+mn-cs"/>
                </a:rPr>
                <a:t>)</a:t>
              </a:r>
              <a:r>
                <a:rPr lang="es-CO" sz="1000" i="0">
                  <a:solidFill>
                    <a:schemeClr val="tx1"/>
                  </a:solidFill>
                  <a:effectLst/>
                  <a:latin typeface="+mn-lt"/>
                  <a:ea typeface="+mn-ea"/>
                  <a:cs typeface="+mn-cs"/>
                </a:rPr>
                <a:t>≤1,0</a:t>
              </a:r>
              <a:endParaRPr lang="es-ES" sz="800"/>
            </a:p>
          </xdr:txBody>
        </xdr:sp>
      </mc:Fallback>
    </mc:AlternateContent>
    <xdr:clientData/>
  </xdr:oneCellAnchor>
  <xdr:oneCellAnchor>
    <xdr:from>
      <xdr:col>2</xdr:col>
      <xdr:colOff>19050</xdr:colOff>
      <xdr:row>583</xdr:row>
      <xdr:rowOff>19050</xdr:rowOff>
    </xdr:from>
    <xdr:ext cx="1317540" cy="457369"/>
    <mc:AlternateContent xmlns:mc="http://schemas.openxmlformats.org/markup-compatibility/2006" xmlns:a14="http://schemas.microsoft.com/office/drawing/2010/main">
      <mc:Choice Requires="a14">
        <xdr:sp macro="" textlink="">
          <xdr:nvSpPr>
            <xdr:cNvPr id="99" name="TextBox 98"/>
            <xdr:cNvSpPr txBox="1"/>
          </xdr:nvSpPr>
          <xdr:spPr>
            <a:xfrm>
              <a:off x="381000" y="97764600"/>
              <a:ext cx="1317540" cy="457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100" i="1">
                            <a:solidFill>
                              <a:schemeClr val="tx1"/>
                            </a:solidFill>
                            <a:effectLst/>
                            <a:latin typeface="Cambria Math" panose="02040503050406030204" pitchFamily="18" charset="0"/>
                            <a:ea typeface="+mn-ea"/>
                            <a:cs typeface="+mn-cs"/>
                          </a:rPr>
                        </m:ctrlPr>
                      </m:sSubPr>
                      <m:e>
                        <m:r>
                          <a:rPr lang="es-CO" sz="1100" i="1">
                            <a:solidFill>
                              <a:schemeClr val="tx1"/>
                            </a:solidFill>
                            <a:effectLst/>
                            <a:latin typeface="Cambria Math" panose="02040503050406030204" pitchFamily="18" charset="0"/>
                            <a:ea typeface="+mn-ea"/>
                            <a:cs typeface="+mn-cs"/>
                          </a:rPr>
                          <m:t>𝜓</m:t>
                        </m:r>
                      </m:e>
                      <m:sub>
                        <m:r>
                          <a:rPr lang="es-CO" sz="1100" b="0" i="1">
                            <a:solidFill>
                              <a:schemeClr val="tx1"/>
                            </a:solidFill>
                            <a:effectLst/>
                            <a:latin typeface="Cambria Math" panose="02040503050406030204" pitchFamily="18" charset="0"/>
                            <a:ea typeface="+mn-ea"/>
                            <a:cs typeface="+mn-cs"/>
                          </a:rPr>
                          <m:t>h</m:t>
                        </m:r>
                        <m:r>
                          <a:rPr lang="es-CO" sz="110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𝑉</m:t>
                        </m:r>
                      </m:sub>
                    </m:sSub>
                    <m:r>
                      <a:rPr lang="es-CO" sz="1000" i="1">
                        <a:solidFill>
                          <a:schemeClr val="tx1"/>
                        </a:solidFill>
                        <a:effectLst/>
                        <a:latin typeface="Cambria Math" panose="02040503050406030204" pitchFamily="18" charset="0"/>
                        <a:ea typeface="+mn-ea"/>
                        <a:cs typeface="+mn-cs"/>
                      </a:rPr>
                      <m:t>=</m:t>
                    </m:r>
                    <m:rad>
                      <m:radPr>
                        <m:degHide m:val="on"/>
                        <m:ctrlPr>
                          <a:rPr lang="es-ES" sz="1000" i="1">
                            <a:solidFill>
                              <a:schemeClr val="tx1"/>
                            </a:solidFill>
                            <a:effectLst/>
                            <a:latin typeface="Cambria Math" panose="02040503050406030204" pitchFamily="18" charset="0"/>
                            <a:ea typeface="+mn-ea"/>
                            <a:cs typeface="+mn-cs"/>
                          </a:rPr>
                        </m:ctrlPr>
                      </m:radPr>
                      <m:deg/>
                      <m:e>
                        <m:f>
                          <m:fPr>
                            <m:ctrlPr>
                              <a:rPr lang="es-ES" sz="1000" i="1">
                                <a:solidFill>
                                  <a:schemeClr val="tx1"/>
                                </a:solidFill>
                                <a:effectLst/>
                                <a:latin typeface="Cambria Math" panose="02040503050406030204" pitchFamily="18" charset="0"/>
                                <a:ea typeface="+mn-ea"/>
                                <a:cs typeface="+mn-cs"/>
                              </a:rPr>
                            </m:ctrlPr>
                          </m:fPr>
                          <m:num>
                            <m:r>
                              <a:rPr lang="es-CO" sz="1000" b="0" i="1">
                                <a:solidFill>
                                  <a:schemeClr val="tx1"/>
                                </a:solidFill>
                                <a:effectLst/>
                                <a:latin typeface="Cambria Math" panose="02040503050406030204" pitchFamily="18" charset="0"/>
                                <a:ea typeface="+mn-ea"/>
                                <a:cs typeface="+mn-cs"/>
                              </a:rPr>
                              <m:t>1,5 </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,1</m:t>
                                </m:r>
                              </m:sub>
                            </m:sSub>
                          </m:num>
                          <m:den>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h</m:t>
                                </m:r>
                              </m:e>
                              <m:sub>
                                <m:r>
                                  <a:rPr lang="es-CO" sz="1000" b="0" i="1">
                                    <a:solidFill>
                                      <a:schemeClr val="tx1"/>
                                    </a:solidFill>
                                    <a:effectLst/>
                                    <a:latin typeface="Cambria Math" panose="02040503050406030204" pitchFamily="18" charset="0"/>
                                    <a:ea typeface="+mn-ea"/>
                                    <a:cs typeface="+mn-cs"/>
                                  </a:rPr>
                                  <m:t>𝑎</m:t>
                                </m:r>
                              </m:sub>
                            </m:sSub>
                          </m:den>
                        </m:f>
                      </m:e>
                    </m:rad>
                    <m:r>
                      <a:rPr lang="es-CO" sz="1000" b="0" i="1">
                        <a:solidFill>
                          <a:schemeClr val="tx1"/>
                        </a:solidFill>
                        <a:effectLst/>
                        <a:latin typeface="Cambria Math" panose="02040503050406030204" pitchFamily="18" charset="0"/>
                        <a:ea typeface="+mn-ea"/>
                        <a:cs typeface="+mn-cs"/>
                      </a:rPr>
                      <m:t> </m:t>
                    </m:r>
                    <m:r>
                      <a:rPr lang="es-CO" sz="1000" i="1">
                        <a:solidFill>
                          <a:schemeClr val="tx1"/>
                        </a:solidFill>
                        <a:effectLst/>
                        <a:latin typeface="Cambria Math" panose="02040503050406030204" pitchFamily="18" charset="0"/>
                        <a:ea typeface="Cambria Math" panose="02040503050406030204" pitchFamily="18" charset="0"/>
                        <a:cs typeface="+mn-cs"/>
                      </a:rPr>
                      <m:t>≥</m:t>
                    </m:r>
                    <m:r>
                      <a:rPr lang="es-CO" sz="1000" b="0" i="1">
                        <a:solidFill>
                          <a:schemeClr val="tx1"/>
                        </a:solidFill>
                        <a:effectLst/>
                        <a:latin typeface="Cambria Math" panose="02040503050406030204" pitchFamily="18" charset="0"/>
                        <a:ea typeface="Cambria Math" panose="02040503050406030204" pitchFamily="18" charset="0"/>
                        <a:cs typeface="+mn-cs"/>
                      </a:rPr>
                      <m:t>1,0</m:t>
                    </m:r>
                  </m:oMath>
                </m:oMathPara>
              </a14:m>
              <a:endParaRPr lang="es-ES" sz="1000"/>
            </a:p>
          </xdr:txBody>
        </xdr:sp>
      </mc:Choice>
      <mc:Fallback xmlns="">
        <xdr:sp macro="" textlink="">
          <xdr:nvSpPr>
            <xdr:cNvPr id="99" name="TextBox 98"/>
            <xdr:cNvSpPr txBox="1"/>
          </xdr:nvSpPr>
          <xdr:spPr>
            <a:xfrm>
              <a:off x="381000" y="97764600"/>
              <a:ext cx="1317540" cy="457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i="0">
                  <a:solidFill>
                    <a:schemeClr val="tx1"/>
                  </a:solidFill>
                  <a:effectLst/>
                  <a:latin typeface="+mn-lt"/>
                  <a:ea typeface="+mn-ea"/>
                  <a:cs typeface="+mn-cs"/>
                </a:rPr>
                <a:t>𝜓</a:t>
              </a:r>
              <a:r>
                <a:rPr lang="es-ES" sz="1100" i="0">
                  <a:solidFill>
                    <a:schemeClr val="tx1"/>
                  </a:solidFill>
                  <a:effectLst/>
                  <a:latin typeface="+mn-lt"/>
                  <a:ea typeface="+mn-ea"/>
                  <a:cs typeface="+mn-cs"/>
                </a:rPr>
                <a:t>_(</a:t>
              </a:r>
              <a:r>
                <a:rPr lang="es-CO" sz="1100" b="0" i="0">
                  <a:solidFill>
                    <a:schemeClr val="tx1"/>
                  </a:solidFill>
                  <a:effectLst/>
                  <a:latin typeface="Cambria Math" panose="02040503050406030204" pitchFamily="18" charset="0"/>
                  <a:ea typeface="+mn-ea"/>
                  <a:cs typeface="+mn-cs"/>
                </a:rPr>
                <a:t>ℎ</a:t>
              </a:r>
              <a:r>
                <a:rPr lang="es-CO" sz="1100" i="0">
                  <a:solidFill>
                    <a:schemeClr val="tx1"/>
                  </a:solidFill>
                  <a:effectLst/>
                  <a:latin typeface="+mn-lt"/>
                  <a:ea typeface="+mn-ea"/>
                  <a:cs typeface="+mn-cs"/>
                </a:rPr>
                <a:t>,</a:t>
              </a:r>
              <a:r>
                <a:rPr lang="es-CO" sz="1100" b="0" i="0">
                  <a:solidFill>
                    <a:schemeClr val="tx1"/>
                  </a:solidFill>
                  <a:effectLst/>
                  <a:latin typeface="+mn-lt"/>
                  <a:ea typeface="+mn-ea"/>
                  <a:cs typeface="+mn-cs"/>
                </a:rPr>
                <a:t>𝑉</a:t>
              </a:r>
              <a:r>
                <a:rPr lang="es-ES" sz="1100" b="0" i="0">
                  <a:solidFill>
                    <a:schemeClr val="tx1"/>
                  </a:solidFill>
                  <a:effectLst/>
                  <a:latin typeface="+mn-lt"/>
                  <a:ea typeface="+mn-ea"/>
                  <a:cs typeface="+mn-cs"/>
                </a:rPr>
                <a:t>)</a:t>
              </a:r>
              <a:r>
                <a:rPr lang="es-CO" sz="1000" i="0">
                  <a:solidFill>
                    <a:schemeClr val="tx1"/>
                  </a:solidFill>
                  <a:effectLst/>
                  <a:latin typeface="+mn-lt"/>
                  <a:ea typeface="+mn-ea"/>
                  <a:cs typeface="+mn-cs"/>
                </a:rPr>
                <a:t>=</a:t>
              </a:r>
              <a:r>
                <a:rPr lang="es-ES" sz="1000" i="0">
                  <a:solidFill>
                    <a:schemeClr val="tx1"/>
                  </a:solidFill>
                  <a:effectLst/>
                  <a:latin typeface="+mn-lt"/>
                  <a:ea typeface="+mn-ea"/>
                  <a:cs typeface="+mn-cs"/>
                </a:rPr>
                <a:t>√((</a:t>
              </a:r>
              <a:r>
                <a:rPr lang="es-CO" sz="1000" b="0" i="0">
                  <a:solidFill>
                    <a:schemeClr val="tx1"/>
                  </a:solidFill>
                  <a:effectLst/>
                  <a:latin typeface="Cambria Math" panose="02040503050406030204" pitchFamily="18" charset="0"/>
                  <a:ea typeface="+mn-ea"/>
                  <a:cs typeface="+mn-cs"/>
                </a:rPr>
                <a:t>1,5 𝑐</a:t>
              </a:r>
              <a:r>
                <a:rPr lang="es-ES" sz="1000" b="0" i="0">
                  <a:solidFill>
                    <a:schemeClr val="tx1"/>
                  </a:solidFill>
                  <a:effectLst/>
                  <a:latin typeface="+mn-lt"/>
                  <a:ea typeface="+mn-ea"/>
                  <a:cs typeface="+mn-cs"/>
                </a:rPr>
                <a:t>_(</a:t>
              </a:r>
              <a:r>
                <a:rPr lang="es-CO" sz="1000" b="0" i="0">
                  <a:solidFill>
                    <a:schemeClr val="tx1"/>
                  </a:solidFill>
                  <a:effectLst/>
                  <a:latin typeface="Cambria Math" panose="02040503050406030204" pitchFamily="18" charset="0"/>
                  <a:ea typeface="+mn-ea"/>
                  <a:cs typeface="+mn-cs"/>
                </a:rPr>
                <a:t>𝑎,1</a:t>
              </a:r>
              <a:r>
                <a:rPr lang="es-ES" sz="1000" b="0" i="0">
                  <a:solidFill>
                    <a:schemeClr val="tx1"/>
                  </a:solidFill>
                  <a:effectLst/>
                  <a:latin typeface="+mn-lt"/>
                  <a:ea typeface="+mn-ea"/>
                  <a:cs typeface="+mn-cs"/>
                </a:rPr>
                <a:t>))/</a:t>
              </a:r>
              <a:r>
                <a:rPr lang="es-CO" sz="1000" b="0" i="0">
                  <a:solidFill>
                    <a:schemeClr val="tx1"/>
                  </a:solidFill>
                  <a:effectLst/>
                  <a:latin typeface="Cambria Math" panose="02040503050406030204" pitchFamily="18" charset="0"/>
                  <a:ea typeface="+mn-ea"/>
                  <a:cs typeface="+mn-cs"/>
                </a:rPr>
                <a:t>ℎ_𝑎</a:t>
              </a:r>
              <a:r>
                <a:rPr lang="es-CO" sz="1000" b="0" i="0">
                  <a:solidFill>
                    <a:schemeClr val="tx1"/>
                  </a:solidFill>
                  <a:effectLst/>
                  <a:latin typeface="+mn-lt"/>
                  <a:ea typeface="+mn-ea"/>
                  <a:cs typeface="+mn-cs"/>
                </a:rPr>
                <a:t> </a:t>
              </a:r>
              <a:r>
                <a:rPr lang="es-ES" sz="1000" b="0" i="0">
                  <a:solidFill>
                    <a:schemeClr val="tx1"/>
                  </a:solidFill>
                  <a:effectLst/>
                  <a:latin typeface="+mn-lt"/>
                  <a:ea typeface="+mn-ea"/>
                  <a:cs typeface="+mn-cs"/>
                </a:rPr>
                <a:t>)</a:t>
              </a:r>
              <a:r>
                <a:rPr lang="es-CO"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Cambria Math" panose="02040503050406030204" pitchFamily="18" charset="0"/>
                  <a:cs typeface="+mn-cs"/>
                </a:rPr>
                <a:t>≥</a:t>
              </a:r>
              <a:r>
                <a:rPr lang="es-CO" sz="1000" b="0" i="0">
                  <a:solidFill>
                    <a:schemeClr val="tx1"/>
                  </a:solidFill>
                  <a:effectLst/>
                  <a:latin typeface="Cambria Math" panose="02040503050406030204" pitchFamily="18" charset="0"/>
                  <a:ea typeface="Cambria Math" panose="02040503050406030204" pitchFamily="18" charset="0"/>
                  <a:cs typeface="+mn-cs"/>
                </a:rPr>
                <a:t>1,0</a:t>
              </a:r>
              <a:endParaRPr lang="es-ES" sz="1000"/>
            </a:p>
          </xdr:txBody>
        </xdr:sp>
      </mc:Fallback>
    </mc:AlternateContent>
    <xdr:clientData/>
  </xdr:oneCellAnchor>
  <xdr:oneCellAnchor>
    <xdr:from>
      <xdr:col>2</xdr:col>
      <xdr:colOff>19050</xdr:colOff>
      <xdr:row>584</xdr:row>
      <xdr:rowOff>19050</xdr:rowOff>
    </xdr:from>
    <xdr:ext cx="1447769" cy="313163"/>
    <mc:AlternateContent xmlns:mc="http://schemas.openxmlformats.org/markup-compatibility/2006" xmlns:a14="http://schemas.microsoft.com/office/drawing/2010/main">
      <mc:Choice Requires="a14">
        <xdr:sp macro="" textlink="">
          <xdr:nvSpPr>
            <xdr:cNvPr id="101" name="TextBox 100"/>
            <xdr:cNvSpPr txBox="1"/>
          </xdr:nvSpPr>
          <xdr:spPr>
            <a:xfrm>
              <a:off x="381000" y="98250375"/>
              <a:ext cx="1447769" cy="313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𝑏</m:t>
                        </m:r>
                      </m:sub>
                    </m:sSub>
                    <m:r>
                      <a:rPr lang="es-CO" sz="1000" b="0" i="1">
                        <a:solidFill>
                          <a:schemeClr val="tx1"/>
                        </a:solidFill>
                        <a:effectLst/>
                        <a:latin typeface="Cambria Math" panose="02040503050406030204" pitchFamily="18" charset="0"/>
                        <a:ea typeface="+mn-ea"/>
                        <a:cs typeface="+mn-cs"/>
                      </a:rPr>
                      <m:t>=</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𝐾</m:t>
                        </m:r>
                      </m:e>
                      <m:sub>
                        <m:r>
                          <a:rPr lang="es-CO" sz="1000" b="0" i="1">
                            <a:solidFill>
                              <a:schemeClr val="tx1"/>
                            </a:solidFill>
                            <a:effectLst/>
                            <a:latin typeface="Cambria Math" panose="02040503050406030204" pitchFamily="18" charset="0"/>
                            <a:ea typeface="+mn-ea"/>
                            <a:cs typeface="+mn-cs"/>
                          </a:rPr>
                          <m:t>𝑡𝑖𝑝𝑜</m:t>
                        </m:r>
                      </m:sub>
                    </m:sSub>
                    <m:r>
                      <a:rPr lang="es-CO" sz="1000" b="0" i="1">
                        <a:solidFill>
                          <a:schemeClr val="tx1"/>
                        </a:solidFill>
                        <a:effectLst/>
                        <a:latin typeface="Cambria Math" panose="02040503050406030204" pitchFamily="18" charset="0"/>
                        <a:ea typeface="+mn-ea"/>
                        <a:cs typeface="+mn-cs"/>
                      </a:rPr>
                      <m:t> </m:t>
                    </m:r>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𝜆</m:t>
                        </m:r>
                      </m:e>
                      <m:sub>
                        <m:r>
                          <a:rPr lang="es-CO" sz="1000" i="1">
                            <a:solidFill>
                              <a:schemeClr val="tx1"/>
                            </a:solidFill>
                            <a:effectLst/>
                            <a:latin typeface="Cambria Math" panose="02040503050406030204" pitchFamily="18" charset="0"/>
                            <a:ea typeface="+mn-ea"/>
                            <a:cs typeface="+mn-cs"/>
                          </a:rPr>
                          <m:t>𝑎</m:t>
                        </m:r>
                      </m:sub>
                    </m:sSub>
                    <m:rad>
                      <m:radPr>
                        <m:degHide m:val="on"/>
                        <m:ctrlPr>
                          <a:rPr lang="es-ES" sz="1000" i="1">
                            <a:solidFill>
                              <a:schemeClr val="tx1"/>
                            </a:solidFill>
                            <a:effectLst/>
                            <a:latin typeface="Cambria Math" panose="02040503050406030204" pitchFamily="18" charset="0"/>
                            <a:ea typeface="+mn-ea"/>
                            <a:cs typeface="+mn-cs"/>
                          </a:rPr>
                        </m:ctrlPr>
                      </m:radPr>
                      <m:deg/>
                      <m:e>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𝑓</m:t>
                            </m:r>
                            <m:r>
                              <a:rPr lang="es-CO" sz="1000" i="1">
                                <a:solidFill>
                                  <a:schemeClr val="tx1"/>
                                </a:solidFill>
                                <a:effectLst/>
                                <a:latin typeface="Cambria Math" panose="02040503050406030204" pitchFamily="18" charset="0"/>
                                <a:ea typeface="+mn-ea"/>
                                <a:cs typeface="+mn-cs"/>
                              </a:rPr>
                              <m:t>′</m:t>
                            </m:r>
                          </m:e>
                          <m:sub>
                            <m:r>
                              <a:rPr lang="es-CO" sz="1000" i="1">
                                <a:solidFill>
                                  <a:schemeClr val="tx1"/>
                                </a:solidFill>
                                <a:effectLst/>
                                <a:latin typeface="Cambria Math" panose="02040503050406030204" pitchFamily="18" charset="0"/>
                                <a:ea typeface="+mn-ea"/>
                                <a:cs typeface="+mn-cs"/>
                              </a:rPr>
                              <m:t>𝑐</m:t>
                            </m:r>
                          </m:sub>
                        </m:sSub>
                      </m:e>
                    </m:rad>
                    <m:sSup>
                      <m:sSupPr>
                        <m:ctrlPr>
                          <a:rPr lang="es-CO" sz="1000" i="1">
                            <a:solidFill>
                              <a:schemeClr val="tx1"/>
                            </a:solidFill>
                            <a:effectLst/>
                            <a:latin typeface="Cambria Math" panose="02040503050406030204" pitchFamily="18" charset="0"/>
                            <a:ea typeface="+mn-ea"/>
                            <a:cs typeface="+mn-cs"/>
                          </a:rPr>
                        </m:ctrlPr>
                      </m:sSupPr>
                      <m:e>
                        <m:d>
                          <m:dPr>
                            <m:ctrlPr>
                              <a:rPr lang="es-CO" sz="1000" b="0" i="1">
                                <a:solidFill>
                                  <a:schemeClr val="tx1"/>
                                </a:solidFill>
                                <a:effectLst/>
                                <a:latin typeface="Cambria Math" panose="02040503050406030204" pitchFamily="18" charset="0"/>
                                <a:ea typeface="+mn-ea"/>
                                <a:cs typeface="+mn-cs"/>
                              </a:rPr>
                            </m:ctrlPr>
                          </m:dPr>
                          <m:e>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,1</m:t>
                                </m:r>
                              </m:sub>
                            </m:sSub>
                          </m:e>
                        </m:d>
                      </m:e>
                      <m:sup>
                        <m:r>
                          <a:rPr lang="es-CO" sz="1000" b="0" i="1">
                            <a:solidFill>
                              <a:schemeClr val="tx1"/>
                            </a:solidFill>
                            <a:effectLst/>
                            <a:latin typeface="Cambria Math" panose="02040503050406030204" pitchFamily="18" charset="0"/>
                            <a:ea typeface="+mn-ea"/>
                            <a:cs typeface="+mn-cs"/>
                          </a:rPr>
                          <m:t>1,5</m:t>
                        </m:r>
                      </m:sup>
                    </m:sSup>
                  </m:oMath>
                </m:oMathPara>
              </a14:m>
              <a:endParaRPr lang="es-ES" sz="800"/>
            </a:p>
          </xdr:txBody>
        </xdr:sp>
      </mc:Choice>
      <mc:Fallback xmlns="">
        <xdr:sp macro="" textlink="">
          <xdr:nvSpPr>
            <xdr:cNvPr id="101" name="TextBox 100"/>
            <xdr:cNvSpPr txBox="1"/>
          </xdr:nvSpPr>
          <xdr:spPr>
            <a:xfrm>
              <a:off x="381000" y="98250375"/>
              <a:ext cx="1447769" cy="313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mn-lt"/>
                  <a:ea typeface="+mn-ea"/>
                  <a:cs typeface="+mn-cs"/>
                </a:rPr>
                <a:t>_</a:t>
              </a:r>
              <a:r>
                <a:rPr lang="es-CO" sz="1000" i="0">
                  <a:solidFill>
                    <a:schemeClr val="tx1"/>
                  </a:solidFill>
                  <a:effectLst/>
                  <a:latin typeface="+mn-lt"/>
                  <a:ea typeface="+mn-ea"/>
                  <a:cs typeface="+mn-cs"/>
                </a:rPr>
                <a:t>𝑏</a:t>
              </a:r>
              <a:r>
                <a:rPr lang="es-CO" sz="1000" b="0" i="0">
                  <a:solidFill>
                    <a:schemeClr val="tx1"/>
                  </a:solidFill>
                  <a:effectLst/>
                  <a:latin typeface="Cambria Math" panose="02040503050406030204" pitchFamily="18" charset="0"/>
                  <a:ea typeface="+mn-ea"/>
                  <a:cs typeface="+mn-cs"/>
                </a:rPr>
                <a:t>=𝐾_𝑡𝑖𝑝𝑜  </a:t>
              </a:r>
              <a:r>
                <a:rPr lang="es-CO" sz="1000" i="0">
                  <a:solidFill>
                    <a:schemeClr val="tx1"/>
                  </a:solidFill>
                  <a:effectLst/>
                  <a:latin typeface="+mn-lt"/>
                  <a:ea typeface="+mn-ea"/>
                  <a:cs typeface="+mn-cs"/>
                </a:rPr>
                <a:t>𝜆</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𝑎</a:t>
              </a:r>
              <a:r>
                <a:rPr lang="es-ES" sz="1000" i="0">
                  <a:solidFill>
                    <a:schemeClr val="tx1"/>
                  </a:solidFill>
                  <a:effectLst/>
                  <a:latin typeface="+mn-lt"/>
                  <a:ea typeface="+mn-ea"/>
                  <a:cs typeface="+mn-cs"/>
                </a:rPr>
                <a:t> √(〖</a:t>
              </a:r>
              <a:r>
                <a:rPr lang="es-CO" sz="1000" i="0">
                  <a:solidFill>
                    <a:schemeClr val="tx1"/>
                  </a:solidFill>
                  <a:effectLst/>
                  <a:latin typeface="+mn-lt"/>
                  <a:ea typeface="+mn-ea"/>
                  <a:cs typeface="+mn-cs"/>
                </a:rPr>
                <a:t>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𝑐 </a:t>
              </a:r>
              <a:r>
                <a:rPr lang="es-ES" sz="1000" i="0">
                  <a:solidFill>
                    <a:schemeClr val="tx1"/>
                  </a:solidFill>
                  <a:effectLst/>
                  <a:latin typeface="+mn-lt"/>
                  <a:ea typeface="+mn-ea"/>
                  <a:cs typeface="+mn-cs"/>
                </a:rPr>
                <a:t>)</a:t>
              </a:r>
              <a:r>
                <a:rPr lang="es-CO" sz="1000" i="0">
                  <a:solidFill>
                    <a:schemeClr val="tx1"/>
                  </a:solidFill>
                  <a:effectLst/>
                  <a:latin typeface="Cambria Math" panose="02040503050406030204" pitchFamily="18" charset="0"/>
                  <a:ea typeface="+mn-ea"/>
                  <a:cs typeface="+mn-cs"/>
                </a:rPr>
                <a:t> </a:t>
              </a:r>
              <a:r>
                <a:rPr lang="es-CO" sz="1000" b="0" i="0">
                  <a:solidFill>
                    <a:schemeClr val="tx1"/>
                  </a:solidFill>
                  <a:effectLst/>
                  <a:latin typeface="Cambria Math" panose="02040503050406030204" pitchFamily="18" charset="0"/>
                  <a:ea typeface="+mn-ea"/>
                  <a:cs typeface="+mn-cs"/>
                </a:rPr>
                <a:t>(𝑐_(𝑎,1) )^1,5</a:t>
              </a:r>
              <a:endParaRPr lang="es-ES" sz="800"/>
            </a:p>
          </xdr:txBody>
        </xdr:sp>
      </mc:Fallback>
    </mc:AlternateContent>
    <xdr:clientData/>
  </xdr:oneCellAnchor>
  <xdr:oneCellAnchor>
    <xdr:from>
      <xdr:col>2</xdr:col>
      <xdr:colOff>19050</xdr:colOff>
      <xdr:row>585</xdr:row>
      <xdr:rowOff>19050</xdr:rowOff>
    </xdr:from>
    <xdr:ext cx="1455142" cy="527517"/>
    <mc:AlternateContent xmlns:mc="http://schemas.openxmlformats.org/markup-compatibility/2006" xmlns:a14="http://schemas.microsoft.com/office/drawing/2010/main">
      <mc:Choice Requires="a14">
        <xdr:sp macro="" textlink="">
          <xdr:nvSpPr>
            <xdr:cNvPr id="102" name="TextBox 101"/>
            <xdr:cNvSpPr txBox="1"/>
          </xdr:nvSpPr>
          <xdr:spPr>
            <a:xfrm>
              <a:off x="381000" y="98593275"/>
              <a:ext cx="1455142" cy="5275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left"/>
                  </m:oMathParaPr>
                  <m:oMath xmlns:m="http://schemas.openxmlformats.org/officeDocument/2006/math">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𝐾</m:t>
                        </m:r>
                      </m:e>
                      <m:sub>
                        <m:r>
                          <a:rPr lang="es-CO" sz="700" b="0" i="1">
                            <a:solidFill>
                              <a:schemeClr val="tx1"/>
                            </a:solidFill>
                            <a:effectLst/>
                            <a:latin typeface="Cambria Math" panose="02040503050406030204" pitchFamily="18" charset="0"/>
                            <a:ea typeface="+mn-ea"/>
                            <a:cs typeface="+mn-cs"/>
                          </a:rPr>
                          <m:t>𝑡𝑖𝑝𝑜</m:t>
                        </m:r>
                      </m:sub>
                    </m:sSub>
                    <m:r>
                      <a:rPr lang="es-CO" sz="700" b="0" i="1">
                        <a:solidFill>
                          <a:schemeClr val="tx1"/>
                        </a:solidFill>
                        <a:effectLst/>
                        <a:latin typeface="Cambria Math" panose="02040503050406030204" pitchFamily="18" charset="0"/>
                        <a:ea typeface="+mn-ea"/>
                        <a:cs typeface="+mn-cs"/>
                      </a:rPr>
                      <m:t>=</m:t>
                    </m:r>
                    <m:d>
                      <m:dPr>
                        <m:begChr m:val="{"/>
                        <m:endChr m:val=""/>
                        <m:ctrlPr>
                          <a:rPr lang="es-CO" sz="700" b="0" i="1">
                            <a:solidFill>
                              <a:schemeClr val="tx1"/>
                            </a:solidFill>
                            <a:effectLst/>
                            <a:latin typeface="Cambria Math" panose="02040503050406030204" pitchFamily="18" charset="0"/>
                            <a:ea typeface="+mn-ea"/>
                            <a:cs typeface="+mn-cs"/>
                          </a:rPr>
                        </m:ctrlPr>
                      </m:dPr>
                      <m:e>
                        <m:eqArr>
                          <m:eqArrPr>
                            <m:ctrlPr>
                              <a:rPr lang="es-CO" sz="700" b="0" i="1">
                                <a:solidFill>
                                  <a:schemeClr val="tx1"/>
                                </a:solidFill>
                                <a:effectLst/>
                                <a:latin typeface="Cambria Math" panose="02040503050406030204" pitchFamily="18" charset="0"/>
                                <a:ea typeface="+mn-ea"/>
                                <a:cs typeface="+mn-cs"/>
                              </a:rPr>
                            </m:ctrlPr>
                          </m:eqArrPr>
                          <m:e>
                            <m:r>
                              <a:rPr lang="es-CO" sz="700" b="0" i="1">
                                <a:solidFill>
                                  <a:schemeClr val="tx1"/>
                                </a:solidFill>
                                <a:effectLst/>
                                <a:latin typeface="Cambria Math" panose="02040503050406030204" pitchFamily="18" charset="0"/>
                                <a:ea typeface="+mn-ea"/>
                                <a:cs typeface="+mn-cs"/>
                              </a:rPr>
                              <m:t>𝑀𝐼𝑁</m:t>
                            </m:r>
                            <m:d>
                              <m:dPr>
                                <m:ctrlPr>
                                  <a:rPr lang="es-CO" sz="700" b="0" i="1">
                                    <a:solidFill>
                                      <a:schemeClr val="tx1"/>
                                    </a:solidFill>
                                    <a:effectLst/>
                                    <a:latin typeface="Cambria Math" panose="02040503050406030204" pitchFamily="18" charset="0"/>
                                    <a:ea typeface="+mn-ea"/>
                                    <a:cs typeface="+mn-cs"/>
                                  </a:rPr>
                                </m:ctrlPr>
                              </m:dPr>
                              <m:e>
                                <m:r>
                                  <a:rPr lang="es-CO" sz="700" b="0" i="1">
                                    <a:solidFill>
                                      <a:schemeClr val="tx1"/>
                                    </a:solidFill>
                                    <a:effectLst/>
                                    <a:latin typeface="Cambria Math" panose="02040503050406030204" pitchFamily="18" charset="0"/>
                                    <a:ea typeface="+mn-ea"/>
                                    <a:cs typeface="+mn-cs"/>
                                  </a:rPr>
                                  <m:t>9 </m:t>
                                </m:r>
                              </m:e>
                              <m:e>
                                <m:r>
                                  <a:rPr lang="es-CO" sz="700" b="0" i="1">
                                    <a:solidFill>
                                      <a:schemeClr val="tx1"/>
                                    </a:solidFill>
                                    <a:effectLst/>
                                    <a:latin typeface="Cambria Math" panose="02040503050406030204" pitchFamily="18" charset="0"/>
                                    <a:ea typeface="+mn-ea"/>
                                    <a:cs typeface="+mn-cs"/>
                                  </a:rPr>
                                  <m:t> 0,66 </m:t>
                                </m:r>
                                <m:sSup>
                                  <m:sSupPr>
                                    <m:ctrlPr>
                                      <a:rPr lang="es-CO" sz="700" b="0" i="1">
                                        <a:solidFill>
                                          <a:schemeClr val="tx1"/>
                                        </a:solidFill>
                                        <a:effectLst/>
                                        <a:latin typeface="Cambria Math" panose="02040503050406030204" pitchFamily="18" charset="0"/>
                                        <a:ea typeface="+mn-ea"/>
                                        <a:cs typeface="+mn-cs"/>
                                      </a:rPr>
                                    </m:ctrlPr>
                                  </m:sSupPr>
                                  <m:e>
                                    <m:d>
                                      <m:dPr>
                                        <m:ctrlPr>
                                          <a:rPr lang="es-CO" sz="700" b="0" i="1">
                                            <a:solidFill>
                                              <a:schemeClr val="tx1"/>
                                            </a:solidFill>
                                            <a:effectLst/>
                                            <a:latin typeface="Cambria Math" panose="02040503050406030204" pitchFamily="18" charset="0"/>
                                            <a:ea typeface="+mn-ea"/>
                                            <a:cs typeface="+mn-cs"/>
                                          </a:rPr>
                                        </m:ctrlPr>
                                      </m:dPr>
                                      <m:e>
                                        <m:f>
                                          <m:fPr>
                                            <m:ctrlPr>
                                              <a:rPr lang="es-CO" sz="700" b="0" i="1">
                                                <a:solidFill>
                                                  <a:schemeClr val="tx1"/>
                                                </a:solidFill>
                                                <a:effectLst/>
                                                <a:latin typeface="Cambria Math" panose="02040503050406030204" pitchFamily="18" charset="0"/>
                                                <a:ea typeface="+mn-ea"/>
                                                <a:cs typeface="+mn-cs"/>
                                              </a:rPr>
                                            </m:ctrlPr>
                                          </m:fPr>
                                          <m:num>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ℓ</m:t>
                                                </m:r>
                                              </m:e>
                                              <m:sub>
                                                <m:r>
                                                  <a:rPr lang="es-CO" sz="700" b="0" i="1">
                                                    <a:solidFill>
                                                      <a:schemeClr val="tx1"/>
                                                    </a:solidFill>
                                                    <a:effectLst/>
                                                    <a:latin typeface="Cambria Math" panose="02040503050406030204" pitchFamily="18" charset="0"/>
                                                    <a:ea typeface="+mn-ea"/>
                                                    <a:cs typeface="+mn-cs"/>
                                                  </a:rPr>
                                                  <m:t>𝑒</m:t>
                                                </m:r>
                                              </m:sub>
                                            </m:sSub>
                                          </m:num>
                                          <m:den>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𝑑</m:t>
                                                </m:r>
                                              </m:e>
                                              <m:sub>
                                                <m:r>
                                                  <a:rPr lang="es-CO" sz="700" b="0" i="1">
                                                    <a:solidFill>
                                                      <a:schemeClr val="tx1"/>
                                                    </a:solidFill>
                                                    <a:effectLst/>
                                                    <a:latin typeface="Cambria Math" panose="02040503050406030204" pitchFamily="18" charset="0"/>
                                                    <a:ea typeface="+mn-ea"/>
                                                    <a:cs typeface="+mn-cs"/>
                                                  </a:rPr>
                                                  <m:t>𝑎</m:t>
                                                </m:r>
                                              </m:sub>
                                            </m:sSub>
                                          </m:den>
                                        </m:f>
                                      </m:e>
                                    </m:d>
                                  </m:e>
                                  <m:sup>
                                    <m:r>
                                      <a:rPr lang="es-CO" sz="700" b="0" i="1">
                                        <a:solidFill>
                                          <a:schemeClr val="tx1"/>
                                        </a:solidFill>
                                        <a:effectLst/>
                                        <a:latin typeface="Cambria Math" panose="02040503050406030204" pitchFamily="18" charset="0"/>
                                        <a:ea typeface="+mn-ea"/>
                                        <a:cs typeface="+mn-cs"/>
                                      </a:rPr>
                                      <m:t>0,2</m:t>
                                    </m:r>
                                  </m:sup>
                                </m:sSup>
                                <m:rad>
                                  <m:radPr>
                                    <m:degHide m:val="on"/>
                                    <m:ctrlPr>
                                      <a:rPr lang="es-CO" sz="700" b="0" i="1">
                                        <a:solidFill>
                                          <a:schemeClr val="tx1"/>
                                        </a:solidFill>
                                        <a:effectLst/>
                                        <a:latin typeface="Cambria Math" panose="02040503050406030204" pitchFamily="18" charset="0"/>
                                        <a:ea typeface="+mn-ea"/>
                                        <a:cs typeface="+mn-cs"/>
                                      </a:rPr>
                                    </m:ctrlPr>
                                  </m:radPr>
                                  <m:deg/>
                                  <m:e>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𝑑</m:t>
                                        </m:r>
                                      </m:e>
                                      <m:sub>
                                        <m:r>
                                          <a:rPr lang="es-CO" sz="700" b="0" i="1">
                                            <a:solidFill>
                                              <a:schemeClr val="tx1"/>
                                            </a:solidFill>
                                            <a:effectLst/>
                                            <a:latin typeface="Cambria Math" panose="02040503050406030204" pitchFamily="18" charset="0"/>
                                            <a:ea typeface="+mn-ea"/>
                                            <a:cs typeface="+mn-cs"/>
                                          </a:rPr>
                                          <m:t>𝑎</m:t>
                                        </m:r>
                                      </m:sub>
                                    </m:sSub>
                                  </m:e>
                                </m:rad>
                              </m:e>
                            </m:d>
                          </m:e>
                          <m:e>
                            <m:r>
                              <a:rPr lang="es-CO" sz="700" b="0" i="1">
                                <a:solidFill>
                                  <a:schemeClr val="tx1"/>
                                </a:solidFill>
                                <a:effectLst/>
                                <a:latin typeface="Cambria Math" panose="02040503050406030204" pitchFamily="18" charset="0"/>
                                <a:ea typeface="+mn-ea"/>
                                <a:cs typeface="+mn-cs"/>
                              </a:rPr>
                              <m:t>𝑀𝐼𝑁</m:t>
                            </m:r>
                            <m:d>
                              <m:dPr>
                                <m:ctrlPr>
                                  <a:rPr lang="es-CO" sz="700" b="0" i="1">
                                    <a:solidFill>
                                      <a:schemeClr val="tx1"/>
                                    </a:solidFill>
                                    <a:effectLst/>
                                    <a:latin typeface="Cambria Math" panose="02040503050406030204" pitchFamily="18" charset="0"/>
                                    <a:ea typeface="+mn-ea"/>
                                    <a:cs typeface="+mn-cs"/>
                                  </a:rPr>
                                </m:ctrlPr>
                              </m:dPr>
                              <m:e>
                                <m:r>
                                  <a:rPr lang="es-CO" sz="700" b="0" i="1">
                                    <a:solidFill>
                                      <a:schemeClr val="tx1"/>
                                    </a:solidFill>
                                    <a:effectLst/>
                                    <a:latin typeface="Cambria Math" panose="02040503050406030204" pitchFamily="18" charset="0"/>
                                    <a:ea typeface="+mn-ea"/>
                                    <a:cs typeface="+mn-cs"/>
                                  </a:rPr>
                                  <m:t>9 </m:t>
                                </m:r>
                              </m:e>
                              <m:e>
                                <m:r>
                                  <a:rPr lang="es-CO" sz="700" b="0" i="1">
                                    <a:solidFill>
                                      <a:schemeClr val="tx1"/>
                                    </a:solidFill>
                                    <a:effectLst/>
                                    <a:latin typeface="Cambria Math" panose="02040503050406030204" pitchFamily="18" charset="0"/>
                                    <a:ea typeface="+mn-ea"/>
                                    <a:cs typeface="+mn-cs"/>
                                  </a:rPr>
                                  <m:t> 0,6 </m:t>
                                </m:r>
                                <m:sSup>
                                  <m:sSupPr>
                                    <m:ctrlPr>
                                      <a:rPr lang="es-CO" sz="700" b="0" i="1">
                                        <a:solidFill>
                                          <a:schemeClr val="tx1"/>
                                        </a:solidFill>
                                        <a:effectLst/>
                                        <a:latin typeface="Cambria Math" panose="02040503050406030204" pitchFamily="18" charset="0"/>
                                        <a:ea typeface="+mn-ea"/>
                                        <a:cs typeface="+mn-cs"/>
                                      </a:rPr>
                                    </m:ctrlPr>
                                  </m:sSupPr>
                                  <m:e>
                                    <m:d>
                                      <m:dPr>
                                        <m:ctrlPr>
                                          <a:rPr lang="es-CO" sz="700" b="0" i="1">
                                            <a:solidFill>
                                              <a:schemeClr val="tx1"/>
                                            </a:solidFill>
                                            <a:effectLst/>
                                            <a:latin typeface="Cambria Math" panose="02040503050406030204" pitchFamily="18" charset="0"/>
                                            <a:ea typeface="+mn-ea"/>
                                            <a:cs typeface="+mn-cs"/>
                                          </a:rPr>
                                        </m:ctrlPr>
                                      </m:dPr>
                                      <m:e>
                                        <m:f>
                                          <m:fPr>
                                            <m:ctrlPr>
                                              <a:rPr lang="es-CO" sz="700" b="0" i="1">
                                                <a:solidFill>
                                                  <a:schemeClr val="tx1"/>
                                                </a:solidFill>
                                                <a:effectLst/>
                                                <a:latin typeface="Cambria Math" panose="02040503050406030204" pitchFamily="18" charset="0"/>
                                                <a:ea typeface="+mn-ea"/>
                                                <a:cs typeface="+mn-cs"/>
                                              </a:rPr>
                                            </m:ctrlPr>
                                          </m:fPr>
                                          <m:num>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ℓ</m:t>
                                                </m:r>
                                              </m:e>
                                              <m:sub>
                                                <m:r>
                                                  <a:rPr lang="es-CO" sz="700" b="0" i="1">
                                                    <a:solidFill>
                                                      <a:schemeClr val="tx1"/>
                                                    </a:solidFill>
                                                    <a:effectLst/>
                                                    <a:latin typeface="Cambria Math" panose="02040503050406030204" pitchFamily="18" charset="0"/>
                                                    <a:ea typeface="+mn-ea"/>
                                                    <a:cs typeface="+mn-cs"/>
                                                  </a:rPr>
                                                  <m:t>𝑒</m:t>
                                                </m:r>
                                              </m:sub>
                                            </m:sSub>
                                          </m:num>
                                          <m:den>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𝑑</m:t>
                                                </m:r>
                                              </m:e>
                                              <m:sub>
                                                <m:r>
                                                  <a:rPr lang="es-CO" sz="700" b="0" i="1">
                                                    <a:solidFill>
                                                      <a:schemeClr val="tx1"/>
                                                    </a:solidFill>
                                                    <a:effectLst/>
                                                    <a:latin typeface="Cambria Math" panose="02040503050406030204" pitchFamily="18" charset="0"/>
                                                    <a:ea typeface="+mn-ea"/>
                                                    <a:cs typeface="+mn-cs"/>
                                                  </a:rPr>
                                                  <m:t>𝑎</m:t>
                                                </m:r>
                                              </m:sub>
                                            </m:sSub>
                                          </m:den>
                                        </m:f>
                                      </m:e>
                                    </m:d>
                                  </m:e>
                                  <m:sup>
                                    <m:r>
                                      <a:rPr lang="es-CO" sz="700" b="0" i="1">
                                        <a:solidFill>
                                          <a:schemeClr val="tx1"/>
                                        </a:solidFill>
                                        <a:effectLst/>
                                        <a:latin typeface="Cambria Math" panose="02040503050406030204" pitchFamily="18" charset="0"/>
                                        <a:ea typeface="+mn-ea"/>
                                        <a:cs typeface="+mn-cs"/>
                                      </a:rPr>
                                      <m:t>0,2</m:t>
                                    </m:r>
                                  </m:sup>
                                </m:sSup>
                                <m:rad>
                                  <m:radPr>
                                    <m:degHide m:val="on"/>
                                    <m:ctrlPr>
                                      <a:rPr lang="es-CO" sz="700" b="0" i="1">
                                        <a:solidFill>
                                          <a:schemeClr val="tx1"/>
                                        </a:solidFill>
                                        <a:effectLst/>
                                        <a:latin typeface="Cambria Math" panose="02040503050406030204" pitchFamily="18" charset="0"/>
                                        <a:ea typeface="+mn-ea"/>
                                        <a:cs typeface="+mn-cs"/>
                                      </a:rPr>
                                    </m:ctrlPr>
                                  </m:radPr>
                                  <m:deg/>
                                  <m:e>
                                    <m:sSub>
                                      <m:sSubPr>
                                        <m:ctrlPr>
                                          <a:rPr lang="es-CO" sz="700" b="0" i="1">
                                            <a:solidFill>
                                              <a:schemeClr val="tx1"/>
                                            </a:solidFill>
                                            <a:effectLst/>
                                            <a:latin typeface="Cambria Math" panose="02040503050406030204" pitchFamily="18" charset="0"/>
                                            <a:ea typeface="+mn-ea"/>
                                            <a:cs typeface="+mn-cs"/>
                                          </a:rPr>
                                        </m:ctrlPr>
                                      </m:sSubPr>
                                      <m:e>
                                        <m:r>
                                          <a:rPr lang="es-CO" sz="700" b="0" i="1">
                                            <a:solidFill>
                                              <a:schemeClr val="tx1"/>
                                            </a:solidFill>
                                            <a:effectLst/>
                                            <a:latin typeface="Cambria Math" panose="02040503050406030204" pitchFamily="18" charset="0"/>
                                            <a:ea typeface="+mn-ea"/>
                                            <a:cs typeface="+mn-cs"/>
                                          </a:rPr>
                                          <m:t>𝑑</m:t>
                                        </m:r>
                                      </m:e>
                                      <m:sub>
                                        <m:r>
                                          <a:rPr lang="es-CO" sz="700" b="0" i="1">
                                            <a:solidFill>
                                              <a:schemeClr val="tx1"/>
                                            </a:solidFill>
                                            <a:effectLst/>
                                            <a:latin typeface="Cambria Math" panose="02040503050406030204" pitchFamily="18" charset="0"/>
                                            <a:ea typeface="+mn-ea"/>
                                            <a:cs typeface="+mn-cs"/>
                                          </a:rPr>
                                          <m:t>𝑎</m:t>
                                        </m:r>
                                      </m:sub>
                                    </m:sSub>
                                  </m:e>
                                </m:rad>
                              </m:e>
                            </m:d>
                          </m:e>
                        </m:eqArr>
                      </m:e>
                    </m:d>
                  </m:oMath>
                </m:oMathPara>
              </a14:m>
              <a:endParaRPr lang="es-ES" sz="700"/>
            </a:p>
          </xdr:txBody>
        </xdr:sp>
      </mc:Choice>
      <mc:Fallback xmlns="">
        <xdr:sp macro="" textlink="">
          <xdr:nvSpPr>
            <xdr:cNvPr id="102" name="TextBox 101"/>
            <xdr:cNvSpPr txBox="1"/>
          </xdr:nvSpPr>
          <xdr:spPr>
            <a:xfrm>
              <a:off x="381000" y="98593275"/>
              <a:ext cx="1455142" cy="5275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700" b="0" i="0">
                  <a:solidFill>
                    <a:schemeClr val="tx1"/>
                  </a:solidFill>
                  <a:effectLst/>
                  <a:latin typeface="Cambria Math" panose="02040503050406030204" pitchFamily="18" charset="0"/>
                  <a:ea typeface="+mn-ea"/>
                  <a:cs typeface="+mn-cs"/>
                </a:rPr>
                <a:t>𝐾_𝑡𝑖𝑝𝑜={█(</a:t>
              </a:r>
              <a:r>
                <a:rPr lang="es-CO" sz="700" b="0" i="0">
                  <a:solidFill>
                    <a:schemeClr val="tx1"/>
                  </a:solidFill>
                  <a:effectLst/>
                  <a:latin typeface="+mn-lt"/>
                  <a:ea typeface="+mn-ea"/>
                  <a:cs typeface="+mn-cs"/>
                </a:rPr>
                <a:t>𝑀𝐼𝑁(9 │ 0,6</a:t>
              </a:r>
              <a:r>
                <a:rPr lang="es-CO" sz="700" b="0" i="0">
                  <a:solidFill>
                    <a:schemeClr val="tx1"/>
                  </a:solidFill>
                  <a:effectLst/>
                  <a:latin typeface="Cambria Math" panose="02040503050406030204" pitchFamily="18" charset="0"/>
                  <a:ea typeface="+mn-ea"/>
                  <a:cs typeface="+mn-cs"/>
                </a:rPr>
                <a:t>6</a:t>
              </a:r>
              <a:r>
                <a:rPr lang="es-CO" sz="700" b="0" i="0">
                  <a:solidFill>
                    <a:schemeClr val="tx1"/>
                  </a:solidFill>
                  <a:effectLst/>
                  <a:latin typeface="+mn-lt"/>
                  <a:ea typeface="+mn-ea"/>
                  <a:cs typeface="+mn-cs"/>
                </a:rPr>
                <a:t> (ℓ_𝑒/𝑑_𝑎 )^0,2 √(𝑑_𝑎 ))</a:t>
              </a:r>
              <a:r>
                <a:rPr lang="es-CO" sz="700" b="0" i="0">
                  <a:solidFill>
                    <a:schemeClr val="tx1"/>
                  </a:solidFill>
                  <a:effectLst/>
                  <a:latin typeface="Cambria Math" panose="02040503050406030204" pitchFamily="18" charset="0"/>
                  <a:ea typeface="+mn-ea"/>
                  <a:cs typeface="+mn-cs"/>
                </a:rPr>
                <a:t>@</a:t>
              </a:r>
              <a:r>
                <a:rPr lang="es-CO" sz="700" b="0" i="0">
                  <a:solidFill>
                    <a:schemeClr val="tx1"/>
                  </a:solidFill>
                  <a:effectLst/>
                  <a:latin typeface="+mn-lt"/>
                  <a:ea typeface="+mn-ea"/>
                  <a:cs typeface="+mn-cs"/>
                </a:rPr>
                <a:t>𝑀𝐼𝑁(9 │ 0,6 (ℓ_𝑒/𝑑_𝑎 )^0,2 √(𝑑_𝑎 ))</a:t>
              </a:r>
              <a:r>
                <a:rPr lang="es-CO" sz="700" b="0" i="0">
                  <a:solidFill>
                    <a:schemeClr val="tx1"/>
                  </a:solidFill>
                  <a:effectLst/>
                  <a:latin typeface="Cambria Math" panose="02040503050406030204" pitchFamily="18" charset="0"/>
                  <a:ea typeface="+mn-ea"/>
                  <a:cs typeface="+mn-cs"/>
                </a:rPr>
                <a:t> )┤</a:t>
              </a:r>
              <a:endParaRPr lang="es-ES" sz="700"/>
            </a:p>
          </xdr:txBody>
        </xdr:sp>
      </mc:Fallback>
    </mc:AlternateContent>
    <xdr:clientData/>
  </xdr:oneCellAnchor>
  <xdr:oneCellAnchor>
    <xdr:from>
      <xdr:col>2</xdr:col>
      <xdr:colOff>19050</xdr:colOff>
      <xdr:row>394</xdr:row>
      <xdr:rowOff>19050</xdr:rowOff>
    </xdr:from>
    <xdr:ext cx="698461" cy="150362"/>
    <mc:AlternateContent xmlns:mc="http://schemas.openxmlformats.org/markup-compatibility/2006" xmlns:a14="http://schemas.microsoft.com/office/drawing/2010/main">
      <mc:Choice Requires="a14">
        <xdr:sp macro="" textlink="">
          <xdr:nvSpPr>
            <xdr:cNvPr id="69" name="TextBox 68"/>
            <xdr:cNvSpPr txBox="1"/>
          </xdr:nvSpPr>
          <xdr:spPr>
            <a:xfrm>
              <a:off x="7077075" y="56854725"/>
              <a:ext cx="698461"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𝑠𝑎</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69" name="TextBox 68"/>
            <xdr:cNvSpPr txBox="1"/>
          </xdr:nvSpPr>
          <xdr:spPr>
            <a:xfrm>
              <a:off x="7077075" y="56854725"/>
              <a:ext cx="698461"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0</xdr:colOff>
      <xdr:row>393</xdr:row>
      <xdr:rowOff>0</xdr:rowOff>
    </xdr:from>
    <xdr:ext cx="1044901" cy="160685"/>
    <mc:AlternateContent xmlns:mc="http://schemas.openxmlformats.org/markup-compatibility/2006" xmlns:a14="http://schemas.microsoft.com/office/drawing/2010/main">
      <mc:Choice Requires="a14">
        <xdr:sp macro="" textlink="">
          <xdr:nvSpPr>
            <xdr:cNvPr id="70" name="TextBox 69"/>
            <xdr:cNvSpPr txBox="1"/>
          </xdr:nvSpPr>
          <xdr:spPr>
            <a:xfrm>
              <a:off x="7058025" y="56645175"/>
              <a:ext cx="1044901"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𝑠𝑎</m:t>
                        </m:r>
                      </m:sub>
                    </m:sSub>
                    <m:r>
                      <a:rPr lang="es-CO" sz="1000" b="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𝑛</m:t>
                        </m:r>
                        <m:r>
                          <a:rPr lang="es-CO" sz="1000" b="0" i="1">
                            <a:solidFill>
                              <a:schemeClr val="tx1"/>
                            </a:solidFill>
                            <a:effectLst/>
                            <a:latin typeface="Cambria Math" panose="02040503050406030204" pitchFamily="18" charset="0"/>
                            <a:ea typeface="+mn-ea"/>
                            <a:cs typeface="+mn-cs"/>
                          </a:rPr>
                          <m:t> </m:t>
                        </m:r>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𝑠𝑒</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r>
                      <a:rPr lang="es-CO" sz="1000" b="0" i="1">
                        <a:solidFill>
                          <a:schemeClr val="tx1"/>
                        </a:solidFill>
                        <a:effectLst/>
                        <a:latin typeface="Cambria Math" panose="02040503050406030204" pitchFamily="18" charset="0"/>
                        <a:ea typeface="+mn-ea"/>
                        <a:cs typeface="+mn-cs"/>
                      </a:rPr>
                      <m:t> </m:t>
                    </m:r>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𝑓</m:t>
                        </m:r>
                      </m:e>
                      <m:sub>
                        <m:r>
                          <a:rPr lang="es-CO" sz="1000" b="0" i="1">
                            <a:solidFill>
                              <a:schemeClr val="tx1"/>
                            </a:solidFill>
                            <a:effectLst/>
                            <a:latin typeface="Cambria Math" panose="02040503050406030204" pitchFamily="18" charset="0"/>
                            <a:ea typeface="+mn-ea"/>
                            <a:cs typeface="+mn-cs"/>
                          </a:rPr>
                          <m:t>𝑢𝑡𝑎</m:t>
                        </m:r>
                      </m:sub>
                    </m:sSub>
                  </m:oMath>
                </m:oMathPara>
              </a14:m>
              <a:endParaRPr lang="es-ES" sz="1000"/>
            </a:p>
          </xdr:txBody>
        </xdr:sp>
      </mc:Choice>
      <mc:Fallback xmlns="">
        <xdr:sp macro="" textlink="">
          <xdr:nvSpPr>
            <xdr:cNvPr id="70" name="TextBox 69"/>
            <xdr:cNvSpPr txBox="1"/>
          </xdr:nvSpPr>
          <xdr:spPr>
            <a:xfrm>
              <a:off x="7058025" y="56645175"/>
              <a:ext cx="1044901"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a:t>
              </a:r>
              <a:r>
                <a:rPr lang="es-CO" sz="1000" b="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𝑛 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𝑠𝑒,𝑁</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  𝑓_𝑢𝑡𝑎</a:t>
              </a:r>
              <a:endParaRPr lang="es-ES" sz="1000"/>
            </a:p>
          </xdr:txBody>
        </xdr:sp>
      </mc:Fallback>
    </mc:AlternateContent>
    <xdr:clientData/>
  </xdr:oneCellAnchor>
  <xdr:oneCellAnchor>
    <xdr:from>
      <xdr:col>2</xdr:col>
      <xdr:colOff>19050</xdr:colOff>
      <xdr:row>414</xdr:row>
      <xdr:rowOff>19050</xdr:rowOff>
    </xdr:from>
    <xdr:ext cx="2135136" cy="345800"/>
    <mc:AlternateContent xmlns:mc="http://schemas.openxmlformats.org/markup-compatibility/2006" xmlns:a14="http://schemas.microsoft.com/office/drawing/2010/main">
      <mc:Choice Requires="a14">
        <xdr:sp macro="" textlink="">
          <xdr:nvSpPr>
            <xdr:cNvPr id="86" name="TextBox 85"/>
            <xdr:cNvSpPr txBox="1"/>
          </xdr:nvSpPr>
          <xdr:spPr>
            <a:xfrm>
              <a:off x="7077075" y="60398025"/>
              <a:ext cx="2135136"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𝑐𝑏𝑔</m:t>
                        </m:r>
                      </m:sub>
                    </m:sSub>
                    <m:r>
                      <a:rPr lang="es-CO" sz="1000" i="1">
                        <a:solidFill>
                          <a:schemeClr val="tx1"/>
                        </a:solidFill>
                        <a:effectLst/>
                        <a:latin typeface="Cambria Math" panose="02040503050406030204" pitchFamily="18" charset="0"/>
                        <a:ea typeface="+mn-ea"/>
                        <a:cs typeface="+mn-cs"/>
                      </a:rPr>
                      <m:t>=</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𝑁𝑐</m:t>
                                </m:r>
                              </m:sub>
                            </m:sSub>
                          </m:num>
                          <m:den>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𝑁𝑐</m:t>
                                </m:r>
                                <m:r>
                                  <a:rPr lang="es-CO" sz="1000" i="1">
                                    <a:solidFill>
                                      <a:schemeClr val="tx1"/>
                                    </a:solidFill>
                                    <a:effectLst/>
                                    <a:latin typeface="Cambria Math" panose="02040503050406030204" pitchFamily="18" charset="0"/>
                                    <a:ea typeface="+mn-ea"/>
                                    <a:cs typeface="+mn-cs"/>
                                  </a:rPr>
                                  <m:t>0</m:t>
                                </m:r>
                              </m:sub>
                            </m:sSub>
                          </m:den>
                        </m:f>
                      </m:e>
                    </m:d>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𝑒𝑑</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b="0" i="1">
                            <a:solidFill>
                              <a:schemeClr val="tx1"/>
                            </a:solidFill>
                            <a:effectLst/>
                            <a:latin typeface="Cambria Math" panose="02040503050406030204" pitchFamily="18" charset="0"/>
                            <a:ea typeface="+mn-ea"/>
                            <a:cs typeface="+mn-cs"/>
                          </a:rPr>
                          <m:t>𝑐𝑝</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𝑏</m:t>
                        </m:r>
                      </m:sub>
                    </m:sSub>
                  </m:oMath>
                </m:oMathPara>
              </a14:m>
              <a:endParaRPr lang="es-ES" sz="1000"/>
            </a:p>
          </xdr:txBody>
        </xdr:sp>
      </mc:Choice>
      <mc:Fallback xmlns="">
        <xdr:sp macro="" textlink="">
          <xdr:nvSpPr>
            <xdr:cNvPr id="86" name="TextBox 85"/>
            <xdr:cNvSpPr txBox="1"/>
          </xdr:nvSpPr>
          <xdr:spPr>
            <a:xfrm>
              <a:off x="7077075" y="60398025"/>
              <a:ext cx="2135136"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𝑐𝑏𝑔</a:t>
              </a:r>
              <a:r>
                <a:rPr lang="es-CO" sz="100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𝐴</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𝑁𝑐</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𝐴</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𝑁𝑐</a:t>
              </a:r>
              <a:r>
                <a:rPr lang="es-CO" sz="1000" i="0">
                  <a:solidFill>
                    <a:schemeClr val="tx1"/>
                  </a:solidFill>
                  <a:effectLst/>
                  <a:latin typeface="Cambria Math" panose="02040503050406030204" pitchFamily="18" charset="0"/>
                  <a:ea typeface="+mn-ea"/>
                  <a:cs typeface="+mn-cs"/>
                </a:rPr>
                <a:t>0 )</a:t>
              </a:r>
              <a:r>
                <a:rPr lang="es-ES" sz="100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𝑒𝑐,</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𝑒𝑑,</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𝑐,</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𝑐𝑝</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 </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𝑏</a:t>
              </a:r>
              <a:endParaRPr lang="es-ES" sz="1000"/>
            </a:p>
          </xdr:txBody>
        </xdr:sp>
      </mc:Fallback>
    </mc:AlternateContent>
    <xdr:clientData/>
  </xdr:oneCellAnchor>
  <xdr:oneCellAnchor>
    <xdr:from>
      <xdr:col>2</xdr:col>
      <xdr:colOff>19050</xdr:colOff>
      <xdr:row>415</xdr:row>
      <xdr:rowOff>19050</xdr:rowOff>
    </xdr:from>
    <xdr:ext cx="759118" cy="166392"/>
    <mc:AlternateContent xmlns:mc="http://schemas.openxmlformats.org/markup-compatibility/2006" xmlns:a14="http://schemas.microsoft.com/office/drawing/2010/main">
      <mc:Choice Requires="a14">
        <xdr:sp macro="" textlink="">
          <xdr:nvSpPr>
            <xdr:cNvPr id="88" name="TextBox 87"/>
            <xdr:cNvSpPr txBox="1"/>
          </xdr:nvSpPr>
          <xdr:spPr>
            <a:xfrm>
              <a:off x="7077075" y="60731400"/>
              <a:ext cx="759118"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𝑐𝑏𝑔</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88" name="TextBox 87"/>
            <xdr:cNvSpPr txBox="1"/>
          </xdr:nvSpPr>
          <xdr:spPr>
            <a:xfrm>
              <a:off x="7077075" y="60731400"/>
              <a:ext cx="759118"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𝑐𝑏𝑔</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19050</xdr:colOff>
      <xdr:row>416</xdr:row>
      <xdr:rowOff>19050</xdr:rowOff>
    </xdr:from>
    <xdr:ext cx="243208" cy="150362"/>
    <mc:AlternateContent xmlns:mc="http://schemas.openxmlformats.org/markup-compatibility/2006" xmlns:a14="http://schemas.microsoft.com/office/drawing/2010/main">
      <mc:Choice Requires="a14">
        <xdr:sp macro="" textlink="">
          <xdr:nvSpPr>
            <xdr:cNvPr id="89" name="TextBox 88"/>
            <xdr:cNvSpPr txBox="1"/>
          </xdr:nvSpPr>
          <xdr:spPr>
            <a:xfrm>
              <a:off x="7077075" y="60960000"/>
              <a:ext cx="243208"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𝑁𝑐</m:t>
                        </m:r>
                      </m:sub>
                    </m:sSub>
                  </m:oMath>
                </m:oMathPara>
              </a14:m>
              <a:endParaRPr lang="es-ES" sz="1000"/>
            </a:p>
          </xdr:txBody>
        </xdr:sp>
      </mc:Choice>
      <mc:Fallback xmlns="">
        <xdr:sp macro="" textlink="">
          <xdr:nvSpPr>
            <xdr:cNvPr id="89" name="TextBox 88"/>
            <xdr:cNvSpPr txBox="1"/>
          </xdr:nvSpPr>
          <xdr:spPr>
            <a:xfrm>
              <a:off x="7077075" y="60960000"/>
              <a:ext cx="243208"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𝑁𝑐</a:t>
              </a:r>
              <a:endParaRPr lang="es-ES" sz="1000"/>
            </a:p>
          </xdr:txBody>
        </xdr:sp>
      </mc:Fallback>
    </mc:AlternateContent>
    <xdr:clientData/>
  </xdr:oneCellAnchor>
  <xdr:oneCellAnchor>
    <xdr:from>
      <xdr:col>2</xdr:col>
      <xdr:colOff>19050</xdr:colOff>
      <xdr:row>417</xdr:row>
      <xdr:rowOff>19050</xdr:rowOff>
    </xdr:from>
    <xdr:ext cx="777905" cy="182999"/>
    <mc:AlternateContent xmlns:mc="http://schemas.openxmlformats.org/markup-compatibility/2006" xmlns:a14="http://schemas.microsoft.com/office/drawing/2010/main">
      <mc:Choice Requires="a14">
        <xdr:sp macro="" textlink="">
          <xdr:nvSpPr>
            <xdr:cNvPr id="90" name="TextBox 89"/>
            <xdr:cNvSpPr txBox="1"/>
          </xdr:nvSpPr>
          <xdr:spPr>
            <a:xfrm>
              <a:off x="7077075" y="61150500"/>
              <a:ext cx="777905" cy="182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𝑁𝑐</m:t>
                        </m:r>
                        <m:r>
                          <a:rPr lang="es-CO" sz="1000" b="0" i="1">
                            <a:solidFill>
                              <a:schemeClr val="tx1"/>
                            </a:solidFill>
                            <a:effectLst/>
                            <a:latin typeface="Cambria Math" panose="02040503050406030204" pitchFamily="18" charset="0"/>
                            <a:ea typeface="+mn-ea"/>
                            <a:cs typeface="+mn-cs"/>
                          </a:rPr>
                          <m:t>0</m:t>
                        </m:r>
                      </m:sub>
                    </m:sSub>
                    <m:r>
                      <a:rPr lang="es-CO" sz="1000" b="0" i="0">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9</m:t>
                    </m:r>
                    <m:sSup>
                      <m:sSupPr>
                        <m:ctrlPr>
                          <a:rPr lang="es-CO" sz="1000" b="0" i="1">
                            <a:solidFill>
                              <a:schemeClr val="tx1"/>
                            </a:solidFill>
                            <a:effectLst/>
                            <a:latin typeface="Cambria Math" panose="02040503050406030204" pitchFamily="18" charset="0"/>
                            <a:ea typeface="+mn-ea"/>
                            <a:cs typeface="+mn-cs"/>
                          </a:rPr>
                        </m:ctrlPr>
                      </m:sSupPr>
                      <m:e>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h</m:t>
                            </m:r>
                          </m:e>
                          <m:sub>
                            <m:r>
                              <a:rPr lang="es-CO" sz="1000" b="0" i="1">
                                <a:solidFill>
                                  <a:schemeClr val="tx1"/>
                                </a:solidFill>
                                <a:effectLst/>
                                <a:latin typeface="Cambria Math" panose="02040503050406030204" pitchFamily="18" charset="0"/>
                                <a:ea typeface="+mn-ea"/>
                                <a:cs typeface="+mn-cs"/>
                              </a:rPr>
                              <m:t>𝑒𝑓</m:t>
                            </m:r>
                          </m:sub>
                        </m:sSub>
                      </m:e>
                      <m:sup>
                        <m:r>
                          <a:rPr lang="es-CO" sz="1000" b="0" i="1">
                            <a:solidFill>
                              <a:schemeClr val="tx1"/>
                            </a:solidFill>
                            <a:effectLst/>
                            <a:latin typeface="Cambria Math" panose="02040503050406030204" pitchFamily="18" charset="0"/>
                            <a:ea typeface="+mn-ea"/>
                            <a:cs typeface="+mn-cs"/>
                          </a:rPr>
                          <m:t>2</m:t>
                        </m:r>
                      </m:sup>
                    </m:sSup>
                  </m:oMath>
                </m:oMathPara>
              </a14:m>
              <a:endParaRPr lang="es-ES" sz="1000"/>
            </a:p>
          </xdr:txBody>
        </xdr:sp>
      </mc:Choice>
      <mc:Fallback xmlns="">
        <xdr:sp macro="" textlink="">
          <xdr:nvSpPr>
            <xdr:cNvPr id="90" name="TextBox 89"/>
            <xdr:cNvSpPr txBox="1"/>
          </xdr:nvSpPr>
          <xdr:spPr>
            <a:xfrm>
              <a:off x="7077075" y="61150500"/>
              <a:ext cx="777905" cy="182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𝑁𝑐0=9〖ℎ_𝑒𝑓〗^2</a:t>
              </a:r>
              <a:endParaRPr lang="es-ES" sz="1000"/>
            </a:p>
          </xdr:txBody>
        </xdr:sp>
      </mc:Fallback>
    </mc:AlternateContent>
    <xdr:clientData/>
  </xdr:oneCellAnchor>
  <xdr:oneCellAnchor>
    <xdr:from>
      <xdr:col>2</xdr:col>
      <xdr:colOff>19050</xdr:colOff>
      <xdr:row>418</xdr:row>
      <xdr:rowOff>19050</xdr:rowOff>
    </xdr:from>
    <xdr:ext cx="1534074" cy="495457"/>
    <mc:AlternateContent xmlns:mc="http://schemas.openxmlformats.org/markup-compatibility/2006" xmlns:a14="http://schemas.microsoft.com/office/drawing/2010/main">
      <mc:Choice Requires="a14">
        <xdr:sp macro="" textlink="">
          <xdr:nvSpPr>
            <xdr:cNvPr id="93" name="TextBox 92"/>
            <xdr:cNvSpPr txBox="1"/>
          </xdr:nvSpPr>
          <xdr:spPr>
            <a:xfrm>
              <a:off x="7077075" y="61350525"/>
              <a:ext cx="1534074" cy="495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r>
                      <a:rPr lang="es-CO" sz="1000" i="1">
                        <a:solidFill>
                          <a:schemeClr val="tx1"/>
                        </a:solidFill>
                        <a:effectLst/>
                        <a:latin typeface="Cambria Math" panose="02040503050406030204" pitchFamily="18" charset="0"/>
                        <a:ea typeface="+mn-ea"/>
                        <a:cs typeface="+mn-cs"/>
                      </a:rPr>
                      <m:t>=</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r>
                              <a:rPr lang="es-CO" sz="1000" i="1">
                                <a:solidFill>
                                  <a:schemeClr val="tx1"/>
                                </a:solidFill>
                                <a:effectLst/>
                                <a:latin typeface="Cambria Math" panose="02040503050406030204" pitchFamily="18" charset="0"/>
                                <a:ea typeface="+mn-ea"/>
                                <a:cs typeface="+mn-cs"/>
                              </a:rPr>
                              <m:t>1</m:t>
                            </m:r>
                          </m:num>
                          <m:den>
                            <m:r>
                              <a:rPr lang="es-CO" sz="1000" i="1">
                                <a:solidFill>
                                  <a:schemeClr val="tx1"/>
                                </a:solidFill>
                                <a:effectLst/>
                                <a:latin typeface="Cambria Math" panose="02040503050406030204" pitchFamily="18" charset="0"/>
                                <a:ea typeface="+mn-ea"/>
                                <a:cs typeface="+mn-cs"/>
                              </a:rPr>
                              <m:t>1+</m:t>
                            </m:r>
                            <m:f>
                              <m:fPr>
                                <m:ctrlPr>
                                  <a:rPr lang="es-ES" sz="1000" i="1">
                                    <a:solidFill>
                                      <a:schemeClr val="tx1"/>
                                    </a:solidFill>
                                    <a:effectLst/>
                                    <a:latin typeface="Cambria Math" panose="02040503050406030204" pitchFamily="18" charset="0"/>
                                    <a:ea typeface="+mn-ea"/>
                                    <a:cs typeface="+mn-cs"/>
                                  </a:rPr>
                                </m:ctrlPr>
                              </m:fPr>
                              <m:num>
                                <m:r>
                                  <a:rPr lang="es-CO" sz="1000" i="1">
                                    <a:solidFill>
                                      <a:schemeClr val="tx1"/>
                                    </a:solidFill>
                                    <a:effectLst/>
                                    <a:latin typeface="Cambria Math" panose="02040503050406030204" pitchFamily="18" charset="0"/>
                                    <a:ea typeface="+mn-ea"/>
                                    <a:cs typeface="+mn-cs"/>
                                  </a:rPr>
                                  <m:t>2</m:t>
                                </m:r>
                                <m:sSub>
                                  <m:sSubPr>
                                    <m:ctrlPr>
                                      <a:rPr lang="es-ES" sz="1000" i="1">
                                        <a:solidFill>
                                          <a:schemeClr val="tx1"/>
                                        </a:solidFill>
                                        <a:effectLst/>
                                        <a:latin typeface="Cambria Math" panose="02040503050406030204" pitchFamily="18" charset="0"/>
                                        <a:ea typeface="+mn-ea"/>
                                        <a:cs typeface="+mn-cs"/>
                                      </a:rPr>
                                    </m:ctrlPr>
                                  </m:sSubPr>
                                  <m:e>
                                    <m:sSup>
                                      <m:sSupPr>
                                        <m:ctrlPr>
                                          <a:rPr lang="es-ES" sz="1000" i="1">
                                            <a:solidFill>
                                              <a:schemeClr val="tx1"/>
                                            </a:solidFill>
                                            <a:effectLst/>
                                            <a:latin typeface="Cambria Math" panose="02040503050406030204" pitchFamily="18" charset="0"/>
                                            <a:ea typeface="+mn-ea"/>
                                            <a:cs typeface="+mn-cs"/>
                                          </a:rPr>
                                        </m:ctrlPr>
                                      </m:sSupPr>
                                      <m:e>
                                        <m:r>
                                          <a:rPr lang="es-CO" sz="1000" i="1">
                                            <a:solidFill>
                                              <a:schemeClr val="tx1"/>
                                            </a:solidFill>
                                            <a:effectLst/>
                                            <a:latin typeface="Cambria Math" panose="02040503050406030204" pitchFamily="18" charset="0"/>
                                            <a:ea typeface="+mn-ea"/>
                                            <a:cs typeface="+mn-cs"/>
                                          </a:rPr>
                                          <m:t>𝑒</m:t>
                                        </m:r>
                                      </m:e>
                                      <m:sup>
                                        <m:r>
                                          <a:rPr lang="es-CO" sz="1000" i="1">
                                            <a:solidFill>
                                              <a:schemeClr val="tx1"/>
                                            </a:solidFill>
                                            <a:effectLst/>
                                            <a:latin typeface="Cambria Math" panose="02040503050406030204" pitchFamily="18" charset="0"/>
                                            <a:ea typeface="+mn-ea"/>
                                            <a:cs typeface="+mn-cs"/>
                                          </a:rPr>
                                          <m:t>′</m:t>
                                        </m:r>
                                      </m:sup>
                                    </m:sSup>
                                  </m:e>
                                  <m:sub>
                                    <m:r>
                                      <a:rPr lang="es-CO" sz="1000" b="0" i="1">
                                        <a:solidFill>
                                          <a:schemeClr val="tx1"/>
                                        </a:solidFill>
                                        <a:effectLst/>
                                        <a:latin typeface="Cambria Math" panose="02040503050406030204" pitchFamily="18" charset="0"/>
                                        <a:ea typeface="+mn-ea"/>
                                        <a:cs typeface="+mn-cs"/>
                                      </a:rPr>
                                      <m:t>𝑁</m:t>
                                    </m:r>
                                  </m:sub>
                                </m:sSub>
                              </m:num>
                              <m:den>
                                <m:r>
                                  <a:rPr lang="es-CO" sz="1000" i="1">
                                    <a:solidFill>
                                      <a:schemeClr val="tx1"/>
                                    </a:solidFill>
                                    <a:effectLst/>
                                    <a:latin typeface="Cambria Math" panose="02040503050406030204" pitchFamily="18" charset="0"/>
                                    <a:ea typeface="+mn-ea"/>
                                    <a:cs typeface="+mn-cs"/>
                                  </a:rPr>
                                  <m:t>3</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h</m:t>
                                    </m:r>
                                  </m:e>
                                  <m:sub>
                                    <m:r>
                                      <a:rPr lang="es-CO" sz="1000" b="0" i="1">
                                        <a:solidFill>
                                          <a:schemeClr val="tx1"/>
                                        </a:solidFill>
                                        <a:effectLst/>
                                        <a:latin typeface="Cambria Math" panose="02040503050406030204" pitchFamily="18" charset="0"/>
                                        <a:ea typeface="+mn-ea"/>
                                        <a:cs typeface="+mn-cs"/>
                                      </a:rPr>
                                      <m:t>𝑒𝑓</m:t>
                                    </m:r>
                                  </m:sub>
                                </m:sSub>
                              </m:den>
                            </m:f>
                          </m:den>
                        </m:f>
                      </m:e>
                    </m:d>
                    <m:r>
                      <a:rPr lang="es-CO" sz="1000" i="1">
                        <a:solidFill>
                          <a:schemeClr val="tx1"/>
                        </a:solidFill>
                        <a:effectLst/>
                        <a:latin typeface="Cambria Math" panose="02040503050406030204" pitchFamily="18" charset="0"/>
                        <a:ea typeface="+mn-ea"/>
                        <a:cs typeface="+mn-cs"/>
                      </a:rPr>
                      <m:t>≤1,0</m:t>
                    </m:r>
                  </m:oMath>
                </m:oMathPara>
              </a14:m>
              <a:endParaRPr lang="es-ES" sz="800"/>
            </a:p>
          </xdr:txBody>
        </xdr:sp>
      </mc:Choice>
      <mc:Fallback xmlns="">
        <xdr:sp macro="" textlink="">
          <xdr:nvSpPr>
            <xdr:cNvPr id="93" name="TextBox 92"/>
            <xdr:cNvSpPr txBox="1"/>
          </xdr:nvSpPr>
          <xdr:spPr>
            <a:xfrm>
              <a:off x="7077075" y="61350525"/>
              <a:ext cx="1534074" cy="495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𝑒𝑐,</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2</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𝑒</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3</a:t>
              </a:r>
              <a:r>
                <a:rPr lang="es-CO" sz="1000" b="0" i="0">
                  <a:solidFill>
                    <a:schemeClr val="tx1"/>
                  </a:solidFill>
                  <a:effectLst/>
                  <a:latin typeface="Cambria Math" panose="02040503050406030204" pitchFamily="18" charset="0"/>
                  <a:ea typeface="+mn-ea"/>
                  <a:cs typeface="+mn-cs"/>
                </a:rPr>
                <a:t>ℎ</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𝑒𝑓 </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≤1,0</a:t>
              </a:r>
              <a:endParaRPr lang="es-ES" sz="800"/>
            </a:p>
          </xdr:txBody>
        </xdr:sp>
      </mc:Fallback>
    </mc:AlternateContent>
    <xdr:clientData/>
  </xdr:oneCellAnchor>
  <xdr:oneCellAnchor>
    <xdr:from>
      <xdr:col>2</xdr:col>
      <xdr:colOff>19050</xdr:colOff>
      <xdr:row>419</xdr:row>
      <xdr:rowOff>19050</xdr:rowOff>
    </xdr:from>
    <xdr:ext cx="1922193" cy="349006"/>
    <mc:AlternateContent xmlns:mc="http://schemas.openxmlformats.org/markup-compatibility/2006" xmlns:a14="http://schemas.microsoft.com/office/drawing/2010/main">
      <mc:Choice Requires="a14">
        <xdr:sp macro="" textlink="">
          <xdr:nvSpPr>
            <xdr:cNvPr id="100" name="TextBox 99"/>
            <xdr:cNvSpPr txBox="1"/>
          </xdr:nvSpPr>
          <xdr:spPr>
            <a:xfrm>
              <a:off x="7077075" y="61883925"/>
              <a:ext cx="1922193" cy="349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𝑒𝑑</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r>
                      <a:rPr lang="es-CO" sz="1000" i="1">
                        <a:solidFill>
                          <a:schemeClr val="tx1"/>
                        </a:solidFill>
                        <a:effectLst/>
                        <a:latin typeface="Cambria Math" panose="02040503050406030204" pitchFamily="18" charset="0"/>
                        <a:ea typeface="+mn-ea"/>
                        <a:cs typeface="+mn-cs"/>
                      </a:rPr>
                      <m:t>=0,7+0,3</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𝑐</m:t>
                                </m:r>
                              </m:e>
                              <m:sub>
                                <m:r>
                                  <a:rPr lang="es-CO" sz="1000" i="1">
                                    <a:solidFill>
                                      <a:schemeClr val="tx1"/>
                                    </a:solidFill>
                                    <a:effectLst/>
                                    <a:latin typeface="Cambria Math" panose="02040503050406030204" pitchFamily="18" charset="0"/>
                                    <a:ea typeface="+mn-ea"/>
                                    <a:cs typeface="+mn-cs"/>
                                  </a:rPr>
                                  <m:t>𝑎</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num>
                          <m:den>
                            <m:r>
                              <a:rPr lang="es-CO" sz="1000" i="1">
                                <a:solidFill>
                                  <a:schemeClr val="tx1"/>
                                </a:solidFill>
                                <a:effectLst/>
                                <a:latin typeface="Cambria Math" panose="02040503050406030204" pitchFamily="18" charset="0"/>
                                <a:ea typeface="+mn-ea"/>
                                <a:cs typeface="+mn-cs"/>
                              </a:rPr>
                              <m:t>1,5</m:t>
                            </m:r>
                            <m:r>
                              <a:rPr lang="es-CO" sz="1000" b="0" i="1">
                                <a:solidFill>
                                  <a:schemeClr val="tx1"/>
                                </a:solidFill>
                                <a:effectLst/>
                                <a:latin typeface="Cambria Math" panose="02040503050406030204" pitchFamily="18" charset="0"/>
                                <a:ea typeface="+mn-ea"/>
                                <a:cs typeface="+mn-cs"/>
                              </a:rPr>
                              <m:t> </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h</m:t>
                                </m:r>
                              </m:e>
                              <m:sub>
                                <m:r>
                                  <a:rPr lang="es-CO" sz="1000" b="0" i="1">
                                    <a:solidFill>
                                      <a:schemeClr val="tx1"/>
                                    </a:solidFill>
                                    <a:effectLst/>
                                    <a:latin typeface="Cambria Math" panose="02040503050406030204" pitchFamily="18" charset="0"/>
                                    <a:ea typeface="+mn-ea"/>
                                    <a:cs typeface="+mn-cs"/>
                                  </a:rPr>
                                  <m:t>𝑒𝑓</m:t>
                                </m:r>
                              </m:sub>
                            </m:sSub>
                          </m:den>
                        </m:f>
                      </m:e>
                    </m:d>
                    <m:r>
                      <a:rPr lang="es-CO" sz="1000" i="1">
                        <a:solidFill>
                          <a:schemeClr val="tx1"/>
                        </a:solidFill>
                        <a:effectLst/>
                        <a:latin typeface="Cambria Math" panose="02040503050406030204" pitchFamily="18" charset="0"/>
                        <a:ea typeface="+mn-ea"/>
                        <a:cs typeface="+mn-cs"/>
                      </a:rPr>
                      <m:t>≤1,0</m:t>
                    </m:r>
                  </m:oMath>
                </m:oMathPara>
              </a14:m>
              <a:endParaRPr lang="es-ES" sz="800"/>
            </a:p>
          </xdr:txBody>
        </xdr:sp>
      </mc:Choice>
      <mc:Fallback xmlns="">
        <xdr:sp macro="" textlink="">
          <xdr:nvSpPr>
            <xdr:cNvPr id="100" name="TextBox 99"/>
            <xdr:cNvSpPr txBox="1"/>
          </xdr:nvSpPr>
          <xdr:spPr>
            <a:xfrm>
              <a:off x="7077075" y="61883925"/>
              <a:ext cx="1922193" cy="349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𝑒𝑑,</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=0,7+0,3</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𝑐</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𝑎,</a:t>
              </a:r>
              <a:r>
                <a:rPr lang="es-CO" sz="1000" b="0" i="0">
                  <a:solidFill>
                    <a:schemeClr val="tx1"/>
                  </a:solidFill>
                  <a:effectLst/>
                  <a:latin typeface="Cambria Math" panose="02040503050406030204" pitchFamily="18" charset="0"/>
                  <a:ea typeface="+mn-ea"/>
                  <a:cs typeface="+mn-cs"/>
                </a:rPr>
                <a:t>𝑚𝑖𝑛</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1,5</a:t>
              </a:r>
              <a:r>
                <a:rPr lang="es-CO" sz="1000" b="0" i="0">
                  <a:solidFill>
                    <a:schemeClr val="tx1"/>
                  </a:solidFill>
                  <a:effectLst/>
                  <a:latin typeface="Cambria Math" panose="02040503050406030204" pitchFamily="18" charset="0"/>
                  <a:ea typeface="+mn-ea"/>
                  <a:cs typeface="+mn-cs"/>
                </a:rPr>
                <a:t> ℎ</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𝑒𝑓 </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≤1,0</a:t>
              </a:r>
              <a:endParaRPr lang="es-ES" sz="800"/>
            </a:p>
          </xdr:txBody>
        </xdr:sp>
      </mc:Fallback>
    </mc:AlternateContent>
    <xdr:clientData/>
  </xdr:oneCellAnchor>
  <xdr:oneCellAnchor>
    <xdr:from>
      <xdr:col>2</xdr:col>
      <xdr:colOff>19050</xdr:colOff>
      <xdr:row>420</xdr:row>
      <xdr:rowOff>19050</xdr:rowOff>
    </xdr:from>
    <xdr:ext cx="2049664" cy="348493"/>
    <mc:AlternateContent xmlns:mc="http://schemas.openxmlformats.org/markup-compatibility/2006" xmlns:a14="http://schemas.microsoft.com/office/drawing/2010/main">
      <mc:Choice Requires="a14">
        <xdr:sp macro="" textlink="">
          <xdr:nvSpPr>
            <xdr:cNvPr id="103" name="TextBox 102"/>
            <xdr:cNvSpPr txBox="1"/>
          </xdr:nvSpPr>
          <xdr:spPr>
            <a:xfrm>
              <a:off x="7077075" y="62264925"/>
              <a:ext cx="2049664" cy="348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100" i="1">
                            <a:solidFill>
                              <a:schemeClr val="tx1"/>
                            </a:solidFill>
                            <a:effectLst/>
                            <a:latin typeface="Cambria Math" panose="02040503050406030204" pitchFamily="18" charset="0"/>
                            <a:ea typeface="+mn-ea"/>
                            <a:cs typeface="+mn-cs"/>
                          </a:rPr>
                        </m:ctrlPr>
                      </m:sSubPr>
                      <m:e>
                        <m:r>
                          <a:rPr lang="es-CO" sz="1100" i="1">
                            <a:solidFill>
                              <a:schemeClr val="tx1"/>
                            </a:solidFill>
                            <a:effectLst/>
                            <a:latin typeface="Cambria Math" panose="02040503050406030204" pitchFamily="18" charset="0"/>
                            <a:ea typeface="+mn-ea"/>
                            <a:cs typeface="+mn-cs"/>
                          </a:rPr>
                          <m:t>𝜓</m:t>
                        </m:r>
                      </m:e>
                      <m:sub>
                        <m:r>
                          <a:rPr lang="es-CO" sz="1100" b="0" i="1">
                            <a:solidFill>
                              <a:schemeClr val="tx1"/>
                            </a:solidFill>
                            <a:effectLst/>
                            <a:latin typeface="Cambria Math" panose="02040503050406030204" pitchFamily="18" charset="0"/>
                            <a:ea typeface="+mn-ea"/>
                            <a:cs typeface="+mn-cs"/>
                          </a:rPr>
                          <m:t>𝑐𝑝</m:t>
                        </m:r>
                        <m:r>
                          <a:rPr lang="es-CO" sz="110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𝑁</m:t>
                        </m:r>
                      </m:sub>
                    </m:sSub>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𝑀𝐴𝑋</m:t>
                    </m:r>
                    <m:d>
                      <m:dPr>
                        <m:ctrlPr>
                          <a:rPr lang="es-CO" sz="1000" b="0" i="1">
                            <a:solidFill>
                              <a:schemeClr val="tx1"/>
                            </a:solidFill>
                            <a:effectLst/>
                            <a:latin typeface="Cambria Math" panose="02040503050406030204" pitchFamily="18" charset="0"/>
                            <a:ea typeface="+mn-ea"/>
                            <a:cs typeface="+mn-cs"/>
                          </a:rPr>
                        </m:ctrlPr>
                      </m:dPr>
                      <m:e>
                        <m:f>
                          <m:fPr>
                            <m:ctrlPr>
                              <a:rPr lang="es-CO" sz="1000" b="0" i="1">
                                <a:solidFill>
                                  <a:schemeClr val="tx1"/>
                                </a:solidFill>
                                <a:effectLst/>
                                <a:latin typeface="Cambria Math" panose="02040503050406030204" pitchFamily="18" charset="0"/>
                                <a:ea typeface="+mn-ea"/>
                                <a:cs typeface="+mn-cs"/>
                              </a:rPr>
                            </m:ctrlPr>
                          </m:fPr>
                          <m:num>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num>
                          <m:den>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𝑎𝑐</m:t>
                                </m:r>
                              </m:sub>
                            </m:sSub>
                          </m:den>
                        </m:f>
                        <m:r>
                          <a:rPr lang="es-CO" sz="1000" b="0" i="1">
                            <a:solidFill>
                              <a:schemeClr val="tx1"/>
                            </a:solidFill>
                            <a:effectLst/>
                            <a:latin typeface="Cambria Math" panose="02040503050406030204" pitchFamily="18" charset="0"/>
                            <a:ea typeface="+mn-ea"/>
                            <a:cs typeface="+mn-cs"/>
                          </a:rPr>
                          <m:t>;</m:t>
                        </m:r>
                        <m:f>
                          <m:fPr>
                            <m:ctrlPr>
                              <a:rPr lang="es-CO" sz="1000" b="0" i="1">
                                <a:solidFill>
                                  <a:schemeClr val="tx1"/>
                                </a:solidFill>
                                <a:effectLst/>
                                <a:latin typeface="Cambria Math" panose="02040503050406030204" pitchFamily="18" charset="0"/>
                                <a:ea typeface="+mn-ea"/>
                                <a:cs typeface="+mn-cs"/>
                              </a:rPr>
                            </m:ctrlPr>
                          </m:fPr>
                          <m:num>
                            <m:r>
                              <a:rPr lang="es-CO" sz="1000" b="0" i="1">
                                <a:solidFill>
                                  <a:schemeClr val="tx1"/>
                                </a:solidFill>
                                <a:effectLst/>
                                <a:latin typeface="Cambria Math" panose="02040503050406030204" pitchFamily="18" charset="0"/>
                                <a:ea typeface="+mn-ea"/>
                                <a:cs typeface="+mn-cs"/>
                              </a:rPr>
                              <m:t>1,5</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h</m:t>
                                </m:r>
                              </m:e>
                              <m:sub>
                                <m:r>
                                  <a:rPr lang="es-CO" sz="1000" b="0" i="1">
                                    <a:solidFill>
                                      <a:schemeClr val="tx1"/>
                                    </a:solidFill>
                                    <a:effectLst/>
                                    <a:latin typeface="Cambria Math" panose="02040503050406030204" pitchFamily="18" charset="0"/>
                                    <a:ea typeface="+mn-ea"/>
                                    <a:cs typeface="+mn-cs"/>
                                  </a:rPr>
                                  <m:t>𝑒𝑓</m:t>
                                </m:r>
                              </m:sub>
                            </m:sSub>
                          </m:num>
                          <m:den>
                            <m:sSub>
                              <m:sSubPr>
                                <m:ctrlPr>
                                  <a:rPr lang="es-CO" sz="1100" b="0" i="1">
                                    <a:solidFill>
                                      <a:schemeClr val="tx1"/>
                                    </a:solidFill>
                                    <a:effectLst/>
                                    <a:latin typeface="Cambria Math" panose="02040503050406030204" pitchFamily="18" charset="0"/>
                                    <a:ea typeface="+mn-ea"/>
                                    <a:cs typeface="+mn-cs"/>
                                  </a:rPr>
                                </m:ctrlPr>
                              </m:sSubPr>
                              <m:e>
                                <m:r>
                                  <a:rPr lang="es-CO" sz="1100" b="0" i="1">
                                    <a:solidFill>
                                      <a:schemeClr val="tx1"/>
                                    </a:solidFill>
                                    <a:effectLst/>
                                    <a:latin typeface="Cambria Math" panose="02040503050406030204" pitchFamily="18" charset="0"/>
                                    <a:ea typeface="+mn-ea"/>
                                    <a:cs typeface="+mn-cs"/>
                                  </a:rPr>
                                  <m:t>𝑐</m:t>
                                </m:r>
                              </m:e>
                              <m:sub>
                                <m:r>
                                  <a:rPr lang="es-CO" sz="1100" b="0" i="1">
                                    <a:solidFill>
                                      <a:schemeClr val="tx1"/>
                                    </a:solidFill>
                                    <a:effectLst/>
                                    <a:latin typeface="Cambria Math" panose="02040503050406030204" pitchFamily="18" charset="0"/>
                                    <a:ea typeface="+mn-ea"/>
                                    <a:cs typeface="+mn-cs"/>
                                  </a:rPr>
                                  <m:t>𝑎𝑐</m:t>
                                </m:r>
                              </m:sub>
                            </m:sSub>
                          </m:den>
                        </m:f>
                      </m:e>
                    </m:d>
                    <m:r>
                      <a:rPr lang="es-CO" sz="1000" i="1">
                        <a:solidFill>
                          <a:schemeClr val="tx1"/>
                        </a:solidFill>
                        <a:effectLst/>
                        <a:latin typeface="Cambria Math" panose="02040503050406030204" pitchFamily="18" charset="0"/>
                        <a:ea typeface="Cambria Math" panose="02040503050406030204" pitchFamily="18" charset="0"/>
                        <a:cs typeface="+mn-cs"/>
                      </a:rPr>
                      <m:t>≥</m:t>
                    </m:r>
                    <m:r>
                      <a:rPr lang="es-CO" sz="1000" b="0" i="1">
                        <a:solidFill>
                          <a:schemeClr val="tx1"/>
                        </a:solidFill>
                        <a:effectLst/>
                        <a:latin typeface="Cambria Math" panose="02040503050406030204" pitchFamily="18" charset="0"/>
                        <a:ea typeface="Cambria Math" panose="02040503050406030204" pitchFamily="18" charset="0"/>
                        <a:cs typeface="+mn-cs"/>
                      </a:rPr>
                      <m:t>1,0</m:t>
                    </m:r>
                  </m:oMath>
                </m:oMathPara>
              </a14:m>
              <a:endParaRPr lang="es-ES" sz="1000"/>
            </a:p>
          </xdr:txBody>
        </xdr:sp>
      </mc:Choice>
      <mc:Fallback xmlns="">
        <xdr:sp macro="" textlink="">
          <xdr:nvSpPr>
            <xdr:cNvPr id="103" name="TextBox 102"/>
            <xdr:cNvSpPr txBox="1"/>
          </xdr:nvSpPr>
          <xdr:spPr>
            <a:xfrm>
              <a:off x="7077075" y="62264925"/>
              <a:ext cx="2049664" cy="348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i="0">
                  <a:solidFill>
                    <a:schemeClr val="tx1"/>
                  </a:solidFill>
                  <a:effectLst/>
                  <a:latin typeface="Cambria Math" panose="02040503050406030204" pitchFamily="18" charset="0"/>
                  <a:ea typeface="+mn-ea"/>
                  <a:cs typeface="+mn-cs"/>
                </a:rPr>
                <a:t>𝜓</a:t>
              </a:r>
              <a:r>
                <a:rPr lang="es-ES" sz="1100" i="0">
                  <a:solidFill>
                    <a:schemeClr val="tx1"/>
                  </a:solidFill>
                  <a:effectLst/>
                  <a:latin typeface="Cambria Math" panose="02040503050406030204" pitchFamily="18" charset="0"/>
                  <a:ea typeface="+mn-ea"/>
                  <a:cs typeface="+mn-cs"/>
                </a:rPr>
                <a:t>_(</a:t>
              </a:r>
              <a:r>
                <a:rPr lang="es-CO" sz="1100" b="0" i="0">
                  <a:solidFill>
                    <a:schemeClr val="tx1"/>
                  </a:solidFill>
                  <a:effectLst/>
                  <a:latin typeface="Cambria Math" panose="02040503050406030204" pitchFamily="18" charset="0"/>
                  <a:ea typeface="+mn-ea"/>
                  <a:cs typeface="+mn-cs"/>
                </a:rPr>
                <a:t>𝑐𝑝</a:t>
              </a:r>
              <a:r>
                <a:rPr lang="es-CO" sz="1100" i="0">
                  <a:solidFill>
                    <a:schemeClr val="tx1"/>
                  </a:solidFill>
                  <a:effectLst/>
                  <a:latin typeface="Cambria Math" panose="02040503050406030204" pitchFamily="18" charset="0"/>
                  <a:ea typeface="+mn-ea"/>
                  <a:cs typeface="+mn-cs"/>
                </a:rPr>
                <a:t>,</a:t>
              </a:r>
              <a:r>
                <a:rPr lang="es-CO" sz="1100" b="0" i="0">
                  <a:solidFill>
                    <a:schemeClr val="tx1"/>
                  </a:solidFill>
                  <a:effectLst/>
                  <a:latin typeface="Cambria Math" panose="02040503050406030204" pitchFamily="18" charset="0"/>
                  <a:ea typeface="+mn-ea"/>
                  <a:cs typeface="+mn-cs"/>
                </a:rPr>
                <a:t>𝑁</a:t>
              </a:r>
              <a:r>
                <a:rPr lang="es-ES" sz="11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𝑀𝐴𝑋(𝑐_(𝑎,𝑚𝑖𝑛)/𝑐_𝑎𝑐 ;(1,5ℎ_𝑒𝑓)/</a:t>
              </a:r>
              <a:r>
                <a:rPr lang="es-CO" sz="1100" b="0" i="0">
                  <a:solidFill>
                    <a:schemeClr val="tx1"/>
                  </a:solidFill>
                  <a:effectLst/>
                  <a:latin typeface="Cambria Math" panose="02040503050406030204" pitchFamily="18" charset="0"/>
                  <a:ea typeface="+mn-ea"/>
                  <a:cs typeface="+mn-cs"/>
                </a:rPr>
                <a:t>𝑐_𝑎𝑐 )</a:t>
              </a:r>
              <a:r>
                <a:rPr lang="es-CO" sz="1000" i="0">
                  <a:solidFill>
                    <a:schemeClr val="tx1"/>
                  </a:solidFill>
                  <a:effectLst/>
                  <a:latin typeface="Cambria Math" panose="02040503050406030204" pitchFamily="18" charset="0"/>
                  <a:ea typeface="Cambria Math" panose="02040503050406030204" pitchFamily="18" charset="0"/>
                  <a:cs typeface="+mn-cs"/>
                </a:rPr>
                <a:t>≥</a:t>
              </a:r>
              <a:r>
                <a:rPr lang="es-CO" sz="1000" b="0" i="0">
                  <a:solidFill>
                    <a:schemeClr val="tx1"/>
                  </a:solidFill>
                  <a:effectLst/>
                  <a:latin typeface="Cambria Math" panose="02040503050406030204" pitchFamily="18" charset="0"/>
                  <a:ea typeface="Cambria Math" panose="02040503050406030204" pitchFamily="18" charset="0"/>
                  <a:cs typeface="+mn-cs"/>
                </a:rPr>
                <a:t>1,0</a:t>
              </a:r>
              <a:endParaRPr lang="es-ES" sz="1000"/>
            </a:p>
          </xdr:txBody>
        </xdr:sp>
      </mc:Fallback>
    </mc:AlternateContent>
    <xdr:clientData/>
  </xdr:oneCellAnchor>
  <xdr:oneCellAnchor>
    <xdr:from>
      <xdr:col>2</xdr:col>
      <xdr:colOff>19050</xdr:colOff>
      <xdr:row>421</xdr:row>
      <xdr:rowOff>19050</xdr:rowOff>
    </xdr:from>
    <xdr:ext cx="1298304" cy="199542"/>
    <mc:AlternateContent xmlns:mc="http://schemas.openxmlformats.org/markup-compatibility/2006" xmlns:a14="http://schemas.microsoft.com/office/drawing/2010/main">
      <mc:Choice Requires="a14">
        <xdr:sp macro="" textlink="">
          <xdr:nvSpPr>
            <xdr:cNvPr id="104" name="TextBox 103"/>
            <xdr:cNvSpPr txBox="1"/>
          </xdr:nvSpPr>
          <xdr:spPr>
            <a:xfrm>
              <a:off x="7077075" y="62645925"/>
              <a:ext cx="1298304" cy="1995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𝑏</m:t>
                        </m:r>
                      </m:sub>
                    </m:sSub>
                    <m:r>
                      <a:rPr lang="es-CO" sz="1000" b="0" i="1">
                        <a:solidFill>
                          <a:schemeClr val="tx1"/>
                        </a:solidFill>
                        <a:effectLst/>
                        <a:latin typeface="Cambria Math" panose="02040503050406030204" pitchFamily="18" charset="0"/>
                        <a:ea typeface="+mn-ea"/>
                        <a:cs typeface="+mn-cs"/>
                      </a:rPr>
                      <m:t>=</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𝑘</m:t>
                        </m:r>
                      </m:e>
                      <m:sub>
                        <m:r>
                          <a:rPr lang="es-CO" sz="1000" b="0" i="1">
                            <a:solidFill>
                              <a:schemeClr val="tx1"/>
                            </a:solidFill>
                            <a:effectLst/>
                            <a:latin typeface="Cambria Math" panose="02040503050406030204" pitchFamily="18" charset="0"/>
                            <a:ea typeface="+mn-ea"/>
                            <a:cs typeface="+mn-cs"/>
                          </a:rPr>
                          <m:t>𝑐</m:t>
                        </m:r>
                      </m:sub>
                    </m:sSub>
                    <m:r>
                      <a:rPr lang="es-CO" sz="1000" b="0" i="1">
                        <a:solidFill>
                          <a:schemeClr val="tx1"/>
                        </a:solidFill>
                        <a:effectLst/>
                        <a:latin typeface="Cambria Math" panose="02040503050406030204" pitchFamily="18" charset="0"/>
                        <a:ea typeface="+mn-ea"/>
                        <a:cs typeface="+mn-cs"/>
                      </a:rPr>
                      <m:t> </m:t>
                    </m:r>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𝜆</m:t>
                        </m:r>
                      </m:e>
                      <m:sub>
                        <m:r>
                          <a:rPr lang="es-CO" sz="1000" i="1">
                            <a:solidFill>
                              <a:schemeClr val="tx1"/>
                            </a:solidFill>
                            <a:effectLst/>
                            <a:latin typeface="Cambria Math" panose="02040503050406030204" pitchFamily="18" charset="0"/>
                            <a:ea typeface="+mn-ea"/>
                            <a:cs typeface="+mn-cs"/>
                          </a:rPr>
                          <m:t>𝑎</m:t>
                        </m:r>
                      </m:sub>
                    </m:sSub>
                    <m:r>
                      <a:rPr lang="es-CO" sz="1000" b="0" i="1">
                        <a:solidFill>
                          <a:schemeClr val="tx1"/>
                        </a:solidFill>
                        <a:effectLst/>
                        <a:latin typeface="Cambria Math" panose="02040503050406030204" pitchFamily="18" charset="0"/>
                        <a:ea typeface="+mn-ea"/>
                        <a:cs typeface="+mn-cs"/>
                      </a:rPr>
                      <m:t> </m:t>
                    </m:r>
                    <m:rad>
                      <m:radPr>
                        <m:degHide m:val="on"/>
                        <m:ctrlPr>
                          <a:rPr lang="es-ES" sz="1000" i="1">
                            <a:solidFill>
                              <a:schemeClr val="tx1"/>
                            </a:solidFill>
                            <a:effectLst/>
                            <a:latin typeface="Cambria Math" panose="02040503050406030204" pitchFamily="18" charset="0"/>
                            <a:ea typeface="+mn-ea"/>
                            <a:cs typeface="+mn-cs"/>
                          </a:rPr>
                        </m:ctrlPr>
                      </m:radPr>
                      <m:deg/>
                      <m:e>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𝑓</m:t>
                            </m:r>
                            <m:r>
                              <a:rPr lang="es-CO" sz="1000" i="1">
                                <a:solidFill>
                                  <a:schemeClr val="tx1"/>
                                </a:solidFill>
                                <a:effectLst/>
                                <a:latin typeface="Cambria Math" panose="02040503050406030204" pitchFamily="18" charset="0"/>
                                <a:ea typeface="+mn-ea"/>
                                <a:cs typeface="+mn-cs"/>
                              </a:rPr>
                              <m:t>′</m:t>
                            </m:r>
                          </m:e>
                          <m:sub>
                            <m:r>
                              <a:rPr lang="es-CO" sz="1000" i="1">
                                <a:solidFill>
                                  <a:schemeClr val="tx1"/>
                                </a:solidFill>
                                <a:effectLst/>
                                <a:latin typeface="Cambria Math" panose="02040503050406030204" pitchFamily="18" charset="0"/>
                                <a:ea typeface="+mn-ea"/>
                                <a:cs typeface="+mn-cs"/>
                              </a:rPr>
                              <m:t>𝑐</m:t>
                            </m:r>
                          </m:sub>
                        </m:sSub>
                      </m:e>
                    </m:rad>
                    <m:sSup>
                      <m:sSupPr>
                        <m:ctrlPr>
                          <a:rPr lang="es-CO" sz="1000" i="1">
                            <a:solidFill>
                              <a:schemeClr val="tx1"/>
                            </a:solidFill>
                            <a:effectLst/>
                            <a:latin typeface="Cambria Math" panose="02040503050406030204" pitchFamily="18" charset="0"/>
                            <a:ea typeface="+mn-ea"/>
                            <a:cs typeface="+mn-cs"/>
                          </a:rPr>
                        </m:ctrlPr>
                      </m:sSupPr>
                      <m:e>
                        <m:r>
                          <a:rPr lang="es-CO" sz="1000" b="0" i="1">
                            <a:solidFill>
                              <a:schemeClr val="tx1"/>
                            </a:solidFill>
                            <a:effectLst/>
                            <a:latin typeface="Cambria Math" panose="02040503050406030204" pitchFamily="18" charset="0"/>
                            <a:ea typeface="+mn-ea"/>
                            <a:cs typeface="+mn-cs"/>
                          </a:rPr>
                          <m:t> </m:t>
                        </m:r>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h</m:t>
                            </m:r>
                          </m:e>
                          <m:sub>
                            <m:r>
                              <a:rPr lang="es-CO" sz="1000" b="0" i="1">
                                <a:solidFill>
                                  <a:schemeClr val="tx1"/>
                                </a:solidFill>
                                <a:effectLst/>
                                <a:latin typeface="Cambria Math" panose="02040503050406030204" pitchFamily="18" charset="0"/>
                                <a:ea typeface="+mn-ea"/>
                                <a:cs typeface="+mn-cs"/>
                              </a:rPr>
                              <m:t>𝑒𝑓</m:t>
                            </m:r>
                          </m:sub>
                        </m:sSub>
                      </m:e>
                      <m:sup>
                        <m:r>
                          <a:rPr lang="es-CO" sz="1000" b="0" i="1">
                            <a:solidFill>
                              <a:schemeClr val="tx1"/>
                            </a:solidFill>
                            <a:effectLst/>
                            <a:latin typeface="Cambria Math" panose="02040503050406030204" pitchFamily="18" charset="0"/>
                            <a:ea typeface="+mn-ea"/>
                            <a:cs typeface="+mn-cs"/>
                          </a:rPr>
                          <m:t>1,5</m:t>
                        </m:r>
                      </m:sup>
                    </m:sSup>
                  </m:oMath>
                </m:oMathPara>
              </a14:m>
              <a:endParaRPr lang="es-ES" sz="800"/>
            </a:p>
          </xdr:txBody>
        </xdr:sp>
      </mc:Choice>
      <mc:Fallback xmlns="">
        <xdr:sp macro="" textlink="">
          <xdr:nvSpPr>
            <xdr:cNvPr id="104" name="TextBox 103"/>
            <xdr:cNvSpPr txBox="1"/>
          </xdr:nvSpPr>
          <xdr:spPr>
            <a:xfrm>
              <a:off x="7077075" y="62645925"/>
              <a:ext cx="1298304" cy="1995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𝑏</a:t>
              </a:r>
              <a:r>
                <a:rPr lang="es-CO" sz="1000" b="0" i="0">
                  <a:solidFill>
                    <a:schemeClr val="tx1"/>
                  </a:solidFill>
                  <a:effectLst/>
                  <a:latin typeface="Cambria Math" panose="02040503050406030204" pitchFamily="18" charset="0"/>
                  <a:ea typeface="+mn-ea"/>
                  <a:cs typeface="+mn-cs"/>
                </a:rPr>
                <a:t>=𝑘_𝑐  </a:t>
              </a:r>
              <a:r>
                <a:rPr lang="es-CO" sz="1000" i="0">
                  <a:solidFill>
                    <a:schemeClr val="tx1"/>
                  </a:solidFill>
                  <a:effectLst/>
                  <a:latin typeface="Cambria Math" panose="02040503050406030204" pitchFamily="18" charset="0"/>
                  <a:ea typeface="+mn-ea"/>
                  <a:cs typeface="+mn-cs"/>
                </a:rPr>
                <a:t>𝜆</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𝑎</a:t>
              </a:r>
              <a:r>
                <a:rPr lang="es-CO" sz="1000" b="0" i="0">
                  <a:solidFill>
                    <a:schemeClr val="tx1"/>
                  </a:solidFill>
                  <a:effectLst/>
                  <a:latin typeface="Cambria Math" panose="02040503050406030204" pitchFamily="18" charset="0"/>
                  <a:ea typeface="+mn-ea"/>
                  <a:cs typeface="+mn-cs"/>
                </a:rPr>
                <a:t>  </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𝑐 </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 〖</a:t>
              </a:r>
              <a:r>
                <a:rPr lang="es-CO" sz="1000" b="0" i="0">
                  <a:solidFill>
                    <a:schemeClr val="tx1"/>
                  </a:solidFill>
                  <a:effectLst/>
                  <a:latin typeface="Cambria Math" panose="02040503050406030204" pitchFamily="18" charset="0"/>
                  <a:ea typeface="+mn-ea"/>
                  <a:cs typeface="+mn-cs"/>
                </a:rPr>
                <a:t> ℎ_𝑒𝑓〗^1,5</a:t>
              </a:r>
              <a:endParaRPr lang="es-ES" sz="800"/>
            </a:p>
          </xdr:txBody>
        </xdr:sp>
      </mc:Fallback>
    </mc:AlternateContent>
    <xdr:clientData/>
  </xdr:oneCellAnchor>
  <xdr:oneCellAnchor>
    <xdr:from>
      <xdr:col>2</xdr:col>
      <xdr:colOff>19050</xdr:colOff>
      <xdr:row>466</xdr:row>
      <xdr:rowOff>19050</xdr:rowOff>
    </xdr:from>
    <xdr:ext cx="2097754" cy="345800"/>
    <mc:AlternateContent xmlns:mc="http://schemas.openxmlformats.org/markup-compatibility/2006" xmlns:a14="http://schemas.microsoft.com/office/drawing/2010/main">
      <mc:Choice Requires="a14">
        <xdr:sp macro="" textlink="">
          <xdr:nvSpPr>
            <xdr:cNvPr id="106" name="TextBox 105"/>
            <xdr:cNvSpPr txBox="1"/>
          </xdr:nvSpPr>
          <xdr:spPr>
            <a:xfrm>
              <a:off x="381000" y="70723125"/>
              <a:ext cx="2097754"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𝑎𝑔</m:t>
                        </m:r>
                      </m:sub>
                    </m:sSub>
                    <m:r>
                      <a:rPr lang="es-CO" sz="1000" i="1">
                        <a:solidFill>
                          <a:schemeClr val="tx1"/>
                        </a:solidFill>
                        <a:effectLst/>
                        <a:latin typeface="Cambria Math" panose="02040503050406030204" pitchFamily="18" charset="0"/>
                        <a:ea typeface="+mn-ea"/>
                        <a:cs typeface="+mn-cs"/>
                      </a:rPr>
                      <m:t>=</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𝑁𝑎</m:t>
                                </m:r>
                              </m:sub>
                            </m:sSub>
                          </m:num>
                          <m:den>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𝑁𝑎</m:t>
                                </m:r>
                                <m:r>
                                  <a:rPr lang="es-CO" sz="1000" i="1">
                                    <a:solidFill>
                                      <a:schemeClr val="tx1"/>
                                    </a:solidFill>
                                    <a:effectLst/>
                                    <a:latin typeface="Cambria Math" panose="02040503050406030204" pitchFamily="18" charset="0"/>
                                    <a:ea typeface="+mn-ea"/>
                                    <a:cs typeface="+mn-cs"/>
                                  </a:rPr>
                                  <m:t>0</m:t>
                                </m:r>
                              </m:sub>
                            </m:sSub>
                          </m:den>
                        </m:f>
                      </m:e>
                    </m:d>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𝑁𝑎</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𝑒𝑑</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𝑁𝑎</m:t>
                        </m:r>
                      </m:sub>
                    </m:sSub>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b="0" i="1">
                            <a:solidFill>
                              <a:schemeClr val="tx1"/>
                            </a:solidFill>
                            <a:effectLst/>
                            <a:latin typeface="Cambria Math" panose="02040503050406030204" pitchFamily="18" charset="0"/>
                            <a:ea typeface="+mn-ea"/>
                            <a:cs typeface="+mn-cs"/>
                          </a:rPr>
                          <m:t>𝑐𝑝</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𝑁𝑎</m:t>
                        </m:r>
                      </m:sub>
                    </m:sSub>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𝑏𝑎</m:t>
                        </m:r>
                      </m:sub>
                    </m:sSub>
                  </m:oMath>
                </m:oMathPara>
              </a14:m>
              <a:endParaRPr lang="es-ES" sz="1000"/>
            </a:p>
          </xdr:txBody>
        </xdr:sp>
      </mc:Choice>
      <mc:Fallback xmlns="">
        <xdr:sp macro="" textlink="">
          <xdr:nvSpPr>
            <xdr:cNvPr id="106" name="TextBox 105"/>
            <xdr:cNvSpPr txBox="1"/>
          </xdr:nvSpPr>
          <xdr:spPr>
            <a:xfrm>
              <a:off x="381000" y="70723125"/>
              <a:ext cx="2097754"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𝑎𝑔</a:t>
              </a:r>
              <a:r>
                <a:rPr lang="es-CO" sz="100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𝐴</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𝑁𝑎</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𝐴</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𝑁𝑎</a:t>
              </a:r>
              <a:r>
                <a:rPr lang="es-CO" sz="1000" i="0">
                  <a:solidFill>
                    <a:schemeClr val="tx1"/>
                  </a:solidFill>
                  <a:effectLst/>
                  <a:latin typeface="Cambria Math" panose="02040503050406030204" pitchFamily="18" charset="0"/>
                  <a:ea typeface="+mn-ea"/>
                  <a:cs typeface="+mn-cs"/>
                </a:rPr>
                <a:t>0 )</a:t>
              </a:r>
              <a:r>
                <a:rPr lang="es-ES" sz="100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𝑒𝑐,</a:t>
              </a:r>
              <a:r>
                <a:rPr lang="es-CO" sz="1000" b="0" i="0">
                  <a:solidFill>
                    <a:schemeClr val="tx1"/>
                  </a:solidFill>
                  <a:effectLst/>
                  <a:latin typeface="Cambria Math" panose="02040503050406030204" pitchFamily="18" charset="0"/>
                  <a:ea typeface="+mn-ea"/>
                  <a:cs typeface="+mn-cs"/>
                </a:rPr>
                <a:t>𝑁𝑎</a:t>
              </a:r>
              <a:r>
                <a:rPr lang="es-ES"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𝑒𝑑,</a:t>
              </a:r>
              <a:r>
                <a:rPr lang="es-CO" sz="1000" b="0" i="0">
                  <a:solidFill>
                    <a:schemeClr val="tx1"/>
                  </a:solidFill>
                  <a:effectLst/>
                  <a:latin typeface="Cambria Math" panose="02040503050406030204" pitchFamily="18" charset="0"/>
                  <a:ea typeface="+mn-ea"/>
                  <a:cs typeface="+mn-cs"/>
                </a:rPr>
                <a:t>𝑁𝑎</a:t>
              </a:r>
              <a:r>
                <a:rPr lang="es-ES"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𝑐𝑝</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𝑁𝑎</a:t>
              </a:r>
              <a:r>
                <a:rPr lang="es-ES" sz="1000" b="0" i="0">
                  <a:solidFill>
                    <a:schemeClr val="tx1"/>
                  </a:solidFill>
                  <a:effectLst/>
                  <a:latin typeface="Cambria Math" panose="02040503050406030204" pitchFamily="18" charset="0"/>
                  <a:ea typeface="+mn-ea"/>
                  <a:cs typeface="+mn-cs"/>
                </a:rPr>
                <a:t>) </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𝑏𝑎</a:t>
              </a:r>
              <a:endParaRPr lang="es-ES" sz="1000"/>
            </a:p>
          </xdr:txBody>
        </xdr:sp>
      </mc:Fallback>
    </mc:AlternateContent>
    <xdr:clientData/>
  </xdr:oneCellAnchor>
  <xdr:oneCellAnchor>
    <xdr:from>
      <xdr:col>2</xdr:col>
      <xdr:colOff>19050</xdr:colOff>
      <xdr:row>467</xdr:row>
      <xdr:rowOff>19050</xdr:rowOff>
    </xdr:from>
    <xdr:ext cx="714298" cy="166392"/>
    <mc:AlternateContent xmlns:mc="http://schemas.openxmlformats.org/markup-compatibility/2006" xmlns:a14="http://schemas.microsoft.com/office/drawing/2010/main">
      <mc:Choice Requires="a14">
        <xdr:sp macro="" textlink="">
          <xdr:nvSpPr>
            <xdr:cNvPr id="107" name="TextBox 106"/>
            <xdr:cNvSpPr txBox="1"/>
          </xdr:nvSpPr>
          <xdr:spPr>
            <a:xfrm>
              <a:off x="381000" y="71075550"/>
              <a:ext cx="714298"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𝑎𝑔</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107" name="TextBox 106"/>
            <xdr:cNvSpPr txBox="1"/>
          </xdr:nvSpPr>
          <xdr:spPr>
            <a:xfrm>
              <a:off x="381000" y="71075550"/>
              <a:ext cx="714298" cy="1663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𝑎𝑔</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19050</xdr:colOff>
      <xdr:row>468</xdr:row>
      <xdr:rowOff>19050</xdr:rowOff>
    </xdr:from>
    <xdr:ext cx="253787" cy="150362"/>
    <mc:AlternateContent xmlns:mc="http://schemas.openxmlformats.org/markup-compatibility/2006" xmlns:a14="http://schemas.microsoft.com/office/drawing/2010/main">
      <mc:Choice Requires="a14">
        <xdr:sp macro="" textlink="">
          <xdr:nvSpPr>
            <xdr:cNvPr id="108" name="TextBox 107"/>
            <xdr:cNvSpPr txBox="1"/>
          </xdr:nvSpPr>
          <xdr:spPr>
            <a:xfrm>
              <a:off x="381000" y="71275575"/>
              <a:ext cx="253787"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𝑁𝑎</m:t>
                        </m:r>
                      </m:sub>
                    </m:sSub>
                  </m:oMath>
                </m:oMathPara>
              </a14:m>
              <a:endParaRPr lang="es-ES" sz="1000"/>
            </a:p>
          </xdr:txBody>
        </xdr:sp>
      </mc:Choice>
      <mc:Fallback xmlns="">
        <xdr:sp macro="" textlink="">
          <xdr:nvSpPr>
            <xdr:cNvPr id="108" name="TextBox 107"/>
            <xdr:cNvSpPr txBox="1"/>
          </xdr:nvSpPr>
          <xdr:spPr>
            <a:xfrm>
              <a:off x="381000" y="71275575"/>
              <a:ext cx="253787"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𝑁𝑎</a:t>
              </a:r>
              <a:endParaRPr lang="es-ES" sz="1000"/>
            </a:p>
          </xdr:txBody>
        </xdr:sp>
      </mc:Fallback>
    </mc:AlternateContent>
    <xdr:clientData/>
  </xdr:oneCellAnchor>
  <xdr:oneCellAnchor>
    <xdr:from>
      <xdr:col>2</xdr:col>
      <xdr:colOff>19050</xdr:colOff>
      <xdr:row>469</xdr:row>
      <xdr:rowOff>19050</xdr:rowOff>
    </xdr:from>
    <xdr:ext cx="949427" cy="153375"/>
    <mc:AlternateContent xmlns:mc="http://schemas.openxmlformats.org/markup-compatibility/2006" xmlns:a14="http://schemas.microsoft.com/office/drawing/2010/main">
      <mc:Choice Requires="a14">
        <xdr:sp macro="" textlink="">
          <xdr:nvSpPr>
            <xdr:cNvPr id="109" name="TextBox 108"/>
            <xdr:cNvSpPr txBox="1"/>
          </xdr:nvSpPr>
          <xdr:spPr>
            <a:xfrm>
              <a:off x="381000" y="71466075"/>
              <a:ext cx="949427" cy="15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𝑁𝑎</m:t>
                        </m:r>
                        <m:r>
                          <a:rPr lang="es-CO" sz="1000" b="0" i="1">
                            <a:solidFill>
                              <a:schemeClr val="tx1"/>
                            </a:solidFill>
                            <a:effectLst/>
                            <a:latin typeface="Cambria Math" panose="02040503050406030204" pitchFamily="18" charset="0"/>
                            <a:ea typeface="+mn-ea"/>
                            <a:cs typeface="+mn-cs"/>
                          </a:rPr>
                          <m:t>0</m:t>
                        </m:r>
                      </m:sub>
                    </m:sSub>
                    <m:r>
                      <a:rPr lang="es-CO" sz="1000" b="0" i="0">
                        <a:solidFill>
                          <a:schemeClr val="tx1"/>
                        </a:solidFill>
                        <a:effectLst/>
                        <a:latin typeface="Cambria Math" panose="02040503050406030204" pitchFamily="18" charset="0"/>
                        <a:ea typeface="+mn-ea"/>
                        <a:cs typeface="+mn-cs"/>
                      </a:rPr>
                      <m:t>=</m:t>
                    </m:r>
                    <m:sSup>
                      <m:sSupPr>
                        <m:ctrlPr>
                          <a:rPr lang="es-CO" sz="1000" b="0" i="1">
                            <a:solidFill>
                              <a:schemeClr val="tx1"/>
                            </a:solidFill>
                            <a:effectLst/>
                            <a:latin typeface="Cambria Math" panose="02040503050406030204" pitchFamily="18" charset="0"/>
                            <a:ea typeface="+mn-ea"/>
                            <a:cs typeface="+mn-cs"/>
                          </a:rPr>
                        </m:ctrlPr>
                      </m:sSupPr>
                      <m:e>
                        <m:d>
                          <m:dPr>
                            <m:ctrlPr>
                              <a:rPr lang="es-CO" sz="1000" b="0" i="1">
                                <a:solidFill>
                                  <a:schemeClr val="tx1"/>
                                </a:solidFill>
                                <a:effectLst/>
                                <a:latin typeface="Cambria Math" panose="02040503050406030204" pitchFamily="18" charset="0"/>
                                <a:ea typeface="+mn-ea"/>
                                <a:cs typeface="+mn-cs"/>
                              </a:rPr>
                            </m:ctrlPr>
                          </m:dPr>
                          <m:e>
                            <m:r>
                              <a:rPr lang="es-CO" sz="1000" b="0" i="1">
                                <a:solidFill>
                                  <a:schemeClr val="tx1"/>
                                </a:solidFill>
                                <a:effectLst/>
                                <a:latin typeface="Cambria Math" panose="02040503050406030204" pitchFamily="18" charset="0"/>
                                <a:ea typeface="+mn-ea"/>
                                <a:cs typeface="+mn-cs"/>
                              </a:rPr>
                              <m:t>2 </m:t>
                            </m:r>
                            <m:sSub>
                              <m:sSubPr>
                                <m:ctrlPr>
                                  <a:rPr lang="es-CO" sz="1100" b="0" i="1">
                                    <a:solidFill>
                                      <a:schemeClr val="tx1"/>
                                    </a:solidFill>
                                    <a:effectLst/>
                                    <a:latin typeface="Cambria Math" panose="02040503050406030204" pitchFamily="18" charset="0"/>
                                    <a:ea typeface="+mn-ea"/>
                                    <a:cs typeface="+mn-cs"/>
                                  </a:rPr>
                                </m:ctrlPr>
                              </m:sSubPr>
                              <m:e>
                                <m:r>
                                  <a:rPr lang="es-CO" sz="1100" b="0" i="1">
                                    <a:solidFill>
                                      <a:schemeClr val="tx1"/>
                                    </a:solidFill>
                                    <a:effectLst/>
                                    <a:latin typeface="Cambria Math" panose="02040503050406030204" pitchFamily="18" charset="0"/>
                                    <a:ea typeface="+mn-ea"/>
                                    <a:cs typeface="+mn-cs"/>
                                  </a:rPr>
                                  <m:t>𝑐</m:t>
                                </m:r>
                              </m:e>
                              <m:sub>
                                <m:r>
                                  <a:rPr lang="es-CO" sz="1100" b="0" i="1">
                                    <a:solidFill>
                                      <a:schemeClr val="tx1"/>
                                    </a:solidFill>
                                    <a:effectLst/>
                                    <a:latin typeface="Cambria Math" panose="02040503050406030204" pitchFamily="18" charset="0"/>
                                    <a:ea typeface="+mn-ea"/>
                                    <a:cs typeface="+mn-cs"/>
                                  </a:rPr>
                                  <m:t>𝑁𝑎</m:t>
                                </m:r>
                              </m:sub>
                            </m:sSub>
                          </m:e>
                        </m:d>
                      </m:e>
                      <m:sup>
                        <m:r>
                          <a:rPr lang="es-CO" sz="1000" b="0" i="1">
                            <a:solidFill>
                              <a:schemeClr val="tx1"/>
                            </a:solidFill>
                            <a:effectLst/>
                            <a:latin typeface="Cambria Math" panose="02040503050406030204" pitchFamily="18" charset="0"/>
                            <a:ea typeface="+mn-ea"/>
                            <a:cs typeface="+mn-cs"/>
                          </a:rPr>
                          <m:t>2</m:t>
                        </m:r>
                      </m:sup>
                    </m:sSup>
                  </m:oMath>
                </m:oMathPara>
              </a14:m>
              <a:endParaRPr lang="es-ES" sz="1000"/>
            </a:p>
          </xdr:txBody>
        </xdr:sp>
      </mc:Choice>
      <mc:Fallback xmlns="">
        <xdr:sp macro="" textlink="">
          <xdr:nvSpPr>
            <xdr:cNvPr id="109" name="TextBox 108"/>
            <xdr:cNvSpPr txBox="1"/>
          </xdr:nvSpPr>
          <xdr:spPr>
            <a:xfrm>
              <a:off x="381000" y="71466075"/>
              <a:ext cx="949427" cy="15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𝑁𝑎0=(2 </a:t>
              </a:r>
              <a:r>
                <a:rPr lang="es-CO" sz="1100" b="0" i="0">
                  <a:solidFill>
                    <a:schemeClr val="tx1"/>
                  </a:solidFill>
                  <a:effectLst/>
                  <a:latin typeface="Cambria Math" panose="02040503050406030204" pitchFamily="18" charset="0"/>
                  <a:ea typeface="+mn-ea"/>
                  <a:cs typeface="+mn-cs"/>
                </a:rPr>
                <a:t>𝑐</a:t>
              </a:r>
              <a:r>
                <a:rPr lang="es-CO" sz="1100" b="0" i="0">
                  <a:solidFill>
                    <a:schemeClr val="tx1"/>
                  </a:solidFill>
                  <a:effectLst/>
                  <a:latin typeface="+mn-lt"/>
                  <a:ea typeface="+mn-ea"/>
                  <a:cs typeface="+mn-cs"/>
                </a:rPr>
                <a:t>_</a:t>
              </a:r>
              <a:r>
                <a:rPr lang="es-CO" sz="1100" b="0" i="0">
                  <a:solidFill>
                    <a:schemeClr val="tx1"/>
                  </a:solidFill>
                  <a:effectLst/>
                  <a:latin typeface="Cambria Math" panose="02040503050406030204" pitchFamily="18" charset="0"/>
                  <a:ea typeface="+mn-ea"/>
                  <a:cs typeface="+mn-cs"/>
                </a:rPr>
                <a:t>𝑁𝑎</a:t>
              </a:r>
              <a:r>
                <a:rPr lang="es-CO" sz="1000" b="0" i="0">
                  <a:solidFill>
                    <a:schemeClr val="tx1"/>
                  </a:solidFill>
                  <a:effectLst/>
                  <a:latin typeface="Cambria Math" panose="02040503050406030204" pitchFamily="18" charset="0"/>
                  <a:ea typeface="+mn-ea"/>
                  <a:cs typeface="+mn-cs"/>
                </a:rPr>
                <a:t> )^2</a:t>
              </a:r>
              <a:endParaRPr lang="es-ES" sz="1000"/>
            </a:p>
          </xdr:txBody>
        </xdr:sp>
      </mc:Fallback>
    </mc:AlternateContent>
    <xdr:clientData/>
  </xdr:oneCellAnchor>
  <xdr:oneCellAnchor>
    <xdr:from>
      <xdr:col>2</xdr:col>
      <xdr:colOff>19050</xdr:colOff>
      <xdr:row>471</xdr:row>
      <xdr:rowOff>19050</xdr:rowOff>
    </xdr:from>
    <xdr:ext cx="1549975" cy="495457"/>
    <mc:AlternateContent xmlns:mc="http://schemas.openxmlformats.org/markup-compatibility/2006" xmlns:a14="http://schemas.microsoft.com/office/drawing/2010/main">
      <mc:Choice Requires="a14">
        <xdr:sp macro="" textlink="">
          <xdr:nvSpPr>
            <xdr:cNvPr id="110" name="TextBox 109"/>
            <xdr:cNvSpPr txBox="1"/>
          </xdr:nvSpPr>
          <xdr:spPr>
            <a:xfrm>
              <a:off x="381000" y="72161400"/>
              <a:ext cx="1549975" cy="495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𝑁𝑎</m:t>
                        </m:r>
                      </m:sub>
                    </m:sSub>
                    <m:r>
                      <a:rPr lang="es-CO" sz="1000" i="1">
                        <a:solidFill>
                          <a:schemeClr val="tx1"/>
                        </a:solidFill>
                        <a:effectLst/>
                        <a:latin typeface="Cambria Math" panose="02040503050406030204" pitchFamily="18" charset="0"/>
                        <a:ea typeface="+mn-ea"/>
                        <a:cs typeface="+mn-cs"/>
                      </a:rPr>
                      <m:t>=</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r>
                              <a:rPr lang="es-CO" sz="1000" i="1">
                                <a:solidFill>
                                  <a:schemeClr val="tx1"/>
                                </a:solidFill>
                                <a:effectLst/>
                                <a:latin typeface="Cambria Math" panose="02040503050406030204" pitchFamily="18" charset="0"/>
                                <a:ea typeface="+mn-ea"/>
                                <a:cs typeface="+mn-cs"/>
                              </a:rPr>
                              <m:t>1</m:t>
                            </m:r>
                          </m:num>
                          <m:den>
                            <m:r>
                              <a:rPr lang="es-CO" sz="1000" i="1">
                                <a:solidFill>
                                  <a:schemeClr val="tx1"/>
                                </a:solidFill>
                                <a:effectLst/>
                                <a:latin typeface="Cambria Math" panose="02040503050406030204" pitchFamily="18" charset="0"/>
                                <a:ea typeface="+mn-ea"/>
                                <a:cs typeface="+mn-cs"/>
                              </a:rPr>
                              <m:t>1+</m:t>
                            </m:r>
                            <m:f>
                              <m:fPr>
                                <m:ctrlPr>
                                  <a:rPr lang="es-ES" sz="1000" i="1">
                                    <a:solidFill>
                                      <a:schemeClr val="tx1"/>
                                    </a:solidFill>
                                    <a:effectLst/>
                                    <a:latin typeface="Cambria Math" panose="02040503050406030204" pitchFamily="18" charset="0"/>
                                    <a:ea typeface="+mn-ea"/>
                                    <a:cs typeface="+mn-cs"/>
                                  </a:rPr>
                                </m:ctrlPr>
                              </m:fPr>
                              <m:num>
                                <m:r>
                                  <a:rPr lang="es-CO" sz="1000" i="1">
                                    <a:solidFill>
                                      <a:schemeClr val="tx1"/>
                                    </a:solidFill>
                                    <a:effectLst/>
                                    <a:latin typeface="Cambria Math" panose="02040503050406030204" pitchFamily="18" charset="0"/>
                                    <a:ea typeface="+mn-ea"/>
                                    <a:cs typeface="+mn-cs"/>
                                  </a:rPr>
                                  <m:t>2</m:t>
                                </m:r>
                                <m:sSub>
                                  <m:sSubPr>
                                    <m:ctrlPr>
                                      <a:rPr lang="es-ES" sz="1000" i="1">
                                        <a:solidFill>
                                          <a:schemeClr val="tx1"/>
                                        </a:solidFill>
                                        <a:effectLst/>
                                        <a:latin typeface="Cambria Math" panose="02040503050406030204" pitchFamily="18" charset="0"/>
                                        <a:ea typeface="+mn-ea"/>
                                        <a:cs typeface="+mn-cs"/>
                                      </a:rPr>
                                    </m:ctrlPr>
                                  </m:sSubPr>
                                  <m:e>
                                    <m:sSup>
                                      <m:sSupPr>
                                        <m:ctrlPr>
                                          <a:rPr lang="es-ES" sz="1000" i="1">
                                            <a:solidFill>
                                              <a:schemeClr val="tx1"/>
                                            </a:solidFill>
                                            <a:effectLst/>
                                            <a:latin typeface="Cambria Math" panose="02040503050406030204" pitchFamily="18" charset="0"/>
                                            <a:ea typeface="+mn-ea"/>
                                            <a:cs typeface="+mn-cs"/>
                                          </a:rPr>
                                        </m:ctrlPr>
                                      </m:sSupPr>
                                      <m:e>
                                        <m:r>
                                          <a:rPr lang="es-CO" sz="1000" i="1">
                                            <a:solidFill>
                                              <a:schemeClr val="tx1"/>
                                            </a:solidFill>
                                            <a:effectLst/>
                                            <a:latin typeface="Cambria Math" panose="02040503050406030204" pitchFamily="18" charset="0"/>
                                            <a:ea typeface="+mn-ea"/>
                                            <a:cs typeface="+mn-cs"/>
                                          </a:rPr>
                                          <m:t>𝑒</m:t>
                                        </m:r>
                                      </m:e>
                                      <m:sup>
                                        <m:r>
                                          <a:rPr lang="es-CO" sz="1000" i="1">
                                            <a:solidFill>
                                              <a:schemeClr val="tx1"/>
                                            </a:solidFill>
                                            <a:effectLst/>
                                            <a:latin typeface="Cambria Math" panose="02040503050406030204" pitchFamily="18" charset="0"/>
                                            <a:ea typeface="+mn-ea"/>
                                            <a:cs typeface="+mn-cs"/>
                                          </a:rPr>
                                          <m:t>′</m:t>
                                        </m:r>
                                      </m:sup>
                                    </m:sSup>
                                  </m:e>
                                  <m:sub>
                                    <m:r>
                                      <a:rPr lang="es-CO" sz="1000" b="0" i="1">
                                        <a:solidFill>
                                          <a:schemeClr val="tx1"/>
                                        </a:solidFill>
                                        <a:effectLst/>
                                        <a:latin typeface="Cambria Math" panose="02040503050406030204" pitchFamily="18" charset="0"/>
                                        <a:ea typeface="+mn-ea"/>
                                        <a:cs typeface="+mn-cs"/>
                                      </a:rPr>
                                      <m:t>𝑁</m:t>
                                    </m:r>
                                  </m:sub>
                                </m:sSub>
                              </m:num>
                              <m:den>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𝑁𝐴</m:t>
                                    </m:r>
                                  </m:sub>
                                </m:sSub>
                              </m:den>
                            </m:f>
                          </m:den>
                        </m:f>
                      </m:e>
                    </m:d>
                    <m:r>
                      <a:rPr lang="es-CO" sz="1000" i="1">
                        <a:solidFill>
                          <a:schemeClr val="tx1"/>
                        </a:solidFill>
                        <a:effectLst/>
                        <a:latin typeface="Cambria Math" panose="02040503050406030204" pitchFamily="18" charset="0"/>
                        <a:ea typeface="+mn-ea"/>
                        <a:cs typeface="+mn-cs"/>
                      </a:rPr>
                      <m:t>≤1,0</m:t>
                    </m:r>
                  </m:oMath>
                </m:oMathPara>
              </a14:m>
              <a:endParaRPr lang="es-ES" sz="800"/>
            </a:p>
          </xdr:txBody>
        </xdr:sp>
      </mc:Choice>
      <mc:Fallback xmlns="">
        <xdr:sp macro="" textlink="">
          <xdr:nvSpPr>
            <xdr:cNvPr id="110" name="TextBox 109"/>
            <xdr:cNvSpPr txBox="1"/>
          </xdr:nvSpPr>
          <xdr:spPr>
            <a:xfrm>
              <a:off x="381000" y="72161400"/>
              <a:ext cx="1549975" cy="495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𝑒𝑐,</a:t>
              </a:r>
              <a:r>
                <a:rPr lang="es-CO" sz="1000" b="0" i="0">
                  <a:solidFill>
                    <a:schemeClr val="tx1"/>
                  </a:solidFill>
                  <a:effectLst/>
                  <a:latin typeface="Cambria Math" panose="02040503050406030204" pitchFamily="18" charset="0"/>
                  <a:ea typeface="+mn-ea"/>
                  <a:cs typeface="+mn-cs"/>
                </a:rPr>
                <a:t>𝑁𝑎</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2</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𝑒</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𝑐</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𝑁𝐴 </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≤1,0</a:t>
              </a:r>
              <a:endParaRPr lang="es-ES" sz="800"/>
            </a:p>
          </xdr:txBody>
        </xdr:sp>
      </mc:Fallback>
    </mc:AlternateContent>
    <xdr:clientData/>
  </xdr:oneCellAnchor>
  <xdr:oneCellAnchor>
    <xdr:from>
      <xdr:col>2</xdr:col>
      <xdr:colOff>19050</xdr:colOff>
      <xdr:row>472</xdr:row>
      <xdr:rowOff>19050</xdr:rowOff>
    </xdr:from>
    <xdr:ext cx="1821140" cy="349006"/>
    <mc:AlternateContent xmlns:mc="http://schemas.openxmlformats.org/markup-compatibility/2006" xmlns:a14="http://schemas.microsoft.com/office/drawing/2010/main">
      <mc:Choice Requires="a14">
        <xdr:sp macro="" textlink="">
          <xdr:nvSpPr>
            <xdr:cNvPr id="111" name="TextBox 110"/>
            <xdr:cNvSpPr txBox="1"/>
          </xdr:nvSpPr>
          <xdr:spPr>
            <a:xfrm>
              <a:off x="381000" y="72685275"/>
              <a:ext cx="1821140" cy="349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𝑒𝑑</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𝑁</m:t>
                        </m:r>
                      </m:sub>
                    </m:sSub>
                    <m:r>
                      <a:rPr lang="es-CO" sz="1000" i="1">
                        <a:solidFill>
                          <a:schemeClr val="tx1"/>
                        </a:solidFill>
                        <a:effectLst/>
                        <a:latin typeface="Cambria Math" panose="02040503050406030204" pitchFamily="18" charset="0"/>
                        <a:ea typeface="+mn-ea"/>
                        <a:cs typeface="+mn-cs"/>
                      </a:rPr>
                      <m:t>=0,7+0,3</m:t>
                    </m:r>
                    <m:d>
                      <m:dPr>
                        <m:ctrlPr>
                          <a:rPr lang="es-ES" sz="1000" i="1">
                            <a:solidFill>
                              <a:schemeClr val="tx1"/>
                            </a:solidFill>
                            <a:effectLst/>
                            <a:latin typeface="Cambria Math" panose="02040503050406030204" pitchFamily="18" charset="0"/>
                            <a:ea typeface="+mn-ea"/>
                            <a:cs typeface="+mn-cs"/>
                          </a:rPr>
                        </m:ctrlPr>
                      </m:dPr>
                      <m:e>
                        <m:f>
                          <m:fPr>
                            <m:ctrlPr>
                              <a:rPr lang="es-ES" sz="1000" i="1">
                                <a:solidFill>
                                  <a:schemeClr val="tx1"/>
                                </a:solidFill>
                                <a:effectLst/>
                                <a:latin typeface="Cambria Math" panose="02040503050406030204" pitchFamily="18" charset="0"/>
                                <a:ea typeface="+mn-ea"/>
                                <a:cs typeface="+mn-cs"/>
                              </a:rPr>
                            </m:ctrlPr>
                          </m:fPr>
                          <m:num>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𝑐</m:t>
                                </m:r>
                              </m:e>
                              <m:sub>
                                <m:r>
                                  <a:rPr lang="es-CO" sz="1000" i="1">
                                    <a:solidFill>
                                      <a:schemeClr val="tx1"/>
                                    </a:solidFill>
                                    <a:effectLst/>
                                    <a:latin typeface="Cambria Math" panose="02040503050406030204" pitchFamily="18" charset="0"/>
                                    <a:ea typeface="+mn-ea"/>
                                    <a:cs typeface="+mn-cs"/>
                                  </a:rPr>
                                  <m:t>𝑎</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num>
                          <m:den>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𝑁𝑎</m:t>
                                </m:r>
                              </m:sub>
                            </m:sSub>
                          </m:den>
                        </m:f>
                      </m:e>
                    </m:d>
                    <m:r>
                      <a:rPr lang="es-CO" sz="1000" i="1">
                        <a:solidFill>
                          <a:schemeClr val="tx1"/>
                        </a:solidFill>
                        <a:effectLst/>
                        <a:latin typeface="Cambria Math" panose="02040503050406030204" pitchFamily="18" charset="0"/>
                        <a:ea typeface="+mn-ea"/>
                        <a:cs typeface="+mn-cs"/>
                      </a:rPr>
                      <m:t>≤1,0</m:t>
                    </m:r>
                  </m:oMath>
                </m:oMathPara>
              </a14:m>
              <a:endParaRPr lang="es-ES" sz="800"/>
            </a:p>
          </xdr:txBody>
        </xdr:sp>
      </mc:Choice>
      <mc:Fallback xmlns="">
        <xdr:sp macro="" textlink="">
          <xdr:nvSpPr>
            <xdr:cNvPr id="111" name="TextBox 110"/>
            <xdr:cNvSpPr txBox="1"/>
          </xdr:nvSpPr>
          <xdr:spPr>
            <a:xfrm>
              <a:off x="381000" y="72685275"/>
              <a:ext cx="1821140" cy="3490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𝑒𝑑,</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=0,7+0,3</a:t>
              </a:r>
              <a:r>
                <a:rPr lang="es-ES"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𝑐</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𝑎,</a:t>
              </a:r>
              <a:r>
                <a:rPr lang="es-CO" sz="1000" b="0" i="0">
                  <a:solidFill>
                    <a:schemeClr val="tx1"/>
                  </a:solidFill>
                  <a:effectLst/>
                  <a:latin typeface="Cambria Math" panose="02040503050406030204" pitchFamily="18" charset="0"/>
                  <a:ea typeface="+mn-ea"/>
                  <a:cs typeface="+mn-cs"/>
                </a:rPr>
                <a:t>𝑚𝑖𝑛</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𝑐</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𝑁𝑎 )</a:t>
              </a:r>
              <a:r>
                <a:rPr lang="es-CO" sz="1000" i="0">
                  <a:solidFill>
                    <a:schemeClr val="tx1"/>
                  </a:solidFill>
                  <a:effectLst/>
                  <a:latin typeface="Cambria Math" panose="02040503050406030204" pitchFamily="18" charset="0"/>
                  <a:ea typeface="+mn-ea"/>
                  <a:cs typeface="+mn-cs"/>
                </a:rPr>
                <a:t>≤1,0</a:t>
              </a:r>
              <a:endParaRPr lang="es-ES" sz="800"/>
            </a:p>
          </xdr:txBody>
        </xdr:sp>
      </mc:Fallback>
    </mc:AlternateContent>
    <xdr:clientData/>
  </xdr:oneCellAnchor>
  <xdr:oneCellAnchor>
    <xdr:from>
      <xdr:col>2</xdr:col>
      <xdr:colOff>19050</xdr:colOff>
      <xdr:row>473</xdr:row>
      <xdr:rowOff>19050</xdr:rowOff>
    </xdr:from>
    <xdr:ext cx="1962332" cy="348493"/>
    <mc:AlternateContent xmlns:mc="http://schemas.openxmlformats.org/markup-compatibility/2006" xmlns:a14="http://schemas.microsoft.com/office/drawing/2010/main">
      <mc:Choice Requires="a14">
        <xdr:sp macro="" textlink="">
          <xdr:nvSpPr>
            <xdr:cNvPr id="112" name="TextBox 111"/>
            <xdr:cNvSpPr txBox="1"/>
          </xdr:nvSpPr>
          <xdr:spPr>
            <a:xfrm>
              <a:off x="381000" y="73066275"/>
              <a:ext cx="1962332" cy="348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100" i="1">
                            <a:solidFill>
                              <a:schemeClr val="tx1"/>
                            </a:solidFill>
                            <a:effectLst/>
                            <a:latin typeface="Cambria Math" panose="02040503050406030204" pitchFamily="18" charset="0"/>
                            <a:ea typeface="+mn-ea"/>
                            <a:cs typeface="+mn-cs"/>
                          </a:rPr>
                        </m:ctrlPr>
                      </m:sSubPr>
                      <m:e>
                        <m:r>
                          <a:rPr lang="es-CO" sz="1100" i="1">
                            <a:solidFill>
                              <a:schemeClr val="tx1"/>
                            </a:solidFill>
                            <a:effectLst/>
                            <a:latin typeface="Cambria Math" panose="02040503050406030204" pitchFamily="18" charset="0"/>
                            <a:ea typeface="+mn-ea"/>
                            <a:cs typeface="+mn-cs"/>
                          </a:rPr>
                          <m:t>𝜓</m:t>
                        </m:r>
                      </m:e>
                      <m:sub>
                        <m:r>
                          <a:rPr lang="es-CO" sz="1100" b="0" i="1">
                            <a:solidFill>
                              <a:schemeClr val="tx1"/>
                            </a:solidFill>
                            <a:effectLst/>
                            <a:latin typeface="Cambria Math" panose="02040503050406030204" pitchFamily="18" charset="0"/>
                            <a:ea typeface="+mn-ea"/>
                            <a:cs typeface="+mn-cs"/>
                          </a:rPr>
                          <m:t>𝑐𝑝</m:t>
                        </m:r>
                        <m:r>
                          <a:rPr lang="es-CO" sz="110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𝑁𝑎</m:t>
                        </m:r>
                      </m:sub>
                    </m:sSub>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𝑀𝐴𝑋</m:t>
                    </m:r>
                    <m:d>
                      <m:dPr>
                        <m:ctrlPr>
                          <a:rPr lang="es-CO" sz="1000" b="0" i="1">
                            <a:solidFill>
                              <a:schemeClr val="tx1"/>
                            </a:solidFill>
                            <a:effectLst/>
                            <a:latin typeface="Cambria Math" panose="02040503050406030204" pitchFamily="18" charset="0"/>
                            <a:ea typeface="+mn-ea"/>
                            <a:cs typeface="+mn-cs"/>
                          </a:rPr>
                        </m:ctrlPr>
                      </m:dPr>
                      <m:e>
                        <m:f>
                          <m:fPr>
                            <m:ctrlPr>
                              <a:rPr lang="es-CO" sz="1000" b="0" i="1">
                                <a:solidFill>
                                  <a:schemeClr val="tx1"/>
                                </a:solidFill>
                                <a:effectLst/>
                                <a:latin typeface="Cambria Math" panose="02040503050406030204" pitchFamily="18" charset="0"/>
                                <a:ea typeface="+mn-ea"/>
                                <a:cs typeface="+mn-cs"/>
                              </a:rPr>
                            </m:ctrlPr>
                          </m:fPr>
                          <m:num>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num>
                          <m:den>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𝑎𝑐</m:t>
                                </m:r>
                              </m:sub>
                            </m:sSub>
                          </m:den>
                        </m:f>
                        <m:r>
                          <a:rPr lang="es-CO" sz="1000" b="0" i="1">
                            <a:solidFill>
                              <a:schemeClr val="tx1"/>
                            </a:solidFill>
                            <a:effectLst/>
                            <a:latin typeface="Cambria Math" panose="02040503050406030204" pitchFamily="18" charset="0"/>
                            <a:ea typeface="+mn-ea"/>
                            <a:cs typeface="+mn-cs"/>
                          </a:rPr>
                          <m:t>,</m:t>
                        </m:r>
                        <m:f>
                          <m:fPr>
                            <m:ctrlPr>
                              <a:rPr lang="es-CO" sz="1000" b="0" i="1">
                                <a:solidFill>
                                  <a:schemeClr val="tx1"/>
                                </a:solidFill>
                                <a:effectLst/>
                                <a:latin typeface="Cambria Math" panose="02040503050406030204" pitchFamily="18" charset="0"/>
                                <a:ea typeface="+mn-ea"/>
                                <a:cs typeface="+mn-cs"/>
                              </a:rPr>
                            </m:ctrlPr>
                          </m:fPr>
                          <m:num>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𝑁𝑎</m:t>
                                </m:r>
                              </m:sub>
                            </m:sSub>
                          </m:num>
                          <m:den>
                            <m:sSub>
                              <m:sSubPr>
                                <m:ctrlPr>
                                  <a:rPr lang="es-CO" sz="1100" b="0" i="1">
                                    <a:solidFill>
                                      <a:schemeClr val="tx1"/>
                                    </a:solidFill>
                                    <a:effectLst/>
                                    <a:latin typeface="Cambria Math" panose="02040503050406030204" pitchFamily="18" charset="0"/>
                                    <a:ea typeface="+mn-ea"/>
                                    <a:cs typeface="+mn-cs"/>
                                  </a:rPr>
                                </m:ctrlPr>
                              </m:sSubPr>
                              <m:e>
                                <m:r>
                                  <a:rPr lang="es-CO" sz="1100" b="0" i="1">
                                    <a:solidFill>
                                      <a:schemeClr val="tx1"/>
                                    </a:solidFill>
                                    <a:effectLst/>
                                    <a:latin typeface="Cambria Math" panose="02040503050406030204" pitchFamily="18" charset="0"/>
                                    <a:ea typeface="+mn-ea"/>
                                    <a:cs typeface="+mn-cs"/>
                                  </a:rPr>
                                  <m:t>𝑐</m:t>
                                </m:r>
                              </m:e>
                              <m:sub>
                                <m:r>
                                  <a:rPr lang="es-CO" sz="1100" b="0" i="1">
                                    <a:solidFill>
                                      <a:schemeClr val="tx1"/>
                                    </a:solidFill>
                                    <a:effectLst/>
                                    <a:latin typeface="Cambria Math" panose="02040503050406030204" pitchFamily="18" charset="0"/>
                                    <a:ea typeface="+mn-ea"/>
                                    <a:cs typeface="+mn-cs"/>
                                  </a:rPr>
                                  <m:t>𝑎𝑐</m:t>
                                </m:r>
                              </m:sub>
                            </m:sSub>
                          </m:den>
                        </m:f>
                      </m:e>
                    </m:d>
                    <m:r>
                      <a:rPr lang="es-CO" sz="1000" i="1">
                        <a:solidFill>
                          <a:schemeClr val="tx1"/>
                        </a:solidFill>
                        <a:effectLst/>
                        <a:latin typeface="Cambria Math" panose="02040503050406030204" pitchFamily="18" charset="0"/>
                        <a:ea typeface="Cambria Math" panose="02040503050406030204" pitchFamily="18" charset="0"/>
                        <a:cs typeface="+mn-cs"/>
                      </a:rPr>
                      <m:t>≥</m:t>
                    </m:r>
                    <m:r>
                      <a:rPr lang="es-CO" sz="1000" b="0" i="1">
                        <a:solidFill>
                          <a:schemeClr val="tx1"/>
                        </a:solidFill>
                        <a:effectLst/>
                        <a:latin typeface="Cambria Math" panose="02040503050406030204" pitchFamily="18" charset="0"/>
                        <a:ea typeface="Cambria Math" panose="02040503050406030204" pitchFamily="18" charset="0"/>
                        <a:cs typeface="+mn-cs"/>
                      </a:rPr>
                      <m:t>1,0</m:t>
                    </m:r>
                  </m:oMath>
                </m:oMathPara>
              </a14:m>
              <a:endParaRPr lang="es-ES" sz="1000"/>
            </a:p>
          </xdr:txBody>
        </xdr:sp>
      </mc:Choice>
      <mc:Fallback xmlns="">
        <xdr:sp macro="" textlink="">
          <xdr:nvSpPr>
            <xdr:cNvPr id="112" name="TextBox 111"/>
            <xdr:cNvSpPr txBox="1"/>
          </xdr:nvSpPr>
          <xdr:spPr>
            <a:xfrm>
              <a:off x="381000" y="73066275"/>
              <a:ext cx="1962332" cy="348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i="0">
                  <a:solidFill>
                    <a:schemeClr val="tx1"/>
                  </a:solidFill>
                  <a:effectLst/>
                  <a:latin typeface="Cambria Math" panose="02040503050406030204" pitchFamily="18" charset="0"/>
                  <a:ea typeface="+mn-ea"/>
                  <a:cs typeface="+mn-cs"/>
                </a:rPr>
                <a:t>𝜓</a:t>
              </a:r>
              <a:r>
                <a:rPr lang="es-ES" sz="1100" i="0">
                  <a:solidFill>
                    <a:schemeClr val="tx1"/>
                  </a:solidFill>
                  <a:effectLst/>
                  <a:latin typeface="Cambria Math" panose="02040503050406030204" pitchFamily="18" charset="0"/>
                  <a:ea typeface="+mn-ea"/>
                  <a:cs typeface="+mn-cs"/>
                </a:rPr>
                <a:t>_(</a:t>
              </a:r>
              <a:r>
                <a:rPr lang="es-CO" sz="1100" b="0" i="0">
                  <a:solidFill>
                    <a:schemeClr val="tx1"/>
                  </a:solidFill>
                  <a:effectLst/>
                  <a:latin typeface="Cambria Math" panose="02040503050406030204" pitchFamily="18" charset="0"/>
                  <a:ea typeface="+mn-ea"/>
                  <a:cs typeface="+mn-cs"/>
                </a:rPr>
                <a:t>𝑐𝑝</a:t>
              </a:r>
              <a:r>
                <a:rPr lang="es-CO" sz="1100" i="0">
                  <a:solidFill>
                    <a:schemeClr val="tx1"/>
                  </a:solidFill>
                  <a:effectLst/>
                  <a:latin typeface="Cambria Math" panose="02040503050406030204" pitchFamily="18" charset="0"/>
                  <a:ea typeface="+mn-ea"/>
                  <a:cs typeface="+mn-cs"/>
                </a:rPr>
                <a:t>,</a:t>
              </a:r>
              <a:r>
                <a:rPr lang="es-CO" sz="1100" b="0" i="0">
                  <a:solidFill>
                    <a:schemeClr val="tx1"/>
                  </a:solidFill>
                  <a:effectLst/>
                  <a:latin typeface="Cambria Math" panose="02040503050406030204" pitchFamily="18" charset="0"/>
                  <a:ea typeface="+mn-ea"/>
                  <a:cs typeface="+mn-cs"/>
                </a:rPr>
                <a:t>𝑁𝑎</a:t>
              </a:r>
              <a:r>
                <a:rPr lang="es-ES" sz="1100" b="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𝑀𝐴𝑋(𝑐_(𝑎,𝑚𝑖𝑛)/𝑐_𝑎𝑐 ,𝑐_𝑁𝑎/</a:t>
              </a:r>
              <a:r>
                <a:rPr lang="es-CO" sz="1100" b="0" i="0">
                  <a:solidFill>
                    <a:schemeClr val="tx1"/>
                  </a:solidFill>
                  <a:effectLst/>
                  <a:latin typeface="+mn-lt"/>
                  <a:ea typeface="+mn-ea"/>
                  <a:cs typeface="+mn-cs"/>
                </a:rPr>
                <a:t>𝑐_𝑎𝑐</a:t>
              </a:r>
              <a:r>
                <a:rPr lang="es-CO" sz="1000" b="0" i="0">
                  <a:solidFill>
                    <a:schemeClr val="tx1"/>
                  </a:solidFill>
                  <a:effectLst/>
                  <a:latin typeface="Cambria Math" panose="02040503050406030204" pitchFamily="18" charset="0"/>
                  <a:ea typeface="+mn-ea"/>
                  <a:cs typeface="+mn-cs"/>
                </a:rPr>
                <a:t> )</a:t>
              </a:r>
              <a:r>
                <a:rPr lang="es-CO" sz="1000" i="0">
                  <a:solidFill>
                    <a:schemeClr val="tx1"/>
                  </a:solidFill>
                  <a:effectLst/>
                  <a:latin typeface="Cambria Math" panose="02040503050406030204" pitchFamily="18" charset="0"/>
                  <a:ea typeface="Cambria Math" panose="02040503050406030204" pitchFamily="18" charset="0"/>
                  <a:cs typeface="+mn-cs"/>
                </a:rPr>
                <a:t>≥</a:t>
              </a:r>
              <a:r>
                <a:rPr lang="es-CO" sz="1000" b="0" i="0">
                  <a:solidFill>
                    <a:schemeClr val="tx1"/>
                  </a:solidFill>
                  <a:effectLst/>
                  <a:latin typeface="Cambria Math" panose="02040503050406030204" pitchFamily="18" charset="0"/>
                  <a:ea typeface="Cambria Math" panose="02040503050406030204" pitchFamily="18" charset="0"/>
                  <a:cs typeface="+mn-cs"/>
                </a:rPr>
                <a:t>1,0</a:t>
              </a:r>
              <a:endParaRPr lang="es-ES" sz="1000"/>
            </a:p>
          </xdr:txBody>
        </xdr:sp>
      </mc:Fallback>
    </mc:AlternateContent>
    <xdr:clientData/>
  </xdr:oneCellAnchor>
  <xdr:oneCellAnchor>
    <xdr:from>
      <xdr:col>2</xdr:col>
      <xdr:colOff>19050</xdr:colOff>
      <xdr:row>474</xdr:row>
      <xdr:rowOff>19050</xdr:rowOff>
    </xdr:from>
    <xdr:ext cx="1663340" cy="181012"/>
    <mc:AlternateContent xmlns:mc="http://schemas.openxmlformats.org/markup-compatibility/2006" xmlns:a14="http://schemas.microsoft.com/office/drawing/2010/main">
      <mc:Choice Requires="a14">
        <xdr:sp macro="" textlink="">
          <xdr:nvSpPr>
            <xdr:cNvPr id="113" name="TextBox 112"/>
            <xdr:cNvSpPr txBox="1"/>
          </xdr:nvSpPr>
          <xdr:spPr>
            <a:xfrm>
              <a:off x="381000" y="73447275"/>
              <a:ext cx="1663340" cy="181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𝑏</m:t>
                        </m:r>
                        <m:r>
                          <a:rPr lang="es-CO" sz="1000" b="0" i="1">
                            <a:solidFill>
                              <a:schemeClr val="tx1"/>
                            </a:solidFill>
                            <a:effectLst/>
                            <a:latin typeface="Cambria Math" panose="02040503050406030204" pitchFamily="18" charset="0"/>
                            <a:ea typeface="+mn-ea"/>
                            <a:cs typeface="+mn-cs"/>
                          </a:rPr>
                          <m:t>𝑎</m:t>
                        </m:r>
                      </m:sub>
                    </m:sSub>
                    <m:r>
                      <a:rPr lang="es-CO" sz="1000" b="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𝜆</m:t>
                        </m:r>
                      </m:e>
                      <m:sub>
                        <m:r>
                          <a:rPr lang="es-CO" sz="1000" b="0" i="1">
                            <a:solidFill>
                              <a:schemeClr val="tx1"/>
                            </a:solidFill>
                            <a:effectLst/>
                            <a:latin typeface="Cambria Math" panose="02040503050406030204" pitchFamily="18" charset="0"/>
                            <a:ea typeface="+mn-ea"/>
                            <a:cs typeface="+mn-cs"/>
                          </a:rPr>
                          <m:t>𝑎</m:t>
                        </m:r>
                      </m:sub>
                    </m:sSub>
                    <m:r>
                      <a:rPr lang="es-CO" sz="1000" b="0" i="1">
                        <a:solidFill>
                          <a:schemeClr val="tx1"/>
                        </a:solidFill>
                        <a:effectLst/>
                        <a:latin typeface="Cambria Math" panose="02040503050406030204" pitchFamily="18" charset="0"/>
                        <a:ea typeface="+mn-ea"/>
                        <a:cs typeface="+mn-cs"/>
                      </a:rPr>
                      <m:t> </m:t>
                    </m:r>
                    <m:sSub>
                      <m:sSubPr>
                        <m:ctrlPr>
                          <a:rPr lang="es-CO" sz="1100" b="0" i="1">
                            <a:solidFill>
                              <a:schemeClr val="tx1"/>
                            </a:solidFill>
                            <a:effectLst/>
                            <a:latin typeface="Cambria Math" panose="02040503050406030204" pitchFamily="18" charset="0"/>
                            <a:ea typeface="+mn-ea"/>
                            <a:cs typeface="+mn-cs"/>
                          </a:rPr>
                        </m:ctrlPr>
                      </m:sSubPr>
                      <m:e>
                        <m:r>
                          <a:rPr lang="es-CO" sz="1100" b="0" i="1">
                            <a:solidFill>
                              <a:schemeClr val="tx1"/>
                            </a:solidFill>
                            <a:effectLst/>
                            <a:latin typeface="Cambria Math" panose="02040503050406030204" pitchFamily="18" charset="0"/>
                            <a:ea typeface="Cambria Math" panose="02040503050406030204" pitchFamily="18" charset="0"/>
                            <a:cs typeface="+mn-cs"/>
                          </a:rPr>
                          <m:t>𝜏</m:t>
                        </m:r>
                      </m:e>
                      <m:sub>
                        <m:r>
                          <a:rPr lang="es-CO" sz="1100" b="0" i="1">
                            <a:solidFill>
                              <a:schemeClr val="tx1"/>
                            </a:solidFill>
                            <a:effectLst/>
                            <a:latin typeface="Cambria Math" panose="02040503050406030204" pitchFamily="18" charset="0"/>
                            <a:ea typeface="+mn-ea"/>
                            <a:cs typeface="+mn-cs"/>
                          </a:rPr>
                          <m:t>𝑘</m:t>
                        </m:r>
                        <m:r>
                          <a:rPr lang="es-CO" sz="1100" b="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𝑐</m:t>
                        </m:r>
                      </m:sub>
                    </m:sSub>
                    <m:r>
                      <a:rPr lang="es-CO" sz="1100" b="0" i="1">
                        <a:solidFill>
                          <a:schemeClr val="tx1"/>
                        </a:solidFill>
                        <a:effectLst/>
                        <a:latin typeface="Cambria Math" panose="02040503050406030204" pitchFamily="18" charset="0"/>
                        <a:ea typeface="+mn-ea"/>
                        <a:cs typeface="+mn-cs"/>
                      </a:rPr>
                      <m:t> </m:t>
                    </m:r>
                    <m:sSub>
                      <m:sSubPr>
                        <m:ctrlPr>
                          <a:rPr lang="es-CO" sz="1100" b="0" i="1">
                            <a:solidFill>
                              <a:schemeClr val="tx1"/>
                            </a:solidFill>
                            <a:effectLst/>
                            <a:latin typeface="Cambria Math" panose="02040503050406030204" pitchFamily="18" charset="0"/>
                            <a:ea typeface="+mn-ea"/>
                            <a:cs typeface="+mn-cs"/>
                          </a:rPr>
                        </m:ctrlPr>
                      </m:sSubPr>
                      <m:e>
                        <m:r>
                          <m:rPr>
                            <m:sty m:val="p"/>
                          </m:rPr>
                          <a:rPr lang="el-GR" sz="1100" b="0" i="1">
                            <a:solidFill>
                              <a:schemeClr val="tx1"/>
                            </a:solidFill>
                            <a:effectLst/>
                            <a:latin typeface="Cambria Math" panose="02040503050406030204" pitchFamily="18" charset="0"/>
                            <a:ea typeface="+mn-ea"/>
                            <a:cs typeface="+mn-cs"/>
                          </a:rPr>
                          <m:t>κ</m:t>
                        </m:r>
                      </m:e>
                      <m:sub>
                        <m:r>
                          <a:rPr lang="es-CO" sz="1100" b="0" i="1">
                            <a:solidFill>
                              <a:schemeClr val="tx1"/>
                            </a:solidFill>
                            <a:effectLst/>
                            <a:latin typeface="Cambria Math" panose="02040503050406030204" pitchFamily="18" charset="0"/>
                            <a:ea typeface="+mn-ea"/>
                            <a:cs typeface="+mn-cs"/>
                          </a:rPr>
                          <m:t>𝑏𝑜𝑛𝑑</m:t>
                        </m:r>
                      </m:sub>
                    </m:sSub>
                    <m:r>
                      <a:rPr lang="es-CO" sz="1000" b="0" i="1">
                        <a:solidFill>
                          <a:schemeClr val="tx1"/>
                        </a:solidFill>
                        <a:effectLst/>
                        <a:latin typeface="Cambria Math" panose="02040503050406030204" pitchFamily="18" charset="0"/>
                        <a:ea typeface="+mn-ea"/>
                        <a:cs typeface="+mn-cs"/>
                      </a:rPr>
                      <m:t> </m:t>
                    </m:r>
                    <m:r>
                      <a:rPr lang="es-CO" sz="1000" b="0" i="1">
                        <a:solidFill>
                          <a:schemeClr val="tx1"/>
                        </a:solidFill>
                        <a:effectLst/>
                        <a:latin typeface="Cambria Math" panose="02040503050406030204" pitchFamily="18" charset="0"/>
                        <a:ea typeface="Cambria Math" panose="02040503050406030204" pitchFamily="18" charset="0"/>
                        <a:cs typeface="+mn-cs"/>
                      </a:rPr>
                      <m:t>𝜋</m:t>
                    </m:r>
                    <m:r>
                      <a:rPr lang="es-CO" sz="1000" b="0" i="1">
                        <a:solidFill>
                          <a:schemeClr val="tx1"/>
                        </a:solidFill>
                        <a:effectLst/>
                        <a:latin typeface="Cambria Math" panose="02040503050406030204" pitchFamily="18" charset="0"/>
                        <a:ea typeface="Cambria Math" panose="02040503050406030204" pitchFamily="18" charset="0"/>
                        <a:cs typeface="+mn-cs"/>
                      </a:rPr>
                      <m:t> </m:t>
                    </m:r>
                    <m:sSub>
                      <m:sSubPr>
                        <m:ctrlPr>
                          <a:rPr lang="es-CO" sz="1100" i="1">
                            <a:solidFill>
                              <a:schemeClr val="tx1"/>
                            </a:solidFill>
                            <a:effectLst/>
                            <a:latin typeface="Cambria Math" panose="02040503050406030204" pitchFamily="18" charset="0"/>
                            <a:ea typeface="+mn-ea"/>
                            <a:cs typeface="+mn-cs"/>
                          </a:rPr>
                        </m:ctrlPr>
                      </m:sSubPr>
                      <m:e>
                        <m:r>
                          <a:rPr lang="es-CO" sz="1100" b="0" i="1">
                            <a:solidFill>
                              <a:schemeClr val="tx1"/>
                            </a:solidFill>
                            <a:effectLst/>
                            <a:latin typeface="Cambria Math" panose="02040503050406030204" pitchFamily="18" charset="0"/>
                            <a:ea typeface="+mn-ea"/>
                            <a:cs typeface="+mn-cs"/>
                          </a:rPr>
                          <m:t>𝑑</m:t>
                        </m:r>
                      </m:e>
                      <m:sub>
                        <m:r>
                          <a:rPr lang="es-CO" sz="1100" b="0" i="1">
                            <a:solidFill>
                              <a:schemeClr val="tx1"/>
                            </a:solidFill>
                            <a:effectLst/>
                            <a:latin typeface="Cambria Math" panose="02040503050406030204" pitchFamily="18" charset="0"/>
                            <a:ea typeface="+mn-ea"/>
                            <a:cs typeface="+mn-cs"/>
                          </a:rPr>
                          <m:t>𝑎</m:t>
                        </m:r>
                      </m:sub>
                    </m:sSub>
                    <m:r>
                      <a:rPr lang="es-CO" sz="1100" b="0" i="1">
                        <a:solidFill>
                          <a:schemeClr val="tx1"/>
                        </a:solidFill>
                        <a:effectLst/>
                        <a:latin typeface="Cambria Math" panose="02040503050406030204" pitchFamily="18" charset="0"/>
                        <a:ea typeface="+mn-ea"/>
                        <a:cs typeface="+mn-cs"/>
                      </a:rPr>
                      <m:t> </m:t>
                    </m:r>
                    <m:sSub>
                      <m:sSubPr>
                        <m:ctrlPr>
                          <a:rPr lang="es-CO" sz="1100" i="1">
                            <a:solidFill>
                              <a:schemeClr val="tx1"/>
                            </a:solidFill>
                            <a:effectLst/>
                            <a:latin typeface="Cambria Math" panose="02040503050406030204" pitchFamily="18" charset="0"/>
                            <a:ea typeface="+mn-ea"/>
                            <a:cs typeface="+mn-cs"/>
                          </a:rPr>
                        </m:ctrlPr>
                      </m:sSubPr>
                      <m:e>
                        <m:r>
                          <a:rPr lang="es-CO" sz="1100" b="0" i="1">
                            <a:solidFill>
                              <a:schemeClr val="tx1"/>
                            </a:solidFill>
                            <a:effectLst/>
                            <a:latin typeface="Cambria Math" panose="02040503050406030204" pitchFamily="18" charset="0"/>
                            <a:ea typeface="+mn-ea"/>
                            <a:cs typeface="+mn-cs"/>
                          </a:rPr>
                          <m:t>h</m:t>
                        </m:r>
                      </m:e>
                      <m:sub>
                        <m:r>
                          <a:rPr lang="es-CO" sz="1100" b="0" i="1">
                            <a:solidFill>
                              <a:schemeClr val="tx1"/>
                            </a:solidFill>
                            <a:effectLst/>
                            <a:latin typeface="Cambria Math" panose="02040503050406030204" pitchFamily="18" charset="0"/>
                            <a:ea typeface="+mn-ea"/>
                            <a:cs typeface="+mn-cs"/>
                          </a:rPr>
                          <m:t>𝑒𝑓</m:t>
                        </m:r>
                      </m:sub>
                    </m:sSub>
                  </m:oMath>
                </m:oMathPara>
              </a14:m>
              <a:endParaRPr lang="es-ES" sz="800"/>
            </a:p>
          </xdr:txBody>
        </xdr:sp>
      </mc:Choice>
      <mc:Fallback xmlns="">
        <xdr:sp macro="" textlink="">
          <xdr:nvSpPr>
            <xdr:cNvPr id="113" name="TextBox 112"/>
            <xdr:cNvSpPr txBox="1"/>
          </xdr:nvSpPr>
          <xdr:spPr>
            <a:xfrm>
              <a:off x="381000" y="73447275"/>
              <a:ext cx="1663340" cy="181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𝑏</a:t>
              </a:r>
              <a:r>
                <a:rPr lang="es-CO" sz="1000" b="0" i="0">
                  <a:solidFill>
                    <a:schemeClr val="tx1"/>
                  </a:solidFill>
                  <a:effectLst/>
                  <a:latin typeface="Cambria Math" panose="02040503050406030204" pitchFamily="18" charset="0"/>
                  <a:ea typeface="+mn-ea"/>
                  <a:cs typeface="+mn-cs"/>
                </a:rPr>
                <a:t>𝑎=</a:t>
              </a:r>
              <a:r>
                <a:rPr lang="es-CO" sz="1000" i="0">
                  <a:solidFill>
                    <a:schemeClr val="tx1"/>
                  </a:solidFill>
                  <a:effectLst/>
                  <a:latin typeface="Cambria Math" panose="02040503050406030204" pitchFamily="18" charset="0"/>
                  <a:ea typeface="+mn-ea"/>
                  <a:cs typeface="+mn-cs"/>
                </a:rPr>
                <a:t>𝜆</a:t>
              </a:r>
              <a:r>
                <a:rPr lang="es-ES"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𝑎  </a:t>
              </a:r>
              <a:r>
                <a:rPr lang="es-CO" sz="1100" b="0" i="0">
                  <a:solidFill>
                    <a:schemeClr val="tx1"/>
                  </a:solidFill>
                  <a:effectLst/>
                  <a:latin typeface="Cambria Math" panose="02040503050406030204" pitchFamily="18" charset="0"/>
                  <a:ea typeface="Cambria Math" panose="02040503050406030204" pitchFamily="18" charset="0"/>
                  <a:cs typeface="+mn-cs"/>
                </a:rPr>
                <a:t>𝜏</a:t>
              </a:r>
              <a:r>
                <a:rPr lang="es-CO" sz="1100" b="0" i="0">
                  <a:solidFill>
                    <a:schemeClr val="tx1"/>
                  </a:solidFill>
                  <a:effectLst/>
                  <a:latin typeface="+mn-lt"/>
                  <a:ea typeface="+mn-ea"/>
                  <a:cs typeface="+mn-cs"/>
                </a:rPr>
                <a:t>_(</a:t>
              </a:r>
              <a:r>
                <a:rPr lang="es-CO" sz="1100" b="0" i="0">
                  <a:solidFill>
                    <a:schemeClr val="tx1"/>
                  </a:solidFill>
                  <a:effectLst/>
                  <a:latin typeface="Cambria Math" panose="02040503050406030204" pitchFamily="18" charset="0"/>
                  <a:ea typeface="+mn-ea"/>
                  <a:cs typeface="+mn-cs"/>
                </a:rPr>
                <a:t>𝑘,𝑐</a:t>
              </a:r>
              <a:r>
                <a:rPr lang="es-CO" sz="1100" b="0" i="0">
                  <a:solidFill>
                    <a:schemeClr val="tx1"/>
                  </a:solidFill>
                  <a:effectLst/>
                  <a:latin typeface="+mn-lt"/>
                  <a:ea typeface="+mn-ea"/>
                  <a:cs typeface="+mn-cs"/>
                </a:rPr>
                <a:t>)</a:t>
              </a:r>
              <a:r>
                <a:rPr lang="es-CO" sz="1100" b="0" i="0">
                  <a:solidFill>
                    <a:schemeClr val="tx1"/>
                  </a:solidFill>
                  <a:effectLst/>
                  <a:latin typeface="Cambria Math" panose="02040503050406030204" pitchFamily="18" charset="0"/>
                  <a:ea typeface="+mn-ea"/>
                  <a:cs typeface="+mn-cs"/>
                </a:rPr>
                <a:t>  </a:t>
              </a:r>
              <a:r>
                <a:rPr lang="el-GR" sz="1100" b="0" i="0">
                  <a:solidFill>
                    <a:schemeClr val="tx1"/>
                  </a:solidFill>
                  <a:effectLst/>
                  <a:latin typeface="+mn-lt"/>
                  <a:ea typeface="+mn-ea"/>
                  <a:cs typeface="+mn-cs"/>
                </a:rPr>
                <a:t>κ</a:t>
              </a:r>
              <a:r>
                <a:rPr lang="es-CO" sz="1100" b="0" i="0">
                  <a:solidFill>
                    <a:schemeClr val="tx1"/>
                  </a:solidFill>
                  <a:effectLst/>
                  <a:latin typeface="+mn-lt"/>
                  <a:ea typeface="+mn-ea"/>
                  <a:cs typeface="+mn-cs"/>
                </a:rPr>
                <a:t>_</a:t>
              </a:r>
              <a:r>
                <a:rPr lang="es-CO" sz="1100" b="0" i="0">
                  <a:solidFill>
                    <a:schemeClr val="tx1"/>
                  </a:solidFill>
                  <a:effectLst/>
                  <a:latin typeface="Cambria Math" panose="02040503050406030204" pitchFamily="18" charset="0"/>
                  <a:ea typeface="+mn-ea"/>
                  <a:cs typeface="+mn-cs"/>
                </a:rPr>
                <a:t>𝑏𝑜𝑛𝑑</a:t>
              </a:r>
              <a:r>
                <a:rPr lang="es-CO" sz="1000" b="0" i="0">
                  <a:solidFill>
                    <a:schemeClr val="tx1"/>
                  </a:solidFill>
                  <a:effectLst/>
                  <a:latin typeface="Cambria Math" panose="02040503050406030204" pitchFamily="18" charset="0"/>
                  <a:ea typeface="+mn-ea"/>
                  <a:cs typeface="+mn-cs"/>
                </a:rPr>
                <a:t>  </a:t>
              </a:r>
              <a:r>
                <a:rPr lang="es-CO" sz="1000" b="0" i="0">
                  <a:solidFill>
                    <a:schemeClr val="tx1"/>
                  </a:solidFill>
                  <a:effectLst/>
                  <a:latin typeface="Cambria Math" panose="02040503050406030204" pitchFamily="18" charset="0"/>
                  <a:ea typeface="Cambria Math" panose="02040503050406030204" pitchFamily="18" charset="0"/>
                  <a:cs typeface="+mn-cs"/>
                </a:rPr>
                <a:t>𝜋 </a:t>
              </a:r>
              <a:r>
                <a:rPr lang="es-CO" sz="1100" b="0" i="0">
                  <a:solidFill>
                    <a:schemeClr val="tx1"/>
                  </a:solidFill>
                  <a:effectLst/>
                  <a:latin typeface="Cambria Math" panose="02040503050406030204" pitchFamily="18" charset="0"/>
                  <a:ea typeface="+mn-ea"/>
                  <a:cs typeface="+mn-cs"/>
                </a:rPr>
                <a:t>𝑑</a:t>
              </a:r>
              <a:r>
                <a:rPr lang="es-CO" sz="1100" b="0" i="0">
                  <a:solidFill>
                    <a:schemeClr val="tx1"/>
                  </a:solidFill>
                  <a:effectLst/>
                  <a:latin typeface="+mn-lt"/>
                  <a:ea typeface="+mn-ea"/>
                  <a:cs typeface="+mn-cs"/>
                </a:rPr>
                <a:t>_</a:t>
              </a:r>
              <a:r>
                <a:rPr lang="es-CO" sz="1100" b="0" i="0">
                  <a:solidFill>
                    <a:schemeClr val="tx1"/>
                  </a:solidFill>
                  <a:effectLst/>
                  <a:latin typeface="Cambria Math" panose="02040503050406030204" pitchFamily="18" charset="0"/>
                  <a:ea typeface="+mn-ea"/>
                  <a:cs typeface="+mn-cs"/>
                </a:rPr>
                <a:t>𝑎  </a:t>
              </a:r>
              <a:r>
                <a:rPr lang="es-CO" sz="1100" b="0" i="0">
                  <a:solidFill>
                    <a:schemeClr val="tx1"/>
                  </a:solidFill>
                  <a:effectLst/>
                  <a:latin typeface="+mn-lt"/>
                  <a:ea typeface="+mn-ea"/>
                  <a:cs typeface="+mn-cs"/>
                </a:rPr>
                <a:t>ℎ_𝑒𝑓</a:t>
              </a:r>
              <a:endParaRPr lang="es-ES" sz="800"/>
            </a:p>
          </xdr:txBody>
        </xdr:sp>
      </mc:Fallback>
    </mc:AlternateContent>
    <xdr:clientData/>
  </xdr:oneCellAnchor>
  <xdr:oneCellAnchor>
    <xdr:from>
      <xdr:col>2</xdr:col>
      <xdr:colOff>19050</xdr:colOff>
      <xdr:row>445</xdr:row>
      <xdr:rowOff>19050</xdr:rowOff>
    </xdr:from>
    <xdr:ext cx="255839" cy="160685"/>
    <mc:AlternateContent xmlns:mc="http://schemas.openxmlformats.org/markup-compatibility/2006" xmlns:a14="http://schemas.microsoft.com/office/drawing/2010/main">
      <mc:Choice Requires="a14">
        <xdr:sp macro="" textlink="">
          <xdr:nvSpPr>
            <xdr:cNvPr id="114" name="TextBox 113"/>
            <xdr:cNvSpPr txBox="1"/>
          </xdr:nvSpPr>
          <xdr:spPr>
            <a:xfrm>
              <a:off x="381000" y="66970275"/>
              <a:ext cx="255839"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𝜓</m:t>
                        </m:r>
                      </m:e>
                      <m:sub>
                        <m:r>
                          <a:rPr lang="es-CO" sz="1000" i="1">
                            <a:solidFill>
                              <a:schemeClr val="tx1"/>
                            </a:solidFill>
                            <a:effectLst/>
                            <a:latin typeface="Cambria Math" panose="02040503050406030204" pitchFamily="18" charset="0"/>
                            <a:ea typeface="+mn-ea"/>
                            <a:cs typeface="+mn-cs"/>
                          </a:rPr>
                          <m:t>𝑐</m:t>
                        </m:r>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𝑃</m:t>
                        </m:r>
                      </m:sub>
                    </m:sSub>
                  </m:oMath>
                </m:oMathPara>
              </a14:m>
              <a:endParaRPr lang="es-ES" sz="900" i="1">
                <a:solidFill>
                  <a:schemeClr val="tx1"/>
                </a:solidFill>
                <a:effectLst/>
                <a:latin typeface="Cambria Math" panose="02040503050406030204" pitchFamily="18" charset="0"/>
                <a:ea typeface="+mn-ea"/>
                <a:cs typeface="+mn-cs"/>
              </a:endParaRPr>
            </a:p>
          </xdr:txBody>
        </xdr:sp>
      </mc:Choice>
      <mc:Fallback xmlns="">
        <xdr:sp macro="" textlink="">
          <xdr:nvSpPr>
            <xdr:cNvPr id="114" name="TextBox 113"/>
            <xdr:cNvSpPr txBox="1"/>
          </xdr:nvSpPr>
          <xdr:spPr>
            <a:xfrm>
              <a:off x="381000" y="66970275"/>
              <a:ext cx="255839"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𝜓</a:t>
              </a:r>
              <a:r>
                <a:rPr lang="es-ES" sz="100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𝑐,</a:t>
              </a:r>
              <a:r>
                <a:rPr lang="es-CO" sz="1000" b="0" i="0">
                  <a:solidFill>
                    <a:schemeClr val="tx1"/>
                  </a:solidFill>
                  <a:effectLst/>
                  <a:latin typeface="Cambria Math" panose="02040503050406030204" pitchFamily="18" charset="0"/>
                  <a:ea typeface="+mn-ea"/>
                  <a:cs typeface="+mn-cs"/>
                </a:rPr>
                <a:t>𝑃</a:t>
              </a:r>
              <a:r>
                <a:rPr lang="es-ES" sz="1000" b="0" i="0">
                  <a:solidFill>
                    <a:schemeClr val="tx1"/>
                  </a:solidFill>
                  <a:effectLst/>
                  <a:latin typeface="Cambria Math" panose="02040503050406030204" pitchFamily="18" charset="0"/>
                  <a:ea typeface="+mn-ea"/>
                  <a:cs typeface="+mn-cs"/>
                </a:rPr>
                <a:t>)</a:t>
              </a:r>
              <a:endParaRPr lang="es-ES" sz="900" i="1">
                <a:solidFill>
                  <a:schemeClr val="tx1"/>
                </a:solidFill>
                <a:effectLst/>
                <a:latin typeface="Cambria Math" panose="02040503050406030204" pitchFamily="18" charset="0"/>
                <a:ea typeface="+mn-ea"/>
                <a:cs typeface="+mn-cs"/>
              </a:endParaRPr>
            </a:p>
          </xdr:txBody>
        </xdr:sp>
      </mc:Fallback>
    </mc:AlternateContent>
    <xdr:clientData/>
  </xdr:oneCellAnchor>
  <xdr:oneCellAnchor>
    <xdr:from>
      <xdr:col>2</xdr:col>
      <xdr:colOff>0</xdr:colOff>
      <xdr:row>444</xdr:row>
      <xdr:rowOff>0</xdr:rowOff>
    </xdr:from>
    <xdr:ext cx="245580" cy="165751"/>
    <mc:AlternateContent xmlns:mc="http://schemas.openxmlformats.org/markup-compatibility/2006" xmlns:a14="http://schemas.microsoft.com/office/drawing/2010/main">
      <mc:Choice Requires="a14">
        <xdr:sp macro="" textlink="">
          <xdr:nvSpPr>
            <xdr:cNvPr id="115" name="TextBox 114"/>
            <xdr:cNvSpPr txBox="1"/>
          </xdr:nvSpPr>
          <xdr:spPr>
            <a:xfrm>
              <a:off x="361950" y="66751200"/>
              <a:ext cx="245580" cy="1657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𝑝𝑛</m:t>
                        </m:r>
                      </m:sub>
                    </m:sSub>
                  </m:oMath>
                </m:oMathPara>
              </a14:m>
              <a:endParaRPr lang="es-ES" sz="1000"/>
            </a:p>
          </xdr:txBody>
        </xdr:sp>
      </mc:Choice>
      <mc:Fallback xmlns="">
        <xdr:sp macro="" textlink="">
          <xdr:nvSpPr>
            <xdr:cNvPr id="115" name="TextBox 114"/>
            <xdr:cNvSpPr txBox="1"/>
          </xdr:nvSpPr>
          <xdr:spPr>
            <a:xfrm>
              <a:off x="361950" y="66751200"/>
              <a:ext cx="245580" cy="1657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𝑝𝑛</a:t>
              </a:r>
              <a:endParaRPr lang="es-ES" sz="1000"/>
            </a:p>
          </xdr:txBody>
        </xdr:sp>
      </mc:Fallback>
    </mc:AlternateContent>
    <xdr:clientData/>
  </xdr:oneCellAnchor>
  <xdr:oneCellAnchor>
    <xdr:from>
      <xdr:col>2</xdr:col>
      <xdr:colOff>19050</xdr:colOff>
      <xdr:row>446</xdr:row>
      <xdr:rowOff>19050</xdr:rowOff>
    </xdr:from>
    <xdr:ext cx="713722" cy="165751"/>
    <mc:AlternateContent xmlns:mc="http://schemas.openxmlformats.org/markup-compatibility/2006" xmlns:a14="http://schemas.microsoft.com/office/drawing/2010/main">
      <mc:Choice Requires="a14">
        <xdr:sp macro="" textlink="">
          <xdr:nvSpPr>
            <xdr:cNvPr id="116" name="TextBox 115"/>
            <xdr:cNvSpPr txBox="1"/>
          </xdr:nvSpPr>
          <xdr:spPr>
            <a:xfrm>
              <a:off x="381000" y="67170300"/>
              <a:ext cx="713722" cy="1657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𝑝𝑛</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116" name="TextBox 115"/>
            <xdr:cNvSpPr txBox="1"/>
          </xdr:nvSpPr>
          <xdr:spPr>
            <a:xfrm>
              <a:off x="381000" y="67170300"/>
              <a:ext cx="713722" cy="1657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𝑝𝑛</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19050</xdr:colOff>
      <xdr:row>470</xdr:row>
      <xdr:rowOff>19050</xdr:rowOff>
    </xdr:from>
    <xdr:ext cx="1061380" cy="454676"/>
    <mc:AlternateContent xmlns:mc="http://schemas.openxmlformats.org/markup-compatibility/2006" xmlns:a14="http://schemas.microsoft.com/office/drawing/2010/main">
      <mc:Choice Requires="a14">
        <xdr:sp macro="" textlink="">
          <xdr:nvSpPr>
            <xdr:cNvPr id="117" name="TextBox 116"/>
            <xdr:cNvSpPr txBox="1"/>
          </xdr:nvSpPr>
          <xdr:spPr>
            <a:xfrm>
              <a:off x="381000" y="71513700"/>
              <a:ext cx="10613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𝑁𝑎</m:t>
                        </m:r>
                      </m:sub>
                    </m:sSub>
                    <m:r>
                      <a:rPr lang="es-CO" sz="100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1</m:t>
                    </m:r>
                    <m:r>
                      <a:rPr lang="es-CO" sz="1000" i="1">
                        <a:solidFill>
                          <a:schemeClr val="tx1"/>
                        </a:solidFill>
                        <a:effectLst/>
                        <a:latin typeface="Cambria Math" panose="02040503050406030204" pitchFamily="18" charset="0"/>
                        <a:ea typeface="+mn-ea"/>
                        <a:cs typeface="+mn-cs"/>
                      </a:rPr>
                      <m:t>0</m:t>
                    </m:r>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𝑑</m:t>
                        </m:r>
                      </m:e>
                      <m:sub>
                        <m:r>
                          <a:rPr lang="es-CO" sz="1000" b="0" i="1">
                            <a:solidFill>
                              <a:schemeClr val="tx1"/>
                            </a:solidFill>
                            <a:effectLst/>
                            <a:latin typeface="Cambria Math" panose="02040503050406030204" pitchFamily="18" charset="0"/>
                            <a:ea typeface="+mn-ea"/>
                            <a:cs typeface="+mn-cs"/>
                          </a:rPr>
                          <m:t>𝑎</m:t>
                        </m:r>
                      </m:sub>
                    </m:sSub>
                    <m:rad>
                      <m:radPr>
                        <m:degHide m:val="on"/>
                        <m:ctrlPr>
                          <a:rPr lang="es-CO" sz="1000" i="1">
                            <a:solidFill>
                              <a:schemeClr val="tx1"/>
                            </a:solidFill>
                            <a:effectLst/>
                            <a:latin typeface="Cambria Math" panose="02040503050406030204" pitchFamily="18" charset="0"/>
                            <a:ea typeface="+mn-ea"/>
                            <a:cs typeface="+mn-cs"/>
                          </a:rPr>
                        </m:ctrlPr>
                      </m:radPr>
                      <m:deg/>
                      <m:e>
                        <m:f>
                          <m:fPr>
                            <m:ctrlPr>
                              <a:rPr lang="es-CO" sz="1000" i="1">
                                <a:solidFill>
                                  <a:schemeClr val="tx1"/>
                                </a:solidFill>
                                <a:effectLst/>
                                <a:latin typeface="Cambria Math" panose="02040503050406030204" pitchFamily="18" charset="0"/>
                                <a:ea typeface="+mn-ea"/>
                                <a:cs typeface="+mn-cs"/>
                              </a:rPr>
                            </m:ctrlPr>
                          </m:fPr>
                          <m:num>
                            <m:sSub>
                              <m:sSubPr>
                                <m:ctrlPr>
                                  <a:rPr lang="es-CO"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Cambria Math" panose="02040503050406030204" pitchFamily="18" charset="0"/>
                                    <a:cs typeface="+mn-cs"/>
                                  </a:rPr>
                                  <m:t>𝜏</m:t>
                                </m:r>
                              </m:e>
                              <m:sub>
                                <m:r>
                                  <a:rPr lang="es-CO" sz="1000" b="0" i="1">
                                    <a:solidFill>
                                      <a:schemeClr val="tx1"/>
                                    </a:solidFill>
                                    <a:effectLst/>
                                    <a:latin typeface="Cambria Math" panose="02040503050406030204" pitchFamily="18" charset="0"/>
                                    <a:ea typeface="+mn-ea"/>
                                    <a:cs typeface="+mn-cs"/>
                                  </a:rPr>
                                  <m:t>𝑢𝑛𝑐𝑟</m:t>
                                </m:r>
                              </m:sub>
                            </m:sSub>
                          </m:num>
                          <m:den>
                            <m:r>
                              <a:rPr lang="es-CO" sz="1000" b="0" i="1">
                                <a:solidFill>
                                  <a:schemeClr val="tx1"/>
                                </a:solidFill>
                                <a:effectLst/>
                                <a:latin typeface="Cambria Math" panose="02040503050406030204" pitchFamily="18" charset="0"/>
                                <a:ea typeface="+mn-ea"/>
                                <a:cs typeface="+mn-cs"/>
                              </a:rPr>
                              <m:t>7,59</m:t>
                            </m:r>
                          </m:den>
                        </m:f>
                      </m:e>
                    </m:rad>
                  </m:oMath>
                </m:oMathPara>
              </a14:m>
              <a:endParaRPr lang="es-ES" sz="800"/>
            </a:p>
          </xdr:txBody>
        </xdr:sp>
      </mc:Choice>
      <mc:Fallback xmlns="">
        <xdr:sp macro="" textlink="">
          <xdr:nvSpPr>
            <xdr:cNvPr id="117" name="TextBox 116"/>
            <xdr:cNvSpPr txBox="1"/>
          </xdr:nvSpPr>
          <xdr:spPr>
            <a:xfrm>
              <a:off x="381000" y="71513700"/>
              <a:ext cx="10613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𝑐</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𝑁𝑎</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1</a:t>
              </a:r>
              <a:r>
                <a:rPr lang="es-CO" sz="1000" i="0">
                  <a:solidFill>
                    <a:schemeClr val="tx1"/>
                  </a:solidFill>
                  <a:effectLst/>
                  <a:latin typeface="Cambria Math" panose="02040503050406030204" pitchFamily="18" charset="0"/>
                  <a:ea typeface="+mn-ea"/>
                  <a:cs typeface="+mn-cs"/>
                </a:rPr>
                <a:t>0</a:t>
              </a:r>
              <a:r>
                <a:rPr lang="es-CO" sz="1000" b="0" i="0">
                  <a:solidFill>
                    <a:schemeClr val="tx1"/>
                  </a:solidFill>
                  <a:effectLst/>
                  <a:latin typeface="Cambria Math" panose="02040503050406030204" pitchFamily="18" charset="0"/>
                  <a:ea typeface="+mn-ea"/>
                  <a:cs typeface="+mn-cs"/>
                </a:rPr>
                <a:t>𝑑_𝑎 </a:t>
              </a:r>
              <a:r>
                <a:rPr lang="es-CO" sz="1000" i="0">
                  <a:solidFill>
                    <a:schemeClr val="tx1"/>
                  </a:solidFill>
                  <a:effectLst/>
                  <a:latin typeface="Cambria Math" panose="02040503050406030204" pitchFamily="18" charset="0"/>
                  <a:ea typeface="+mn-ea"/>
                  <a:cs typeface="+mn-cs"/>
                </a:rPr>
                <a:t>√(</a:t>
              </a:r>
              <a:r>
                <a:rPr lang="es-CO" sz="1000" i="0">
                  <a:solidFill>
                    <a:schemeClr val="tx1"/>
                  </a:solidFill>
                  <a:effectLst/>
                  <a:latin typeface="Cambria Math" panose="02040503050406030204" pitchFamily="18" charset="0"/>
                  <a:ea typeface="Cambria Math" panose="02040503050406030204" pitchFamily="18" charset="0"/>
                  <a:cs typeface="+mn-cs"/>
                </a:rPr>
                <a:t>𝜏</a:t>
              </a:r>
              <a:r>
                <a:rPr lang="es-CO" sz="100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𝑢𝑛𝑐𝑟/7,59)</a:t>
              </a:r>
              <a:endParaRPr lang="es-ES" sz="800"/>
            </a:p>
          </xdr:txBody>
        </xdr:sp>
      </mc:Fallback>
    </mc:AlternateContent>
    <xdr:clientData/>
  </xdr:oneCellAnchor>
  <xdr:oneCellAnchor>
    <xdr:from>
      <xdr:col>2</xdr:col>
      <xdr:colOff>19050</xdr:colOff>
      <xdr:row>498</xdr:row>
      <xdr:rowOff>19050</xdr:rowOff>
    </xdr:from>
    <xdr:ext cx="696216" cy="150362"/>
    <mc:AlternateContent xmlns:mc="http://schemas.openxmlformats.org/markup-compatibility/2006" xmlns:a14="http://schemas.microsoft.com/office/drawing/2010/main">
      <mc:Choice Requires="a14">
        <xdr:sp macro="" textlink="">
          <xdr:nvSpPr>
            <xdr:cNvPr id="119" name="TextBox 118"/>
            <xdr:cNvSpPr txBox="1"/>
          </xdr:nvSpPr>
          <xdr:spPr>
            <a:xfrm>
              <a:off x="381000" y="77933550"/>
              <a:ext cx="696216"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s-CO" sz="1000" i="0">
                        <a:solidFill>
                          <a:schemeClr val="tx1"/>
                        </a:solidFill>
                        <a:effectLst/>
                        <a:latin typeface="Cambria Math" panose="02040503050406030204" pitchFamily="18" charset="0"/>
                        <a:ea typeface="+mn-ea"/>
                        <a:cs typeface="+mn-cs"/>
                      </a:rPr>
                      <m:t>ϕ</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𝑠𝑏</m:t>
                        </m:r>
                      </m:sub>
                    </m:sSub>
                    <m:r>
                      <a:rPr lang="es-CO" sz="100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i="1">
                            <a:solidFill>
                              <a:schemeClr val="tx1"/>
                            </a:solidFill>
                            <a:effectLst/>
                            <a:latin typeface="Cambria Math" panose="02040503050406030204" pitchFamily="18" charset="0"/>
                            <a:ea typeface="+mn-ea"/>
                            <a:cs typeface="+mn-cs"/>
                          </a:rPr>
                          <m:t>𝑢𝑎</m:t>
                        </m:r>
                      </m:sub>
                    </m:sSub>
                  </m:oMath>
                </m:oMathPara>
              </a14:m>
              <a:endParaRPr lang="es-ES" sz="1000"/>
            </a:p>
          </xdr:txBody>
        </xdr:sp>
      </mc:Choice>
      <mc:Fallback xmlns="">
        <xdr:sp macro="" textlink="">
          <xdr:nvSpPr>
            <xdr:cNvPr id="119" name="TextBox 118"/>
            <xdr:cNvSpPr txBox="1"/>
          </xdr:nvSpPr>
          <xdr:spPr>
            <a:xfrm>
              <a:off x="381000" y="77933550"/>
              <a:ext cx="696216" cy="150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i="0">
                  <a:solidFill>
                    <a:schemeClr val="tx1"/>
                  </a:solidFill>
                  <a:effectLst/>
                  <a:latin typeface="Cambria Math" panose="02040503050406030204" pitchFamily="18" charset="0"/>
                  <a:ea typeface="+mn-ea"/>
                  <a:cs typeface="+mn-cs"/>
                </a:rPr>
                <a:t>ϕ</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𝑠𝑏</a:t>
              </a:r>
              <a:r>
                <a:rPr lang="es-CO"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𝑢𝑎</a:t>
              </a:r>
              <a:endParaRPr lang="es-ES" sz="1000"/>
            </a:p>
          </xdr:txBody>
        </xdr:sp>
      </mc:Fallback>
    </mc:AlternateContent>
    <xdr:clientData/>
  </xdr:oneCellAnchor>
  <xdr:oneCellAnchor>
    <xdr:from>
      <xdr:col>2</xdr:col>
      <xdr:colOff>19050</xdr:colOff>
      <xdr:row>499</xdr:row>
      <xdr:rowOff>19050</xdr:rowOff>
    </xdr:from>
    <xdr:ext cx="1443344" cy="345385"/>
    <mc:AlternateContent xmlns:mc="http://schemas.openxmlformats.org/markup-compatibility/2006" xmlns:a14="http://schemas.microsoft.com/office/drawing/2010/main">
      <mc:Choice Requires="a14">
        <xdr:sp macro="" textlink="">
          <xdr:nvSpPr>
            <xdr:cNvPr id="120" name="TextBox 119"/>
            <xdr:cNvSpPr txBox="1"/>
          </xdr:nvSpPr>
          <xdr:spPr>
            <a:xfrm>
              <a:off x="383485" y="78645854"/>
              <a:ext cx="1443344" cy="3453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𝑠𝑏𝑔</m:t>
                        </m:r>
                      </m:sub>
                    </m:sSub>
                    <m:r>
                      <a:rPr lang="es-CO" sz="1000" b="0" i="1">
                        <a:solidFill>
                          <a:schemeClr val="tx1"/>
                        </a:solidFill>
                        <a:effectLst/>
                        <a:latin typeface="Cambria Math" panose="02040503050406030204" pitchFamily="18" charset="0"/>
                        <a:ea typeface="+mn-ea"/>
                        <a:cs typeface="+mn-cs"/>
                      </a:rPr>
                      <m:t>=</m:t>
                    </m:r>
                    <m:d>
                      <m:dPr>
                        <m:ctrlPr>
                          <a:rPr lang="es-CO" sz="1000" b="0" i="1">
                            <a:solidFill>
                              <a:schemeClr val="tx1"/>
                            </a:solidFill>
                            <a:effectLst/>
                            <a:latin typeface="Cambria Math" panose="02040503050406030204" pitchFamily="18" charset="0"/>
                            <a:ea typeface="+mn-ea"/>
                            <a:cs typeface="+mn-cs"/>
                          </a:rPr>
                        </m:ctrlPr>
                      </m:dPr>
                      <m:e>
                        <m:r>
                          <a:rPr lang="es-CO" sz="1000" b="0" i="1">
                            <a:solidFill>
                              <a:schemeClr val="tx1"/>
                            </a:solidFill>
                            <a:effectLst/>
                            <a:latin typeface="Cambria Math" panose="02040503050406030204" pitchFamily="18" charset="0"/>
                            <a:ea typeface="+mn-ea"/>
                            <a:cs typeface="+mn-cs"/>
                          </a:rPr>
                          <m:t>1+</m:t>
                        </m:r>
                        <m:f>
                          <m:fPr>
                            <m:ctrlPr>
                              <a:rPr lang="es-CO" sz="1000" b="0" i="1">
                                <a:solidFill>
                                  <a:schemeClr val="tx1"/>
                                </a:solidFill>
                                <a:effectLst/>
                                <a:latin typeface="Cambria Math" panose="02040503050406030204" pitchFamily="18" charset="0"/>
                                <a:ea typeface="+mn-ea"/>
                                <a:cs typeface="+mn-cs"/>
                              </a:rPr>
                            </m:ctrlPr>
                          </m:fPr>
                          <m:num>
                            <m:r>
                              <a:rPr lang="es-CO" sz="1000" b="0" i="1">
                                <a:solidFill>
                                  <a:schemeClr val="tx1"/>
                                </a:solidFill>
                                <a:effectLst/>
                                <a:latin typeface="Cambria Math" panose="02040503050406030204" pitchFamily="18" charset="0"/>
                                <a:ea typeface="+mn-ea"/>
                                <a:cs typeface="+mn-cs"/>
                              </a:rPr>
                              <m:t>𝑠</m:t>
                            </m:r>
                          </m:num>
                          <m:den>
                            <m:r>
                              <a:rPr lang="es-CO" sz="1000" b="0" i="1">
                                <a:solidFill>
                                  <a:schemeClr val="tx1"/>
                                </a:solidFill>
                                <a:effectLst/>
                                <a:latin typeface="Cambria Math" panose="02040503050406030204" pitchFamily="18" charset="0"/>
                                <a:ea typeface="+mn-ea"/>
                                <a:cs typeface="+mn-cs"/>
                              </a:rPr>
                              <m:t>6 </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den>
                        </m:f>
                      </m:e>
                    </m:d>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𝑠𝑏</m:t>
                        </m:r>
                      </m:sub>
                    </m:sSub>
                  </m:oMath>
                </m:oMathPara>
              </a14:m>
              <a:endParaRPr lang="es-ES" sz="1000"/>
            </a:p>
          </xdr:txBody>
        </xdr:sp>
      </mc:Choice>
      <mc:Fallback xmlns="">
        <xdr:sp macro="" textlink="">
          <xdr:nvSpPr>
            <xdr:cNvPr id="120" name="TextBox 119"/>
            <xdr:cNvSpPr txBox="1"/>
          </xdr:nvSpPr>
          <xdr:spPr>
            <a:xfrm>
              <a:off x="383485" y="78645854"/>
              <a:ext cx="1443344" cy="3453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𝑠𝑏𝑔=(1+𝑠/(6 𝑐_(𝑎,𝑚𝑖𝑛) ))</a:t>
              </a:r>
              <a:r>
                <a:rPr lang="es-ES" sz="1000" b="0" i="0">
                  <a:solidFill>
                    <a:schemeClr val="tx1"/>
                  </a:solidFill>
                  <a:effectLst/>
                  <a:latin typeface="Cambria Math" panose="02040503050406030204" pitchFamily="18" charset="0"/>
                  <a:ea typeface="+mn-ea"/>
                  <a:cs typeface="+mn-cs"/>
                </a:rPr>
                <a:t> </a:t>
              </a: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𝑠𝑏</a:t>
              </a:r>
              <a:endParaRPr lang="es-ES" sz="1000"/>
            </a:p>
          </xdr:txBody>
        </xdr:sp>
      </mc:Fallback>
    </mc:AlternateContent>
    <xdr:clientData/>
  </xdr:oneCellAnchor>
  <xdr:oneCellAnchor>
    <xdr:from>
      <xdr:col>2</xdr:col>
      <xdr:colOff>19050</xdr:colOff>
      <xdr:row>497</xdr:row>
      <xdr:rowOff>19050</xdr:rowOff>
    </xdr:from>
    <xdr:ext cx="1783501" cy="345800"/>
    <mc:AlternateContent xmlns:mc="http://schemas.openxmlformats.org/markup-compatibility/2006" xmlns:a14="http://schemas.microsoft.com/office/drawing/2010/main">
      <mc:Choice Requires="a14">
        <xdr:sp macro="" textlink="">
          <xdr:nvSpPr>
            <xdr:cNvPr id="121" name="TextBox 120"/>
            <xdr:cNvSpPr txBox="1"/>
          </xdr:nvSpPr>
          <xdr:spPr>
            <a:xfrm>
              <a:off x="381000" y="77581125"/>
              <a:ext cx="1783501"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𝑁</m:t>
                        </m:r>
                      </m:e>
                      <m:sub>
                        <m:r>
                          <a:rPr lang="es-CO" sz="1000" b="0" i="1">
                            <a:solidFill>
                              <a:schemeClr val="tx1"/>
                            </a:solidFill>
                            <a:effectLst/>
                            <a:latin typeface="Cambria Math" panose="02040503050406030204" pitchFamily="18" charset="0"/>
                            <a:ea typeface="+mn-ea"/>
                            <a:cs typeface="+mn-cs"/>
                          </a:rPr>
                          <m:t>𝑠𝑏</m:t>
                        </m:r>
                      </m:sub>
                    </m:sSub>
                    <m:r>
                      <a:rPr lang="es-CO" sz="1000" b="0" i="1">
                        <a:solidFill>
                          <a:schemeClr val="tx1"/>
                        </a:solidFill>
                        <a:effectLst/>
                        <a:latin typeface="Cambria Math" panose="02040503050406030204" pitchFamily="18" charset="0"/>
                        <a:ea typeface="+mn-ea"/>
                        <a:cs typeface="+mn-cs"/>
                      </a:rPr>
                      <m:t>=</m:t>
                    </m:r>
                    <m:d>
                      <m:dPr>
                        <m:ctrlPr>
                          <a:rPr lang="es-CO" sz="1000" b="0" i="1">
                            <a:solidFill>
                              <a:schemeClr val="tx1"/>
                            </a:solidFill>
                            <a:effectLst/>
                            <a:latin typeface="Cambria Math" panose="02040503050406030204" pitchFamily="18" charset="0"/>
                            <a:ea typeface="+mn-ea"/>
                            <a:cs typeface="+mn-cs"/>
                          </a:rPr>
                        </m:ctrlPr>
                      </m:dPr>
                      <m:e>
                        <m:r>
                          <a:rPr lang="es-CO" sz="1000" b="0" i="1">
                            <a:solidFill>
                              <a:schemeClr val="tx1"/>
                            </a:solidFill>
                            <a:effectLst/>
                            <a:latin typeface="Cambria Math" panose="02040503050406030204" pitchFamily="18" charset="0"/>
                            <a:ea typeface="+mn-ea"/>
                            <a:cs typeface="+mn-cs"/>
                          </a:rPr>
                          <m:t>13</m:t>
                        </m:r>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 </m:t>
                            </m:r>
                            <m:r>
                              <a:rPr lang="es-CO" sz="1000" b="0" i="1">
                                <a:solidFill>
                                  <a:schemeClr val="tx1"/>
                                </a:solidFill>
                                <a:effectLst/>
                                <a:latin typeface="Cambria Math" panose="02040503050406030204" pitchFamily="18" charset="0"/>
                                <a:ea typeface="+mn-ea"/>
                                <a:cs typeface="+mn-cs"/>
                              </a:rPr>
                              <m:t>𝑐</m:t>
                            </m:r>
                          </m:e>
                          <m:sub>
                            <m:r>
                              <a:rPr lang="es-CO" sz="1000" b="0" i="1">
                                <a:solidFill>
                                  <a:schemeClr val="tx1"/>
                                </a:solidFill>
                                <a:effectLst/>
                                <a:latin typeface="Cambria Math" panose="02040503050406030204" pitchFamily="18" charset="0"/>
                                <a:ea typeface="+mn-ea"/>
                                <a:cs typeface="+mn-cs"/>
                              </a:rPr>
                              <m:t>𝑎</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𝑚𝑖𝑛</m:t>
                            </m:r>
                          </m:sub>
                        </m:sSub>
                        <m:r>
                          <a:rPr lang="es-CO" sz="1000" b="0" i="1">
                            <a:solidFill>
                              <a:schemeClr val="tx1"/>
                            </a:solidFill>
                            <a:effectLst/>
                            <a:latin typeface="Cambria Math" panose="02040503050406030204" pitchFamily="18" charset="0"/>
                            <a:ea typeface="+mn-ea"/>
                            <a:cs typeface="+mn-cs"/>
                          </a:rPr>
                          <m:t> </m:t>
                        </m:r>
                        <m:rad>
                          <m:radPr>
                            <m:degHide m:val="on"/>
                            <m:ctrlPr>
                              <a:rPr lang="es-CO" sz="1000" b="0" i="1">
                                <a:solidFill>
                                  <a:schemeClr val="tx1"/>
                                </a:solidFill>
                                <a:effectLst/>
                                <a:latin typeface="Cambria Math" panose="02040503050406030204" pitchFamily="18" charset="0"/>
                                <a:ea typeface="+mn-ea"/>
                                <a:cs typeface="+mn-cs"/>
                              </a:rPr>
                            </m:ctrlPr>
                          </m:radPr>
                          <m:deg/>
                          <m:e>
                            <m:sSub>
                              <m:sSubPr>
                                <m:ctrlPr>
                                  <a:rPr lang="es-CO" sz="1000" b="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𝑏𝑟𝑔</m:t>
                                </m:r>
                              </m:sub>
                            </m:sSub>
                          </m:e>
                        </m:rad>
                      </m:e>
                    </m:d>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𝜆</m:t>
                        </m:r>
                      </m:e>
                      <m:sub>
                        <m:r>
                          <a:rPr lang="es-CO" sz="1000" b="0" i="1">
                            <a:solidFill>
                              <a:schemeClr val="tx1"/>
                            </a:solidFill>
                            <a:effectLst/>
                            <a:latin typeface="Cambria Math" panose="02040503050406030204" pitchFamily="18" charset="0"/>
                            <a:ea typeface="+mn-ea"/>
                            <a:cs typeface="+mn-cs"/>
                          </a:rPr>
                          <m:t>𝑎</m:t>
                        </m:r>
                      </m:sub>
                    </m:sSub>
                    <m:rad>
                      <m:radPr>
                        <m:degHide m:val="on"/>
                        <m:ctrlPr>
                          <a:rPr lang="es-ES" sz="1000" i="1">
                            <a:solidFill>
                              <a:schemeClr val="tx1"/>
                            </a:solidFill>
                            <a:effectLst/>
                            <a:latin typeface="Cambria Math" panose="02040503050406030204" pitchFamily="18" charset="0"/>
                            <a:ea typeface="+mn-ea"/>
                            <a:cs typeface="+mn-cs"/>
                          </a:rPr>
                        </m:ctrlPr>
                      </m:radPr>
                      <m:deg/>
                      <m:e>
                        <m:sSub>
                          <m:sSubPr>
                            <m:ctrlPr>
                              <a:rPr lang="es-ES" sz="1000" i="1">
                                <a:solidFill>
                                  <a:schemeClr val="tx1"/>
                                </a:solidFill>
                                <a:effectLst/>
                                <a:latin typeface="Cambria Math" panose="02040503050406030204" pitchFamily="18" charset="0"/>
                                <a:ea typeface="+mn-ea"/>
                                <a:cs typeface="+mn-cs"/>
                              </a:rPr>
                            </m:ctrlPr>
                          </m:sSubPr>
                          <m:e>
                            <m:r>
                              <a:rPr lang="es-CO" sz="1000" i="1">
                                <a:solidFill>
                                  <a:schemeClr val="tx1"/>
                                </a:solidFill>
                                <a:effectLst/>
                                <a:latin typeface="Cambria Math" panose="02040503050406030204" pitchFamily="18" charset="0"/>
                                <a:ea typeface="+mn-ea"/>
                                <a:cs typeface="+mn-cs"/>
                              </a:rPr>
                              <m:t>𝑓</m:t>
                            </m:r>
                            <m:r>
                              <a:rPr lang="es-CO" sz="1000" i="1">
                                <a:solidFill>
                                  <a:schemeClr val="tx1"/>
                                </a:solidFill>
                                <a:effectLst/>
                                <a:latin typeface="Cambria Math" panose="02040503050406030204" pitchFamily="18" charset="0"/>
                                <a:ea typeface="+mn-ea"/>
                                <a:cs typeface="+mn-cs"/>
                              </a:rPr>
                              <m:t>′</m:t>
                            </m:r>
                          </m:e>
                          <m:sub>
                            <m:r>
                              <a:rPr lang="es-CO" sz="1000" i="1">
                                <a:solidFill>
                                  <a:schemeClr val="tx1"/>
                                </a:solidFill>
                                <a:effectLst/>
                                <a:latin typeface="Cambria Math" panose="02040503050406030204" pitchFamily="18" charset="0"/>
                                <a:ea typeface="+mn-ea"/>
                                <a:cs typeface="+mn-cs"/>
                              </a:rPr>
                              <m:t>𝑐</m:t>
                            </m:r>
                          </m:sub>
                        </m:sSub>
                      </m:e>
                    </m:rad>
                  </m:oMath>
                </m:oMathPara>
              </a14:m>
              <a:endParaRPr lang="es-ES" sz="1000"/>
            </a:p>
          </xdr:txBody>
        </xdr:sp>
      </mc:Choice>
      <mc:Fallback xmlns="">
        <xdr:sp macro="" textlink="">
          <xdr:nvSpPr>
            <xdr:cNvPr id="121" name="TextBox 120"/>
            <xdr:cNvSpPr txBox="1"/>
          </xdr:nvSpPr>
          <xdr:spPr>
            <a:xfrm>
              <a:off x="381000" y="77581125"/>
              <a:ext cx="1783501" cy="34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𝑁</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𝑠𝑏=(13</a:t>
              </a:r>
              <a:r>
                <a:rPr lang="es-CO" sz="1000" b="0" i="0">
                  <a:solidFill>
                    <a:schemeClr val="tx1"/>
                  </a:solidFill>
                  <a:effectLst/>
                  <a:latin typeface="+mn-lt"/>
                  <a:ea typeface="+mn-ea"/>
                  <a:cs typeface="+mn-cs"/>
                </a:rPr>
                <a:t>〖</a:t>
              </a:r>
              <a:r>
                <a:rPr lang="es-CO" sz="1000" b="0" i="0">
                  <a:solidFill>
                    <a:schemeClr val="tx1"/>
                  </a:solidFill>
                  <a:effectLst/>
                  <a:latin typeface="Cambria Math" panose="02040503050406030204" pitchFamily="18" charset="0"/>
                  <a:ea typeface="+mn-ea"/>
                  <a:cs typeface="+mn-cs"/>
                </a:rPr>
                <a:t> </a:t>
              </a:r>
              <a:r>
                <a:rPr lang="es-CO" sz="1000" b="0" i="0">
                  <a:solidFill>
                    <a:schemeClr val="tx1"/>
                  </a:solidFill>
                  <a:effectLst/>
                  <a:latin typeface="+mn-lt"/>
                  <a:ea typeface="+mn-ea"/>
                  <a:cs typeface="+mn-cs"/>
                </a:rPr>
                <a:t>𝑐〗_(𝑎,𝑚𝑖𝑛)</a:t>
              </a:r>
              <a:r>
                <a:rPr lang="es-CO" sz="1000" b="0" i="0">
                  <a:solidFill>
                    <a:schemeClr val="tx1"/>
                  </a:solidFill>
                  <a:effectLst/>
                  <a:latin typeface="Cambria Math" panose="02040503050406030204" pitchFamily="18" charset="0"/>
                  <a:ea typeface="+mn-ea"/>
                  <a:cs typeface="+mn-cs"/>
                </a:rPr>
                <a:t>  √(𝐴_𝑏𝑟𝑔 )</a:t>
              </a:r>
              <a:r>
                <a:rPr lang="es-CO" sz="1000" b="0" i="0">
                  <a:solidFill>
                    <a:schemeClr val="tx1"/>
                  </a:solidFill>
                  <a:effectLst/>
                  <a:latin typeface="Cambria Math" panose="02040503050406030204" pitchFamily="18" charset="0"/>
                  <a:ea typeface="+mn-ea"/>
                  <a:cs typeface="+mn-cs"/>
                </a:rPr>
                <a:t>)</a:t>
              </a:r>
              <a:r>
                <a:rPr lang="es-ES" sz="1000" b="0" i="0">
                  <a:solidFill>
                    <a:schemeClr val="tx1"/>
                  </a:solidFill>
                  <a:effectLst/>
                  <a:latin typeface="+mn-lt"/>
                  <a:ea typeface="+mn-ea"/>
                  <a:cs typeface="+mn-cs"/>
                </a:rPr>
                <a:t> </a:t>
              </a:r>
              <a:r>
                <a:rPr lang="es-CO" sz="1000" i="0">
                  <a:solidFill>
                    <a:schemeClr val="tx1"/>
                  </a:solidFill>
                  <a:effectLst/>
                  <a:latin typeface="+mn-lt"/>
                  <a:ea typeface="+mn-ea"/>
                  <a:cs typeface="+mn-cs"/>
                </a:rPr>
                <a:t>𝜆</a:t>
              </a:r>
              <a:r>
                <a:rPr lang="es-ES" sz="1000" i="0">
                  <a:solidFill>
                    <a:schemeClr val="tx1"/>
                  </a:solidFill>
                  <a:effectLst/>
                  <a:latin typeface="+mn-lt"/>
                  <a:ea typeface="+mn-ea"/>
                  <a:cs typeface="+mn-cs"/>
                </a:rPr>
                <a:t>_</a:t>
              </a:r>
              <a:r>
                <a:rPr lang="es-CO" sz="1000" b="0" i="0">
                  <a:solidFill>
                    <a:schemeClr val="tx1"/>
                  </a:solidFill>
                  <a:effectLst/>
                  <a:latin typeface="+mn-lt"/>
                  <a:ea typeface="+mn-ea"/>
                  <a:cs typeface="+mn-cs"/>
                </a:rPr>
                <a:t>𝑎</a:t>
              </a:r>
              <a:r>
                <a:rPr lang="es-ES" sz="1000" b="0" i="0">
                  <a:solidFill>
                    <a:schemeClr val="tx1"/>
                  </a:solidFill>
                  <a:effectLst/>
                  <a:latin typeface="+mn-lt"/>
                  <a:ea typeface="+mn-ea"/>
                  <a:cs typeface="+mn-cs"/>
                </a:rPr>
                <a:t> </a:t>
              </a:r>
              <a:r>
                <a:rPr lang="es-ES" sz="1000" i="0">
                  <a:solidFill>
                    <a:schemeClr val="tx1"/>
                  </a:solidFill>
                  <a:effectLst/>
                  <a:latin typeface="+mn-lt"/>
                  <a:ea typeface="+mn-ea"/>
                  <a:cs typeface="+mn-cs"/>
                </a:rPr>
                <a:t>√(〖</a:t>
              </a:r>
              <a:r>
                <a:rPr lang="es-CO" sz="1000" i="0">
                  <a:solidFill>
                    <a:schemeClr val="tx1"/>
                  </a:solidFill>
                  <a:effectLst/>
                  <a:latin typeface="+mn-lt"/>
                  <a:ea typeface="+mn-ea"/>
                  <a:cs typeface="+mn-cs"/>
                </a:rPr>
                <a:t>𝑓′</a:t>
              </a:r>
              <a:r>
                <a:rPr lang="es-ES" sz="1000" i="0">
                  <a:solidFill>
                    <a:schemeClr val="tx1"/>
                  </a:solidFill>
                  <a:effectLst/>
                  <a:latin typeface="+mn-lt"/>
                  <a:ea typeface="+mn-ea"/>
                  <a:cs typeface="+mn-cs"/>
                </a:rPr>
                <a:t>〗_</a:t>
              </a:r>
              <a:r>
                <a:rPr lang="es-CO" sz="1000" i="0">
                  <a:solidFill>
                    <a:schemeClr val="tx1"/>
                  </a:solidFill>
                  <a:effectLst/>
                  <a:latin typeface="+mn-lt"/>
                  <a:ea typeface="+mn-ea"/>
                  <a:cs typeface="+mn-cs"/>
                </a:rPr>
                <a:t>𝑐 </a:t>
              </a:r>
              <a:r>
                <a:rPr lang="es-ES" sz="1000" i="0">
                  <a:solidFill>
                    <a:schemeClr val="tx1"/>
                  </a:solidFill>
                  <a:effectLst/>
                  <a:latin typeface="+mn-lt"/>
                  <a:ea typeface="+mn-ea"/>
                  <a:cs typeface="+mn-cs"/>
                </a:rPr>
                <a:t>)</a:t>
              </a:r>
              <a:endParaRPr lang="es-ES" sz="1000"/>
            </a:p>
          </xdr:txBody>
        </xdr:sp>
      </mc:Fallback>
    </mc:AlternateContent>
    <xdr:clientData/>
  </xdr:oneCellAnchor>
  <xdr:oneCellAnchor>
    <xdr:from>
      <xdr:col>13</xdr:col>
      <xdr:colOff>104775</xdr:colOff>
      <xdr:row>1013</xdr:row>
      <xdr:rowOff>9525</xdr:rowOff>
    </xdr:from>
    <xdr:ext cx="284117" cy="168829"/>
    <mc:AlternateContent xmlns:mc="http://schemas.openxmlformats.org/markup-compatibility/2006" xmlns:a14="http://schemas.microsoft.com/office/drawing/2010/main">
      <mc:Choice Requires="a14">
        <xdr:sp macro="" textlink="">
          <xdr:nvSpPr>
            <xdr:cNvPr id="65" name="TextBox 64"/>
            <xdr:cNvSpPr txBox="1"/>
          </xdr:nvSpPr>
          <xdr:spPr>
            <a:xfrm>
              <a:off x="2457450" y="156438600"/>
              <a:ext cx="284117"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cm</m:t>
                        </m:r>
                      </m:e>
                      <m:sup>
                        <m:r>
                          <a:rPr lang="es-CO" sz="1100" b="0" i="1">
                            <a:latin typeface="Cambria Math" panose="02040503050406030204" pitchFamily="18" charset="0"/>
                          </a:rPr>
                          <m:t>3</m:t>
                        </m:r>
                      </m:sup>
                    </m:sSup>
                  </m:oMath>
                </m:oMathPara>
              </a14:m>
              <a:endParaRPr lang="es-ES" sz="1100"/>
            </a:p>
          </xdr:txBody>
        </xdr:sp>
      </mc:Choice>
      <mc:Fallback xmlns="">
        <xdr:sp macro="" textlink="">
          <xdr:nvSpPr>
            <xdr:cNvPr id="65" name="TextBox 64"/>
            <xdr:cNvSpPr txBox="1"/>
          </xdr:nvSpPr>
          <xdr:spPr>
            <a:xfrm>
              <a:off x="2457450" y="156438600"/>
              <a:ext cx="284117"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cm</a:t>
              </a:r>
              <a:r>
                <a:rPr lang="es-ES" sz="1100" b="0" i="0">
                  <a:latin typeface="Cambria Math" panose="02040503050406030204" pitchFamily="18" charset="0"/>
                </a:rPr>
                <a:t>^</a:t>
              </a:r>
              <a:r>
                <a:rPr lang="es-CO" sz="1100" b="0" i="0">
                  <a:latin typeface="Cambria Math" panose="02040503050406030204" pitchFamily="18" charset="0"/>
                </a:rPr>
                <a:t>3</a:t>
              </a:r>
              <a:endParaRPr lang="es-ES" sz="1100"/>
            </a:p>
          </xdr:txBody>
        </xdr:sp>
      </mc:Fallback>
    </mc:AlternateContent>
    <xdr:clientData fLocksWithSheet="0"/>
  </xdr:oneCellAnchor>
  <xdr:oneCellAnchor>
    <xdr:from>
      <xdr:col>3</xdr:col>
      <xdr:colOff>38100</xdr:colOff>
      <xdr:row>1018</xdr:row>
      <xdr:rowOff>28575</xdr:rowOff>
    </xdr:from>
    <xdr:ext cx="284117" cy="168829"/>
    <mc:AlternateContent xmlns:mc="http://schemas.openxmlformats.org/markup-compatibility/2006" xmlns:a14="http://schemas.microsoft.com/office/drawing/2010/main">
      <mc:Choice Requires="a14">
        <xdr:sp macro="" textlink="">
          <xdr:nvSpPr>
            <xdr:cNvPr id="66" name="TextBox 65"/>
            <xdr:cNvSpPr txBox="1"/>
          </xdr:nvSpPr>
          <xdr:spPr>
            <a:xfrm>
              <a:off x="581025" y="156248100"/>
              <a:ext cx="284117"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cm</m:t>
                        </m:r>
                      </m:e>
                      <m:sup>
                        <m:r>
                          <a:rPr lang="es-CO" sz="1100" b="0" i="1">
                            <a:latin typeface="Cambria Math" panose="02040503050406030204" pitchFamily="18" charset="0"/>
                          </a:rPr>
                          <m:t>3</m:t>
                        </m:r>
                      </m:sup>
                    </m:sSup>
                  </m:oMath>
                </m:oMathPara>
              </a14:m>
              <a:endParaRPr lang="es-ES" sz="1100"/>
            </a:p>
          </xdr:txBody>
        </xdr:sp>
      </mc:Choice>
      <mc:Fallback xmlns="">
        <xdr:sp macro="" textlink="">
          <xdr:nvSpPr>
            <xdr:cNvPr id="66" name="TextBox 65"/>
            <xdr:cNvSpPr txBox="1"/>
          </xdr:nvSpPr>
          <xdr:spPr>
            <a:xfrm>
              <a:off x="581025" y="156248100"/>
              <a:ext cx="284117"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cm</a:t>
              </a:r>
              <a:r>
                <a:rPr lang="es-ES" sz="1100" b="0" i="0">
                  <a:latin typeface="Cambria Math" panose="02040503050406030204" pitchFamily="18" charset="0"/>
                </a:rPr>
                <a:t>^</a:t>
              </a:r>
              <a:r>
                <a:rPr lang="es-CO" sz="1100" b="0" i="0">
                  <a:latin typeface="Cambria Math" panose="02040503050406030204" pitchFamily="18" charset="0"/>
                </a:rPr>
                <a:t>3</a:t>
              </a:r>
              <a:endParaRPr lang="es-ES" sz="1100"/>
            </a:p>
          </xdr:txBody>
        </xdr:sp>
      </mc:Fallback>
    </mc:AlternateContent>
    <xdr:clientData fLocksWithSheet="0"/>
  </xdr:oneCellAnchor>
  <xdr:twoCellAnchor editAs="oneCell">
    <xdr:from>
      <xdr:col>20</xdr:col>
      <xdr:colOff>117791</xdr:colOff>
      <xdr:row>999</xdr:row>
      <xdr:rowOff>0</xdr:rowOff>
    </xdr:from>
    <xdr:to>
      <xdr:col>35</xdr:col>
      <xdr:colOff>12187</xdr:colOff>
      <xdr:row>1007</xdr:row>
      <xdr:rowOff>9525</xdr:rowOff>
    </xdr:to>
    <xdr:pic>
      <xdr:nvPicPr>
        <xdr:cNvPr id="67" name="Picture 66" descr="https://www.us.hilti.com/medias/sys_master/h26/h32/9092866441246/calculation_methodology.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7291" y="153590625"/>
          <a:ext cx="2609021" cy="140017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xdr:from>
      <xdr:col>1</xdr:col>
      <xdr:colOff>19050</xdr:colOff>
      <xdr:row>84</xdr:row>
      <xdr:rowOff>19050</xdr:rowOff>
    </xdr:from>
    <xdr:to>
      <xdr:col>2</xdr:col>
      <xdr:colOff>123825</xdr:colOff>
      <xdr:row>87</xdr:row>
      <xdr:rowOff>47625</xdr:rowOff>
    </xdr:to>
    <xdr:sp macro="" textlink="">
      <xdr:nvSpPr>
        <xdr:cNvPr id="4" name="Rectangle 3"/>
        <xdr:cNvSpPr/>
      </xdr:nvSpPr>
      <xdr:spPr>
        <a:xfrm>
          <a:off x="200025" y="15001875"/>
          <a:ext cx="285750" cy="7524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PrintsWithSheet="0"/>
  </xdr:twoCellAnchor>
  <xdr:twoCellAnchor editAs="oneCell">
    <xdr:from>
      <xdr:col>24</xdr:col>
      <xdr:colOff>14249</xdr:colOff>
      <xdr:row>182</xdr:row>
      <xdr:rowOff>17393</xdr:rowOff>
    </xdr:from>
    <xdr:to>
      <xdr:col>35</xdr:col>
      <xdr:colOff>126620</xdr:colOff>
      <xdr:row>195</xdr:row>
      <xdr:rowOff>9525</xdr:rowOff>
    </xdr:to>
    <xdr:pic>
      <xdr:nvPicPr>
        <xdr:cNvPr id="105" name="Picture 10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4357649" y="32878643"/>
          <a:ext cx="2103096" cy="2278132"/>
        </a:xfrm>
        <a:prstGeom prst="rect">
          <a:avLst/>
        </a:prstGeom>
      </xdr:spPr>
    </xdr:pic>
    <xdr:clientData fLocksWithSheet="0"/>
  </xdr:twoCellAnchor>
  <xdr:oneCellAnchor>
    <xdr:from>
      <xdr:col>88</xdr:col>
      <xdr:colOff>19050</xdr:colOff>
      <xdr:row>211</xdr:row>
      <xdr:rowOff>9525</xdr:rowOff>
    </xdr:from>
    <xdr:ext cx="225253" cy="168829"/>
    <mc:AlternateContent xmlns:mc="http://schemas.openxmlformats.org/markup-compatibility/2006" xmlns:a14="http://schemas.microsoft.com/office/drawing/2010/main">
      <mc:Choice Requires="a14">
        <xdr:sp macro="" textlink="">
          <xdr:nvSpPr>
            <xdr:cNvPr id="118" name="TextBox 117"/>
            <xdr:cNvSpPr txBox="1"/>
          </xdr:nvSpPr>
          <xdr:spPr>
            <a:xfrm>
              <a:off x="14678025" y="3792855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18" name="TextBox 117"/>
            <xdr:cNvSpPr txBox="1"/>
          </xdr:nvSpPr>
          <xdr:spPr>
            <a:xfrm>
              <a:off x="14678025" y="3792855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93</xdr:col>
      <xdr:colOff>19050</xdr:colOff>
      <xdr:row>211</xdr:row>
      <xdr:rowOff>9525</xdr:rowOff>
    </xdr:from>
    <xdr:ext cx="225253" cy="168829"/>
    <mc:AlternateContent xmlns:mc="http://schemas.openxmlformats.org/markup-compatibility/2006" xmlns:a14="http://schemas.microsoft.com/office/drawing/2010/main">
      <mc:Choice Requires="a14">
        <xdr:sp macro="" textlink="">
          <xdr:nvSpPr>
            <xdr:cNvPr id="122" name="TextBox 121"/>
            <xdr:cNvSpPr txBox="1"/>
          </xdr:nvSpPr>
          <xdr:spPr>
            <a:xfrm>
              <a:off x="16849725" y="4050030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22" name="TextBox 121"/>
            <xdr:cNvSpPr txBox="1"/>
          </xdr:nvSpPr>
          <xdr:spPr>
            <a:xfrm>
              <a:off x="16849725" y="40500300"/>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98</xdr:col>
      <xdr:colOff>17808</xdr:colOff>
      <xdr:row>211</xdr:row>
      <xdr:rowOff>9525</xdr:rowOff>
    </xdr:from>
    <xdr:ext cx="225253" cy="168829"/>
    <mc:AlternateContent xmlns:mc="http://schemas.openxmlformats.org/markup-compatibility/2006" xmlns:a14="http://schemas.microsoft.com/office/drawing/2010/main">
      <mc:Choice Requires="a14">
        <xdr:sp macro="" textlink="">
          <xdr:nvSpPr>
            <xdr:cNvPr id="123" name="TextBox 122"/>
            <xdr:cNvSpPr txBox="1"/>
          </xdr:nvSpPr>
          <xdr:spPr>
            <a:xfrm>
              <a:off x="17875112"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23" name="TextBox 122"/>
            <xdr:cNvSpPr txBox="1"/>
          </xdr:nvSpPr>
          <xdr:spPr>
            <a:xfrm>
              <a:off x="17875112"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113</xdr:col>
      <xdr:colOff>8283</xdr:colOff>
      <xdr:row>211</xdr:row>
      <xdr:rowOff>9525</xdr:rowOff>
    </xdr:from>
    <xdr:ext cx="225253" cy="168829"/>
    <mc:AlternateContent xmlns:mc="http://schemas.openxmlformats.org/markup-compatibility/2006" xmlns:a14="http://schemas.microsoft.com/office/drawing/2010/main">
      <mc:Choice Requires="a14">
        <xdr:sp macro="" textlink="">
          <xdr:nvSpPr>
            <xdr:cNvPr id="124" name="TextBox 123"/>
            <xdr:cNvSpPr txBox="1"/>
          </xdr:nvSpPr>
          <xdr:spPr>
            <a:xfrm>
              <a:off x="20598848"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24" name="TextBox 123"/>
            <xdr:cNvSpPr txBox="1"/>
          </xdr:nvSpPr>
          <xdr:spPr>
            <a:xfrm>
              <a:off x="20598848"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15</xdr:col>
      <xdr:colOff>76200</xdr:colOff>
      <xdr:row>597</xdr:row>
      <xdr:rowOff>28575</xdr:rowOff>
    </xdr:from>
    <xdr:ext cx="225253" cy="168829"/>
    <mc:AlternateContent xmlns:mc="http://schemas.openxmlformats.org/markup-compatibility/2006" xmlns:a14="http://schemas.microsoft.com/office/drawing/2010/main">
      <mc:Choice Requires="a14">
        <xdr:sp macro="" textlink="">
          <xdr:nvSpPr>
            <xdr:cNvPr id="315" name="TextBox 314"/>
            <xdr:cNvSpPr txBox="1"/>
          </xdr:nvSpPr>
          <xdr:spPr>
            <a:xfrm>
              <a:off x="2066925"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315" name="TextBox 314"/>
            <xdr:cNvSpPr txBox="1"/>
          </xdr:nvSpPr>
          <xdr:spPr>
            <a:xfrm>
              <a:off x="2066925"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7</xdr:col>
      <xdr:colOff>47625</xdr:colOff>
      <xdr:row>597</xdr:row>
      <xdr:rowOff>28575</xdr:rowOff>
    </xdr:from>
    <xdr:ext cx="225253" cy="168829"/>
    <mc:AlternateContent xmlns:mc="http://schemas.openxmlformats.org/markup-compatibility/2006" xmlns:a14="http://schemas.microsoft.com/office/drawing/2010/main">
      <mc:Choice Requires="a14">
        <xdr:sp macro="" textlink="">
          <xdr:nvSpPr>
            <xdr:cNvPr id="316" name="TextBox 315"/>
            <xdr:cNvSpPr txBox="1"/>
          </xdr:nvSpPr>
          <xdr:spPr>
            <a:xfrm>
              <a:off x="1314450"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316" name="TextBox 315"/>
            <xdr:cNvSpPr txBox="1"/>
          </xdr:nvSpPr>
          <xdr:spPr>
            <a:xfrm>
              <a:off x="1314450" y="104060625"/>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twoCellAnchor editAs="oneCell">
    <xdr:from>
      <xdr:col>7</xdr:col>
      <xdr:colOff>180974</xdr:colOff>
      <xdr:row>145</xdr:row>
      <xdr:rowOff>0</xdr:rowOff>
    </xdr:from>
    <xdr:to>
      <xdr:col>31</xdr:col>
      <xdr:colOff>161668</xdr:colOff>
      <xdr:row>145</xdr:row>
      <xdr:rowOff>3800475</xdr:rowOff>
    </xdr:to>
    <xdr:pic>
      <xdr:nvPicPr>
        <xdr:cNvPr id="125" name="Picture 124"/>
        <xdr:cNvPicPr>
          <a:picLocks noChangeAspect="1"/>
        </xdr:cNvPicPr>
      </xdr:nvPicPr>
      <xdr:blipFill>
        <a:blip xmlns:r="http://schemas.openxmlformats.org/officeDocument/2006/relationships" r:embed="rId3"/>
        <a:stretch>
          <a:fillRect/>
        </a:stretch>
      </xdr:blipFill>
      <xdr:spPr>
        <a:xfrm>
          <a:off x="1447799" y="25555575"/>
          <a:ext cx="4324094" cy="3800475"/>
        </a:xfrm>
        <a:prstGeom prst="rect">
          <a:avLst/>
        </a:prstGeom>
      </xdr:spPr>
    </xdr:pic>
    <xdr:clientData/>
  </xdr:twoCellAnchor>
  <xdr:oneCellAnchor>
    <xdr:from>
      <xdr:col>2</xdr:col>
      <xdr:colOff>0</xdr:colOff>
      <xdr:row>530</xdr:row>
      <xdr:rowOff>0</xdr:rowOff>
    </xdr:from>
    <xdr:ext cx="1180003" cy="160685"/>
    <mc:AlternateContent xmlns:mc="http://schemas.openxmlformats.org/markup-compatibility/2006" xmlns:a14="http://schemas.microsoft.com/office/drawing/2010/main">
      <mc:Choice Requires="a14">
        <xdr:sp macro="" textlink="">
          <xdr:nvSpPr>
            <xdr:cNvPr id="126" name="TextBox 125"/>
            <xdr:cNvSpPr txBox="1"/>
          </xdr:nvSpPr>
          <xdr:spPr>
            <a:xfrm>
              <a:off x="361950" y="98936175"/>
              <a:ext cx="1180003"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𝑉</m:t>
                        </m:r>
                      </m:e>
                      <m:sub>
                        <m:r>
                          <a:rPr lang="es-CO" sz="1000" i="1">
                            <a:solidFill>
                              <a:schemeClr val="tx1"/>
                            </a:solidFill>
                            <a:effectLst/>
                            <a:latin typeface="Cambria Math" panose="02040503050406030204" pitchFamily="18" charset="0"/>
                            <a:ea typeface="+mn-ea"/>
                            <a:cs typeface="+mn-cs"/>
                          </a:rPr>
                          <m:t>𝑠𝑎</m:t>
                        </m:r>
                      </m:sub>
                    </m:sSub>
                    <m:r>
                      <a:rPr lang="es-CO" sz="1000" b="0" i="1">
                        <a:solidFill>
                          <a:schemeClr val="tx1"/>
                        </a:solidFill>
                        <a:effectLst/>
                        <a:latin typeface="Cambria Math" panose="02040503050406030204" pitchFamily="18" charset="0"/>
                        <a:ea typeface="+mn-ea"/>
                        <a:cs typeface="+mn-cs"/>
                      </a:rPr>
                      <m:t>=</m:t>
                    </m:r>
                    <m:sSub>
                      <m:sSubPr>
                        <m:ctrlPr>
                          <a:rPr lang="es-ES"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𝑛</m:t>
                        </m:r>
                        <m:r>
                          <a:rPr lang="es-CO" sz="1000" b="0" i="1">
                            <a:solidFill>
                              <a:schemeClr val="tx1"/>
                            </a:solidFill>
                            <a:effectLst/>
                            <a:latin typeface="Cambria Math" panose="02040503050406030204" pitchFamily="18" charset="0"/>
                            <a:ea typeface="+mn-ea"/>
                            <a:cs typeface="+mn-cs"/>
                          </a:rPr>
                          <m:t> 0,6 </m:t>
                        </m:r>
                        <m:r>
                          <a:rPr lang="es-CO" sz="1000" b="0" i="1">
                            <a:solidFill>
                              <a:schemeClr val="tx1"/>
                            </a:solidFill>
                            <a:effectLst/>
                            <a:latin typeface="Cambria Math" panose="02040503050406030204" pitchFamily="18" charset="0"/>
                            <a:ea typeface="+mn-ea"/>
                            <a:cs typeface="+mn-cs"/>
                          </a:rPr>
                          <m:t>𝐴</m:t>
                        </m:r>
                      </m:e>
                      <m:sub>
                        <m:r>
                          <a:rPr lang="es-CO" sz="1000" b="0" i="1">
                            <a:solidFill>
                              <a:schemeClr val="tx1"/>
                            </a:solidFill>
                            <a:effectLst/>
                            <a:latin typeface="Cambria Math" panose="02040503050406030204" pitchFamily="18" charset="0"/>
                            <a:ea typeface="+mn-ea"/>
                            <a:cs typeface="+mn-cs"/>
                          </a:rPr>
                          <m:t>𝑠𝑒</m:t>
                        </m:r>
                        <m:r>
                          <a:rPr lang="es-CO" sz="1000" b="0" i="1">
                            <a:solidFill>
                              <a:schemeClr val="tx1"/>
                            </a:solidFill>
                            <a:effectLst/>
                            <a:latin typeface="Cambria Math" panose="02040503050406030204" pitchFamily="18" charset="0"/>
                            <a:ea typeface="+mn-ea"/>
                            <a:cs typeface="+mn-cs"/>
                          </a:rPr>
                          <m:t>,</m:t>
                        </m:r>
                        <m:r>
                          <a:rPr lang="es-CO" sz="1000" b="0" i="1">
                            <a:solidFill>
                              <a:schemeClr val="tx1"/>
                            </a:solidFill>
                            <a:effectLst/>
                            <a:latin typeface="Cambria Math" panose="02040503050406030204" pitchFamily="18" charset="0"/>
                            <a:ea typeface="+mn-ea"/>
                            <a:cs typeface="+mn-cs"/>
                          </a:rPr>
                          <m:t>𝑉</m:t>
                        </m:r>
                      </m:sub>
                    </m:sSub>
                    <m:r>
                      <a:rPr lang="es-CO" sz="1000" b="0" i="1">
                        <a:solidFill>
                          <a:schemeClr val="tx1"/>
                        </a:solidFill>
                        <a:effectLst/>
                        <a:latin typeface="Cambria Math" panose="02040503050406030204" pitchFamily="18" charset="0"/>
                        <a:ea typeface="+mn-ea"/>
                        <a:cs typeface="+mn-cs"/>
                      </a:rPr>
                      <m:t> </m:t>
                    </m:r>
                    <m:sSub>
                      <m:sSubPr>
                        <m:ctrlPr>
                          <a:rPr lang="es-CO" sz="1000" i="1">
                            <a:solidFill>
                              <a:schemeClr val="tx1"/>
                            </a:solidFill>
                            <a:effectLst/>
                            <a:latin typeface="Cambria Math" panose="02040503050406030204" pitchFamily="18" charset="0"/>
                            <a:ea typeface="+mn-ea"/>
                            <a:cs typeface="+mn-cs"/>
                          </a:rPr>
                        </m:ctrlPr>
                      </m:sSubPr>
                      <m:e>
                        <m:r>
                          <a:rPr lang="es-CO" sz="1000" b="0" i="1">
                            <a:solidFill>
                              <a:schemeClr val="tx1"/>
                            </a:solidFill>
                            <a:effectLst/>
                            <a:latin typeface="Cambria Math" panose="02040503050406030204" pitchFamily="18" charset="0"/>
                            <a:ea typeface="+mn-ea"/>
                            <a:cs typeface="+mn-cs"/>
                          </a:rPr>
                          <m:t>𝑓</m:t>
                        </m:r>
                      </m:e>
                      <m:sub>
                        <m:r>
                          <a:rPr lang="es-CO" sz="1000" b="0" i="1">
                            <a:solidFill>
                              <a:schemeClr val="tx1"/>
                            </a:solidFill>
                            <a:effectLst/>
                            <a:latin typeface="Cambria Math" panose="02040503050406030204" pitchFamily="18" charset="0"/>
                            <a:ea typeface="+mn-ea"/>
                            <a:cs typeface="+mn-cs"/>
                          </a:rPr>
                          <m:t>𝑢𝑡𝑎</m:t>
                        </m:r>
                      </m:sub>
                    </m:sSub>
                  </m:oMath>
                </m:oMathPara>
              </a14:m>
              <a:endParaRPr lang="es-ES" sz="1000"/>
            </a:p>
          </xdr:txBody>
        </xdr:sp>
      </mc:Choice>
      <mc:Fallback xmlns="">
        <xdr:sp macro="" textlink="">
          <xdr:nvSpPr>
            <xdr:cNvPr id="126" name="TextBox 125"/>
            <xdr:cNvSpPr txBox="1"/>
          </xdr:nvSpPr>
          <xdr:spPr>
            <a:xfrm>
              <a:off x="361950" y="98936175"/>
              <a:ext cx="1180003" cy="16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000" b="0" i="0">
                  <a:solidFill>
                    <a:schemeClr val="tx1"/>
                  </a:solidFill>
                  <a:effectLst/>
                  <a:latin typeface="Cambria Math" panose="02040503050406030204" pitchFamily="18" charset="0"/>
                  <a:ea typeface="+mn-ea"/>
                  <a:cs typeface="+mn-cs"/>
                </a:rPr>
                <a:t>𝑉</a:t>
              </a:r>
              <a:r>
                <a:rPr lang="es-ES" sz="1000" b="0" i="0">
                  <a:solidFill>
                    <a:schemeClr val="tx1"/>
                  </a:solidFill>
                  <a:effectLst/>
                  <a:latin typeface="Cambria Math" panose="02040503050406030204" pitchFamily="18" charset="0"/>
                  <a:ea typeface="+mn-ea"/>
                  <a:cs typeface="+mn-cs"/>
                </a:rPr>
                <a:t>_</a:t>
              </a:r>
              <a:r>
                <a:rPr lang="es-CO" sz="1000" i="0">
                  <a:solidFill>
                    <a:schemeClr val="tx1"/>
                  </a:solidFill>
                  <a:effectLst/>
                  <a:latin typeface="Cambria Math" panose="02040503050406030204" pitchFamily="18" charset="0"/>
                  <a:ea typeface="+mn-ea"/>
                  <a:cs typeface="+mn-cs"/>
                </a:rPr>
                <a:t>𝑠𝑎</a:t>
              </a:r>
              <a:r>
                <a:rPr lang="es-CO" sz="1000" b="0" i="0">
                  <a:solidFill>
                    <a:schemeClr val="tx1"/>
                  </a:solidFill>
                  <a:effectLst/>
                  <a:latin typeface="Cambria Math" panose="02040503050406030204" pitchFamily="18" charset="0"/>
                  <a:ea typeface="+mn-ea"/>
                  <a:cs typeface="+mn-cs"/>
                </a:rPr>
                <a:t>=</a:t>
              </a:r>
              <a:r>
                <a:rPr lang="es-ES" sz="100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𝑛 0,6 𝐴</a:t>
              </a:r>
              <a:r>
                <a:rPr lang="es-ES" sz="1000" b="0" i="0">
                  <a:solidFill>
                    <a:schemeClr val="tx1"/>
                  </a:solidFill>
                  <a:effectLst/>
                  <a:latin typeface="Cambria Math" panose="02040503050406030204" pitchFamily="18" charset="0"/>
                  <a:ea typeface="+mn-ea"/>
                  <a:cs typeface="+mn-cs"/>
                </a:rPr>
                <a:t>〗_(</a:t>
              </a:r>
              <a:r>
                <a:rPr lang="es-CO" sz="1000" b="0" i="0">
                  <a:solidFill>
                    <a:schemeClr val="tx1"/>
                  </a:solidFill>
                  <a:effectLst/>
                  <a:latin typeface="Cambria Math" panose="02040503050406030204" pitchFamily="18" charset="0"/>
                  <a:ea typeface="+mn-ea"/>
                  <a:cs typeface="+mn-cs"/>
                </a:rPr>
                <a:t>𝑠𝑒,𝑉</a:t>
              </a:r>
              <a:r>
                <a:rPr lang="es-ES" sz="1000" b="0" i="0">
                  <a:solidFill>
                    <a:schemeClr val="tx1"/>
                  </a:solidFill>
                  <a:effectLst/>
                  <a:latin typeface="Cambria Math" panose="02040503050406030204" pitchFamily="18" charset="0"/>
                  <a:ea typeface="+mn-ea"/>
                  <a:cs typeface="+mn-cs"/>
                </a:rPr>
                <a:t>)</a:t>
              </a:r>
              <a:r>
                <a:rPr lang="es-CO" sz="1000" b="0" i="0">
                  <a:solidFill>
                    <a:schemeClr val="tx1"/>
                  </a:solidFill>
                  <a:effectLst/>
                  <a:latin typeface="Cambria Math" panose="02040503050406030204" pitchFamily="18" charset="0"/>
                  <a:ea typeface="+mn-ea"/>
                  <a:cs typeface="+mn-cs"/>
                </a:rPr>
                <a:t>  𝑓_𝑢𝑡𝑎</a:t>
              </a:r>
              <a:endParaRPr lang="es-ES" sz="1000"/>
            </a:p>
          </xdr:txBody>
        </xdr:sp>
      </mc:Fallback>
    </mc:AlternateContent>
    <xdr:clientData/>
  </xdr:oneCellAnchor>
  <xdr:oneCellAnchor>
    <xdr:from>
      <xdr:col>103</xdr:col>
      <xdr:colOff>9525</xdr:colOff>
      <xdr:row>211</xdr:row>
      <xdr:rowOff>9525</xdr:rowOff>
    </xdr:from>
    <xdr:ext cx="225253" cy="168829"/>
    <mc:AlternateContent xmlns:mc="http://schemas.openxmlformats.org/markup-compatibility/2006" xmlns:a14="http://schemas.microsoft.com/office/drawing/2010/main">
      <mc:Choice Requires="a14">
        <xdr:sp macro="" textlink="">
          <xdr:nvSpPr>
            <xdr:cNvPr id="127" name="TextBox 126"/>
            <xdr:cNvSpPr txBox="1"/>
          </xdr:nvSpPr>
          <xdr:spPr>
            <a:xfrm>
              <a:off x="18777916"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27" name="TextBox 126"/>
            <xdr:cNvSpPr txBox="1"/>
          </xdr:nvSpPr>
          <xdr:spPr>
            <a:xfrm>
              <a:off x="18777916"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108</xdr:col>
      <xdr:colOff>17808</xdr:colOff>
      <xdr:row>211</xdr:row>
      <xdr:rowOff>9525</xdr:rowOff>
    </xdr:from>
    <xdr:ext cx="225253" cy="168829"/>
    <mc:AlternateContent xmlns:mc="http://schemas.openxmlformats.org/markup-compatibility/2006" xmlns:a14="http://schemas.microsoft.com/office/drawing/2010/main">
      <mc:Choice Requires="a14">
        <xdr:sp macro="" textlink="">
          <xdr:nvSpPr>
            <xdr:cNvPr id="128" name="TextBox 127"/>
            <xdr:cNvSpPr txBox="1"/>
          </xdr:nvSpPr>
          <xdr:spPr>
            <a:xfrm>
              <a:off x="19697286"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28" name="TextBox 127"/>
            <xdr:cNvSpPr txBox="1"/>
          </xdr:nvSpPr>
          <xdr:spPr>
            <a:xfrm>
              <a:off x="19697286" y="40842786"/>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oneCellAnchor>
    <xdr:from>
      <xdr:col>7</xdr:col>
      <xdr:colOff>47625</xdr:colOff>
      <xdr:row>597</xdr:row>
      <xdr:rowOff>28575</xdr:rowOff>
    </xdr:from>
    <xdr:ext cx="225253" cy="168829"/>
    <mc:AlternateContent xmlns:mc="http://schemas.openxmlformats.org/markup-compatibility/2006" xmlns:a14="http://schemas.microsoft.com/office/drawing/2010/main">
      <mc:Choice Requires="a14">
        <xdr:sp macro="" textlink="">
          <xdr:nvSpPr>
            <xdr:cNvPr id="129" name="TextBox 128"/>
            <xdr:cNvSpPr txBox="1"/>
          </xdr:nvSpPr>
          <xdr:spPr>
            <a:xfrm>
              <a:off x="578304" y="112505218"/>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i="1">
                            <a:latin typeface="Cambria Math" panose="02040503050406030204" pitchFamily="18" charset="0"/>
                          </a:rPr>
                        </m:ctrlPr>
                      </m:sSupPr>
                      <m:e>
                        <m:r>
                          <m:rPr>
                            <m:sty m:val="p"/>
                          </m:rPr>
                          <a:rPr lang="es-CO" sz="1100" b="0" i="0">
                            <a:latin typeface="Cambria Math" panose="02040503050406030204" pitchFamily="18" charset="0"/>
                          </a:rPr>
                          <m:t>m</m:t>
                        </m:r>
                      </m:e>
                      <m:sup>
                        <m:r>
                          <a:rPr lang="es-CO" sz="1100" b="0" i="1">
                            <a:latin typeface="Cambria Math" panose="02040503050406030204" pitchFamily="18" charset="0"/>
                          </a:rPr>
                          <m:t>2</m:t>
                        </m:r>
                      </m:sup>
                    </m:sSup>
                  </m:oMath>
                </m:oMathPara>
              </a14:m>
              <a:endParaRPr lang="es-ES" sz="1100"/>
            </a:p>
          </xdr:txBody>
        </xdr:sp>
      </mc:Choice>
      <mc:Fallback xmlns="">
        <xdr:sp macro="" textlink="">
          <xdr:nvSpPr>
            <xdr:cNvPr id="129" name="TextBox 128"/>
            <xdr:cNvSpPr txBox="1"/>
          </xdr:nvSpPr>
          <xdr:spPr>
            <a:xfrm>
              <a:off x="578304" y="112505218"/>
              <a:ext cx="225253" cy="168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m</a:t>
              </a:r>
              <a:r>
                <a:rPr lang="es-ES" sz="1100" b="0" i="0">
                  <a:latin typeface="Cambria Math" panose="02040503050406030204" pitchFamily="18" charset="0"/>
                </a:rPr>
                <a:t>^</a:t>
              </a:r>
              <a:r>
                <a:rPr lang="es-CO" sz="1100" b="0" i="0">
                  <a:latin typeface="Cambria Math" panose="02040503050406030204" pitchFamily="18" charset="0"/>
                </a:rPr>
                <a:t>2</a:t>
              </a:r>
              <a:endParaRPr lang="es-ES" sz="1100"/>
            </a:p>
          </xdr:txBody>
        </xdr:sp>
      </mc:Fallback>
    </mc:AlternateContent>
    <xdr:clientData/>
  </xdr:one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Module">
  <a:themeElements>
    <a:clrScheme name="Module">
      <a:dk1>
        <a:sysClr val="windowText" lastClr="000000"/>
      </a:dk1>
      <a:lt1>
        <a:sysClr val="window" lastClr="FFFFFF"/>
      </a:lt1>
      <a:dk2>
        <a:srgbClr val="5A6378"/>
      </a:dk2>
      <a:lt2>
        <a:srgbClr val="D4D4D6"/>
      </a:lt2>
      <a:accent1>
        <a:srgbClr val="F0AD00"/>
      </a:accent1>
      <a:accent2>
        <a:srgbClr val="60B5CC"/>
      </a:accent2>
      <a:accent3>
        <a:srgbClr val="E66C7D"/>
      </a:accent3>
      <a:accent4>
        <a:srgbClr val="6BB76D"/>
      </a:accent4>
      <a:accent5>
        <a:srgbClr val="E88651"/>
      </a:accent5>
      <a:accent6>
        <a:srgbClr val="C64847"/>
      </a:accent6>
      <a:hlink>
        <a:srgbClr val="168BBA"/>
      </a:hlink>
      <a:folHlink>
        <a:srgbClr val="680000"/>
      </a:folHlink>
    </a:clrScheme>
    <a:fontScheme name="Module">
      <a:majorFont>
        <a:latin typeface="Arial"/>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Modul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7500"/>
                <a:satMod val="137000"/>
              </a:schemeClr>
            </a:gs>
            <a:gs pos="55000">
              <a:schemeClr val="phClr">
                <a:shade val="69000"/>
                <a:satMod val="137000"/>
              </a:schemeClr>
            </a:gs>
            <a:gs pos="100000">
              <a:schemeClr val="phClr">
                <a:shade val="98000"/>
                <a:satMod val="137000"/>
              </a:schemeClr>
            </a:gs>
          </a:gsLst>
          <a:lin ang="16200000" scaled="0"/>
        </a:gradFill>
      </a:fillStyleLst>
      <a:lnStyleLst>
        <a:ln w="6350" cap="rnd" cmpd="sng" algn="ctr">
          <a:solidFill>
            <a:schemeClr val="phClr">
              <a:shade val="95000"/>
              <a:satMod val="105000"/>
            </a:schemeClr>
          </a:solidFill>
          <a:prstDash val="solid"/>
        </a:ln>
        <a:ln w="48000" cap="flat" cmpd="thickThin" algn="ctr">
          <a:solidFill>
            <a:schemeClr val="phClr"/>
          </a:solidFill>
          <a:prstDash val="solid"/>
        </a:ln>
        <a:ln w="48500" cap="flat" cmpd="thickThin" algn="ctr">
          <a:solidFill>
            <a:schemeClr val="phClr"/>
          </a:solidFill>
          <a:prstDash val="solid"/>
        </a:ln>
      </a:lnStyleLst>
      <a:effectStyleLst>
        <a:effectStyle>
          <a:effectLst>
            <a:outerShdw blurRad="45000" dist="25000" dir="5400000" rotWithShape="0">
              <a:srgbClr val="000000">
                <a:alpha val="38000"/>
              </a:srgbClr>
            </a:outerShdw>
          </a:effectLst>
        </a:effectStyle>
        <a:effectStyle>
          <a:effectLst>
            <a:outerShdw blurRad="39000" dist="25400" dir="5400000" rotWithShape="0">
              <a:srgbClr val="000000">
                <a:alpha val="38000"/>
              </a:srgbClr>
            </a:outerShdw>
          </a:effectLst>
        </a:effectStyle>
        <a:effectStyle>
          <a:effectLst>
            <a:outerShdw blurRad="39000" dist="25400" dir="5400000" rotWithShape="0">
              <a:srgbClr val="000000">
                <a:alpha val="38000"/>
              </a:srgbClr>
            </a:outerShdw>
          </a:effectLst>
          <a:scene3d>
            <a:camera prst="orthographicFront" fov="0">
              <a:rot lat="0" lon="0" rev="0"/>
            </a:camera>
            <a:lightRig rig="threePt" dir="t">
              <a:rot lat="0" lon="0" rev="1800000"/>
            </a:lightRig>
          </a:scene3d>
          <a:sp3d prstMaterial="matte">
            <a:bevelT h="20000"/>
          </a:sp3d>
        </a:effectStyle>
      </a:effectStyleLst>
      <a:bgFillStyleLst>
        <a:solidFill>
          <a:schemeClr val="phClr"/>
        </a:solidFill>
        <a:gradFill rotWithShape="1">
          <a:gsLst>
            <a:gs pos="0">
              <a:schemeClr val="phClr">
                <a:tint val="48000"/>
                <a:satMod val="300000"/>
              </a:schemeClr>
            </a:gs>
            <a:gs pos="12000">
              <a:schemeClr val="phClr">
                <a:tint val="48000"/>
                <a:satMod val="300000"/>
              </a:schemeClr>
            </a:gs>
            <a:gs pos="20000">
              <a:schemeClr val="phClr">
                <a:tint val="49000"/>
                <a:satMod val="300000"/>
              </a:schemeClr>
            </a:gs>
            <a:gs pos="100000">
              <a:schemeClr val="phClr">
                <a:shade val="30000"/>
              </a:schemeClr>
            </a:gs>
          </a:gsLst>
          <a:path path="circle">
            <a:fillToRect l="10000" t="-25000" r="10000" b="125000"/>
          </a:path>
        </a:gradFill>
        <a:blipFill>
          <a:blip xmlns:r="http://schemas.openxmlformats.org/officeDocument/2006/relationships" r:embed="rId1">
            <a:duotone>
              <a:schemeClr val="phClr">
                <a:shade val="75000"/>
                <a:satMod val="105000"/>
              </a:schemeClr>
              <a:schemeClr val="phClr">
                <a:tint val="95000"/>
                <a:satMod val="105000"/>
              </a:schemeClr>
            </a:duotone>
          </a:blip>
          <a:tile tx="0" ty="0" sx="38000" sy="38000" flip="none" algn="tl"/>
        </a:blipFill>
      </a:bgFillStyleLst>
    </a:fmtScheme>
  </a:themeElements>
  <a:objectDefaults/>
  <a:extraClrSchemeLst/>
  <a:custClrLst>
    <a:custClr name="Hilti Red">
      <a:srgbClr val="D10024"/>
    </a:custClr>
  </a:custClr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BT722"/>
  <sheetViews>
    <sheetView topLeftCell="O4" zoomScaleNormal="100" workbookViewId="0">
      <selection activeCell="T10" sqref="T10"/>
    </sheetView>
  </sheetViews>
  <sheetFormatPr defaultColWidth="8.85546875" defaultRowHeight="12.75" x14ac:dyDescent="0.2"/>
  <cols>
    <col min="1" max="2" width="2.7109375" style="1" customWidth="1"/>
    <col min="3" max="3" width="17.5703125" style="1" customWidth="1"/>
    <col min="4" max="4" width="5.85546875" style="1" bestFit="1" customWidth="1"/>
    <col min="5" max="5" width="29" style="1" bestFit="1" customWidth="1"/>
    <col min="6" max="6" width="43.85546875" style="1" bestFit="1" customWidth="1"/>
    <col min="7" max="7" width="8.85546875" style="1" customWidth="1"/>
    <col min="8" max="8" width="8.5703125" style="1" bestFit="1" customWidth="1"/>
    <col min="9" max="9" width="8.5703125" style="1" customWidth="1"/>
    <col min="10" max="11" width="9.7109375" style="1" customWidth="1"/>
    <col min="12" max="12" width="8.5703125" style="1" customWidth="1"/>
    <col min="13" max="14" width="2.7109375" style="1" customWidth="1"/>
    <col min="15" max="15" width="2.7109375" style="97" customWidth="1"/>
    <col min="16" max="16" width="17.5703125" style="97" bestFit="1" customWidth="1"/>
    <col min="17" max="17" width="2.7109375" style="97" customWidth="1"/>
    <col min="18" max="18" width="3.7109375" style="97" customWidth="1"/>
    <col min="19" max="19" width="2.7109375" style="97" customWidth="1"/>
    <col min="20" max="20" width="32.140625" style="97" bestFit="1" customWidth="1"/>
    <col min="21" max="21" width="2.7109375" style="97" customWidth="1"/>
    <col min="22" max="22" width="3.7109375" style="97" customWidth="1"/>
    <col min="23" max="23" width="2.7109375" style="97" customWidth="1"/>
    <col min="24" max="24" width="36.140625" style="97" bestFit="1" customWidth="1"/>
    <col min="25" max="25" width="2.7109375" style="97" customWidth="1"/>
    <col min="26" max="27" width="18.7109375" style="97" customWidth="1"/>
    <col min="28" max="28" width="2.7109375" style="97" customWidth="1"/>
    <col min="29" max="29" width="3.7109375" style="97" customWidth="1"/>
    <col min="30" max="30" width="2.7109375" style="98" customWidth="1"/>
    <col min="31" max="31" width="11.7109375" style="98" bestFit="1" customWidth="1"/>
    <col min="32" max="45" width="14.28515625" style="98" customWidth="1"/>
    <col min="46" max="46" width="2.7109375" style="98" customWidth="1"/>
    <col min="47" max="47" width="10.85546875" style="97"/>
    <col min="48" max="51" width="8.85546875" style="1"/>
    <col min="52" max="52" width="9.140625" style="5" customWidth="1"/>
    <col min="53" max="53" width="10.140625" style="5" bestFit="1" customWidth="1"/>
    <col min="54" max="70" width="8.85546875" style="5"/>
    <col min="71" max="16384" width="8.85546875" style="1"/>
  </cols>
  <sheetData>
    <row r="2" spans="2:46" ht="27" customHeight="1" thickBot="1" x14ac:dyDescent="0.25"/>
    <row r="3" spans="2:46" x14ac:dyDescent="0.2">
      <c r="B3" s="132"/>
      <c r="C3" s="238" t="s">
        <v>841</v>
      </c>
      <c r="D3" s="139"/>
      <c r="E3" s="238" t="s">
        <v>837</v>
      </c>
      <c r="F3" s="238" t="s">
        <v>860</v>
      </c>
      <c r="G3" s="240" t="s">
        <v>834</v>
      </c>
      <c r="H3" s="240" t="s">
        <v>835</v>
      </c>
      <c r="I3" s="240" t="s">
        <v>844</v>
      </c>
      <c r="J3" s="240" t="s">
        <v>838</v>
      </c>
      <c r="K3" s="240"/>
      <c r="L3" s="240" t="s">
        <v>840</v>
      </c>
      <c r="M3" s="133"/>
      <c r="O3" s="232" t="s">
        <v>836</v>
      </c>
      <c r="P3" s="233"/>
      <c r="Q3" s="234"/>
      <c r="S3" s="232" t="s">
        <v>879</v>
      </c>
      <c r="T3" s="233"/>
      <c r="U3" s="234"/>
      <c r="W3" s="232" t="s">
        <v>886</v>
      </c>
      <c r="X3" s="233"/>
      <c r="Y3" s="234"/>
      <c r="AD3" s="224" t="s">
        <v>697</v>
      </c>
      <c r="AE3" s="225"/>
      <c r="AF3" s="225"/>
      <c r="AG3" s="225"/>
      <c r="AH3" s="225"/>
      <c r="AI3" s="225"/>
      <c r="AJ3" s="225"/>
      <c r="AK3" s="225"/>
      <c r="AL3" s="225"/>
      <c r="AM3" s="225"/>
      <c r="AN3" s="225"/>
      <c r="AO3" s="225"/>
      <c r="AP3" s="225"/>
      <c r="AQ3" s="225"/>
      <c r="AR3" s="225"/>
      <c r="AS3" s="225"/>
      <c r="AT3" s="226"/>
    </row>
    <row r="4" spans="2:46" ht="13.5" customHeight="1" thickBot="1" x14ac:dyDescent="0.25">
      <c r="B4" s="134"/>
      <c r="C4" s="239"/>
      <c r="D4" s="140"/>
      <c r="E4" s="239"/>
      <c r="F4" s="239"/>
      <c r="G4" s="241"/>
      <c r="H4" s="241"/>
      <c r="I4" s="241"/>
      <c r="J4" s="241"/>
      <c r="K4" s="241"/>
      <c r="L4" s="241"/>
      <c r="M4" s="135"/>
      <c r="O4" s="235"/>
      <c r="P4" s="236"/>
      <c r="Q4" s="237"/>
      <c r="S4" s="235"/>
      <c r="T4" s="236"/>
      <c r="U4" s="237"/>
      <c r="W4" s="235"/>
      <c r="X4" s="236"/>
      <c r="Y4" s="237"/>
      <c r="AD4" s="227"/>
      <c r="AE4" s="228"/>
      <c r="AF4" s="228"/>
      <c r="AG4" s="228"/>
      <c r="AH4" s="228"/>
      <c r="AI4" s="228"/>
      <c r="AJ4" s="228"/>
      <c r="AK4" s="228"/>
      <c r="AL4" s="228"/>
      <c r="AM4" s="228"/>
      <c r="AN4" s="228"/>
      <c r="AO4" s="228"/>
      <c r="AP4" s="228"/>
      <c r="AQ4" s="228"/>
      <c r="AR4" s="228"/>
      <c r="AS4" s="228"/>
      <c r="AT4" s="229"/>
    </row>
    <row r="5" spans="2:46" x14ac:dyDescent="0.2">
      <c r="B5" s="37"/>
      <c r="C5" s="2"/>
      <c r="D5" s="2"/>
      <c r="E5" s="130" t="s">
        <v>406</v>
      </c>
      <c r="F5" s="130"/>
      <c r="G5" s="130" t="s">
        <v>260</v>
      </c>
      <c r="H5" s="130" t="s">
        <v>260</v>
      </c>
      <c r="I5" s="130" t="s">
        <v>839</v>
      </c>
      <c r="J5" s="130" t="s">
        <v>843</v>
      </c>
      <c r="K5" s="130"/>
      <c r="L5" s="130" t="s">
        <v>2</v>
      </c>
      <c r="M5" s="38"/>
      <c r="O5" s="99"/>
      <c r="P5" s="100"/>
      <c r="Q5" s="101"/>
      <c r="S5" s="99"/>
      <c r="T5" s="100"/>
      <c r="U5" s="101"/>
      <c r="W5" s="99"/>
      <c r="X5" s="100"/>
      <c r="Y5" s="101"/>
      <c r="AD5" s="102"/>
      <c r="AE5" s="103"/>
      <c r="AF5" s="104"/>
      <c r="AG5" s="104"/>
      <c r="AH5" s="104"/>
      <c r="AI5" s="104"/>
      <c r="AJ5" s="104"/>
      <c r="AK5" s="104"/>
      <c r="AL5" s="104"/>
      <c r="AM5" s="104"/>
      <c r="AN5" s="104"/>
      <c r="AO5" s="104"/>
      <c r="AP5" s="104"/>
      <c r="AQ5" s="104"/>
      <c r="AR5" s="104"/>
      <c r="AS5" s="104"/>
      <c r="AT5" s="105"/>
    </row>
    <row r="6" spans="2:46" ht="14.25" x14ac:dyDescent="0.2">
      <c r="B6" s="33"/>
      <c r="C6" s="4" t="s">
        <v>814</v>
      </c>
      <c r="D6" s="4" t="s">
        <v>854</v>
      </c>
      <c r="E6" s="4" t="s">
        <v>815</v>
      </c>
      <c r="F6" s="4" t="str">
        <f>E6</f>
        <v>HVU ⅜" x 3 ½"</v>
      </c>
      <c r="G6" s="136">
        <f>(3/8)*25.4</f>
        <v>9.5249999999999986</v>
      </c>
      <c r="H6" s="136"/>
      <c r="I6" s="136">
        <f>0.37*16.3871</f>
        <v>6.0632270000000004</v>
      </c>
      <c r="J6" s="137">
        <f>I6/9</f>
        <v>0.67369188888888898</v>
      </c>
      <c r="K6" s="137"/>
      <c r="L6" s="136"/>
      <c r="M6" s="34"/>
      <c r="O6" s="99"/>
      <c r="P6" s="4" t="s">
        <v>814</v>
      </c>
      <c r="Q6" s="101"/>
      <c r="R6" s="106"/>
      <c r="S6" s="99"/>
      <c r="T6" s="4" t="s">
        <v>887</v>
      </c>
      <c r="U6" s="101"/>
      <c r="V6" s="106"/>
      <c r="W6" s="99"/>
      <c r="X6" s="100" t="s">
        <v>405</v>
      </c>
      <c r="Y6" s="101"/>
      <c r="AC6" s="106"/>
      <c r="AD6" s="107"/>
      <c r="AE6" s="108"/>
      <c r="AF6" s="109" t="e">
        <f>#REF!</f>
        <v>#REF!</v>
      </c>
      <c r="AG6" s="109" t="e">
        <f>#REF!</f>
        <v>#REF!</v>
      </c>
      <c r="AH6" s="109" t="e">
        <f>#REF!</f>
        <v>#REF!</v>
      </c>
      <c r="AI6" s="109" t="s">
        <v>699</v>
      </c>
      <c r="AJ6" s="109" t="s">
        <v>700</v>
      </c>
      <c r="AK6" s="109" t="s">
        <v>701</v>
      </c>
      <c r="AL6" s="109" t="s">
        <v>702</v>
      </c>
      <c r="AM6" s="109" t="s">
        <v>703</v>
      </c>
      <c r="AN6" s="109" t="s">
        <v>2</v>
      </c>
      <c r="AO6" s="109"/>
      <c r="AP6" s="109"/>
      <c r="AQ6" s="109"/>
      <c r="AR6" s="109"/>
      <c r="AS6" s="109"/>
      <c r="AT6" s="105"/>
    </row>
    <row r="7" spans="2:46" ht="12.75" customHeight="1" x14ac:dyDescent="0.2">
      <c r="B7" s="33"/>
      <c r="C7" s="4" t="s">
        <v>814</v>
      </c>
      <c r="D7" s="4" t="s">
        <v>854</v>
      </c>
      <c r="E7" s="4" t="s">
        <v>816</v>
      </c>
      <c r="F7" s="4" t="str">
        <f t="shared" ref="F7:F12" si="0">E7</f>
        <v>HVU ½" x 4 ¼"</v>
      </c>
      <c r="G7" s="136">
        <f>(4/8)*25.4</f>
        <v>12.7</v>
      </c>
      <c r="H7" s="136"/>
      <c r="I7" s="136">
        <f>0.61*16.3871</f>
        <v>9.9961310000000001</v>
      </c>
      <c r="J7" s="137">
        <f>I7/11</f>
        <v>0.90873918181818181</v>
      </c>
      <c r="K7" s="137"/>
      <c r="L7" s="136"/>
      <c r="M7" s="34"/>
      <c r="O7" s="99"/>
      <c r="P7" s="4" t="s">
        <v>407</v>
      </c>
      <c r="Q7" s="101"/>
      <c r="R7" s="106"/>
      <c r="S7" s="99"/>
      <c r="T7" s="4" t="s">
        <v>888</v>
      </c>
      <c r="U7" s="101"/>
      <c r="V7" s="106"/>
      <c r="W7" s="99"/>
      <c r="X7" s="100" t="s">
        <v>892</v>
      </c>
      <c r="Y7" s="101"/>
      <c r="AC7" s="106"/>
      <c r="AD7" s="107"/>
      <c r="AE7" s="104">
        <v>1</v>
      </c>
      <c r="AF7" s="104">
        <v>2</v>
      </c>
      <c r="AG7" s="104">
        <v>3</v>
      </c>
      <c r="AH7" s="104">
        <v>4</v>
      </c>
      <c r="AI7" s="104">
        <v>5</v>
      </c>
      <c r="AJ7" s="104">
        <v>6</v>
      </c>
      <c r="AK7" s="104">
        <v>7</v>
      </c>
      <c r="AL7" s="104">
        <v>8</v>
      </c>
      <c r="AM7" s="104">
        <v>9</v>
      </c>
      <c r="AN7" s="104">
        <v>10</v>
      </c>
      <c r="AO7" s="104">
        <v>11</v>
      </c>
      <c r="AP7" s="104">
        <v>12</v>
      </c>
      <c r="AQ7" s="104">
        <v>13</v>
      </c>
      <c r="AR7" s="104">
        <v>14</v>
      </c>
      <c r="AS7" s="104">
        <v>15</v>
      </c>
      <c r="AT7" s="105"/>
    </row>
    <row r="8" spans="2:46" x14ac:dyDescent="0.2">
      <c r="B8" s="33"/>
      <c r="C8" s="4" t="s">
        <v>814</v>
      </c>
      <c r="D8" s="4" t="s">
        <v>854</v>
      </c>
      <c r="E8" s="4" t="s">
        <v>817</v>
      </c>
      <c r="F8" s="4" t="str">
        <f t="shared" si="0"/>
        <v>HVU ⅝" x 5"</v>
      </c>
      <c r="G8" s="136">
        <f>(5/8)*25.4</f>
        <v>15.875</v>
      </c>
      <c r="H8" s="136"/>
      <c r="I8" s="136">
        <f>1.04*16.3871</f>
        <v>17.042584000000002</v>
      </c>
      <c r="J8" s="137">
        <f>I8/12.5</f>
        <v>1.3634067200000002</v>
      </c>
      <c r="K8" s="137"/>
      <c r="L8" s="136"/>
      <c r="M8" s="34"/>
      <c r="O8" s="99"/>
      <c r="P8" s="4" t="s">
        <v>743</v>
      </c>
      <c r="Q8" s="101"/>
      <c r="S8" s="99"/>
      <c r="T8" s="4" t="s">
        <v>926</v>
      </c>
      <c r="U8" s="101"/>
      <c r="W8" s="99"/>
      <c r="X8" s="100"/>
      <c r="Y8" s="101"/>
      <c r="AD8" s="102"/>
      <c r="AE8" s="113">
        <v>330</v>
      </c>
      <c r="AF8" s="114">
        <v>315</v>
      </c>
      <c r="AG8" s="114">
        <v>315</v>
      </c>
      <c r="AH8" s="114">
        <v>315</v>
      </c>
      <c r="AI8" s="115"/>
      <c r="AJ8" s="116"/>
      <c r="AK8" s="116"/>
      <c r="AL8" s="116"/>
      <c r="AM8" s="116"/>
      <c r="AN8" s="116"/>
      <c r="AO8" s="116"/>
      <c r="AP8" s="116"/>
      <c r="AQ8" s="116"/>
      <c r="AR8" s="116"/>
      <c r="AS8" s="116"/>
      <c r="AT8" s="105"/>
    </row>
    <row r="9" spans="2:46" ht="12.75" customHeight="1" x14ac:dyDescent="0.2">
      <c r="B9" s="33"/>
      <c r="C9" s="4" t="s">
        <v>814</v>
      </c>
      <c r="D9" s="4" t="s">
        <v>854</v>
      </c>
      <c r="E9" s="4" t="s">
        <v>818</v>
      </c>
      <c r="F9" s="4" t="str">
        <f t="shared" si="0"/>
        <v>HVU ¾" x 6 ⅝"</v>
      </c>
      <c r="G9" s="136">
        <f>(6/8)*25.4</f>
        <v>19.049999999999997</v>
      </c>
      <c r="H9" s="136"/>
      <c r="I9" s="136">
        <f>2.07*16.3871</f>
        <v>33.921296999999996</v>
      </c>
      <c r="J9" s="137">
        <f>I9/17</f>
        <v>1.9953704117647055</v>
      </c>
      <c r="K9" s="137"/>
      <c r="L9" s="136"/>
      <c r="M9" s="34"/>
      <c r="O9" s="99"/>
      <c r="P9" s="4" t="s">
        <v>744</v>
      </c>
      <c r="Q9" s="101"/>
      <c r="S9" s="99"/>
      <c r="T9" s="4" t="s">
        <v>927</v>
      </c>
      <c r="U9" s="101"/>
      <c r="W9" s="99"/>
      <c r="X9" s="4" t="s">
        <v>880</v>
      </c>
      <c r="Y9" s="101"/>
      <c r="AD9" s="102"/>
      <c r="AE9" s="113">
        <v>400</v>
      </c>
      <c r="AF9" s="114"/>
      <c r="AG9" s="114"/>
      <c r="AH9" s="114"/>
      <c r="AI9" s="115"/>
      <c r="AJ9" s="116"/>
      <c r="AK9" s="116"/>
      <c r="AL9" s="116"/>
      <c r="AM9" s="116"/>
      <c r="AN9" s="116"/>
      <c r="AO9" s="116"/>
      <c r="AP9" s="116"/>
      <c r="AQ9" s="116"/>
      <c r="AR9" s="116"/>
      <c r="AS9" s="116"/>
      <c r="AT9" s="105"/>
    </row>
    <row r="10" spans="2:46" x14ac:dyDescent="0.2">
      <c r="B10" s="33"/>
      <c r="C10" s="4" t="s">
        <v>814</v>
      </c>
      <c r="D10" s="4" t="s">
        <v>854</v>
      </c>
      <c r="E10" s="4" t="s">
        <v>819</v>
      </c>
      <c r="F10" s="4" t="str">
        <f t="shared" si="0"/>
        <v>HVU ⅞" x 6 ⅝"</v>
      </c>
      <c r="G10" s="136">
        <f>(7/8)*25.4</f>
        <v>22.224999999999998</v>
      </c>
      <c r="H10" s="136"/>
      <c r="I10" s="136">
        <f>2.62*16.3871</f>
        <v>42.934201999999999</v>
      </c>
      <c r="J10" s="137">
        <f>I10/17</f>
        <v>2.5255412941176472</v>
      </c>
      <c r="K10" s="137"/>
      <c r="L10" s="136"/>
      <c r="M10" s="34"/>
      <c r="O10" s="99"/>
      <c r="P10" s="4" t="s">
        <v>921</v>
      </c>
      <c r="Q10" s="101"/>
      <c r="S10" s="99"/>
      <c r="T10" s="4" t="s">
        <v>896</v>
      </c>
      <c r="U10" s="101"/>
      <c r="W10" s="99"/>
      <c r="X10" s="4" t="s">
        <v>881</v>
      </c>
      <c r="Y10" s="101"/>
      <c r="AD10" s="102"/>
      <c r="AE10" s="113">
        <v>450</v>
      </c>
      <c r="AF10" s="114"/>
      <c r="AG10" s="114"/>
      <c r="AH10" s="114"/>
      <c r="AI10" s="115"/>
      <c r="AJ10" s="116"/>
      <c r="AK10" s="116"/>
      <c r="AL10" s="116"/>
      <c r="AM10" s="116"/>
      <c r="AN10" s="116"/>
      <c r="AO10" s="116"/>
      <c r="AP10" s="116"/>
      <c r="AQ10" s="116"/>
      <c r="AR10" s="116"/>
      <c r="AS10" s="116"/>
      <c r="AT10" s="105"/>
    </row>
    <row r="11" spans="2:46" ht="13.5" thickBot="1" x14ac:dyDescent="0.25">
      <c r="B11" s="33"/>
      <c r="C11" s="4" t="s">
        <v>814</v>
      </c>
      <c r="D11" s="4" t="s">
        <v>854</v>
      </c>
      <c r="E11" s="4" t="s">
        <v>820</v>
      </c>
      <c r="F11" s="4" t="str">
        <f t="shared" si="0"/>
        <v>HVU 1" x 8 ¼"</v>
      </c>
      <c r="G11" s="136">
        <f>(8/8)*25.4</f>
        <v>25.4</v>
      </c>
      <c r="H11" s="136"/>
      <c r="I11" s="136">
        <f>4.21*16.3871</f>
        <v>68.989690999999993</v>
      </c>
      <c r="J11" s="137">
        <f>I11/21</f>
        <v>3.2852233809523805</v>
      </c>
      <c r="K11" s="137"/>
      <c r="L11" s="136"/>
      <c r="M11" s="34"/>
      <c r="O11" s="99"/>
      <c r="P11" s="4" t="s">
        <v>920</v>
      </c>
      <c r="Q11" s="101"/>
      <c r="S11" s="118"/>
      <c r="T11" s="119"/>
      <c r="U11" s="120"/>
      <c r="W11" s="99"/>
      <c r="X11" s="4" t="s">
        <v>894</v>
      </c>
      <c r="Y11" s="101"/>
      <c r="AD11" s="102"/>
      <c r="AE11" s="113">
        <v>500</v>
      </c>
      <c r="AF11" s="114">
        <v>450</v>
      </c>
      <c r="AG11" s="114">
        <v>450</v>
      </c>
      <c r="AH11" s="114">
        <v>450</v>
      </c>
      <c r="AI11" s="115"/>
      <c r="AJ11" s="116"/>
      <c r="AK11" s="116"/>
      <c r="AL11" s="116"/>
      <c r="AM11" s="116"/>
      <c r="AN11" s="116"/>
      <c r="AO11" s="116"/>
      <c r="AP11" s="116"/>
      <c r="AQ11" s="116"/>
      <c r="AR11" s="116"/>
      <c r="AS11" s="116"/>
      <c r="AT11" s="105"/>
    </row>
    <row r="12" spans="2:46" x14ac:dyDescent="0.2">
      <c r="B12" s="33"/>
      <c r="C12" s="4" t="s">
        <v>814</v>
      </c>
      <c r="D12" s="4" t="s">
        <v>854</v>
      </c>
      <c r="E12" s="4" t="s">
        <v>821</v>
      </c>
      <c r="F12" s="4" t="str">
        <f t="shared" si="0"/>
        <v>HVU 1 ¼" x 12"</v>
      </c>
      <c r="G12" s="136">
        <f>(10/8)*25.4</f>
        <v>31.75</v>
      </c>
      <c r="H12" s="136"/>
      <c r="I12" s="136">
        <f>9.46*16.3871</f>
        <v>155.02196600000002</v>
      </c>
      <c r="J12" s="137">
        <f>I12/30.5</f>
        <v>5.0826874098360664</v>
      </c>
      <c r="K12" s="137"/>
      <c r="L12" s="136"/>
      <c r="M12" s="34"/>
      <c r="O12" s="99"/>
      <c r="P12" s="4" t="s">
        <v>885</v>
      </c>
      <c r="Q12" s="101"/>
      <c r="W12" s="99"/>
      <c r="X12" s="4" t="s">
        <v>893</v>
      </c>
      <c r="Y12" s="101"/>
      <c r="AD12" s="102"/>
      <c r="AE12" s="113">
        <v>585</v>
      </c>
      <c r="AF12" s="114"/>
      <c r="AG12" s="114"/>
      <c r="AH12" s="114"/>
      <c r="AI12" s="115"/>
      <c r="AJ12" s="116"/>
      <c r="AK12" s="116">
        <v>500</v>
      </c>
      <c r="AL12" s="116"/>
      <c r="AM12" s="116"/>
      <c r="AN12" s="116"/>
      <c r="AO12" s="116"/>
      <c r="AP12" s="116"/>
      <c r="AQ12" s="116"/>
      <c r="AR12" s="116"/>
      <c r="AS12" s="116"/>
      <c r="AT12" s="105"/>
    </row>
    <row r="13" spans="2:46" x14ac:dyDescent="0.2">
      <c r="B13" s="33"/>
      <c r="C13" s="4" t="s">
        <v>814</v>
      </c>
      <c r="D13" s="4"/>
      <c r="E13" s="39" t="s">
        <v>261</v>
      </c>
      <c r="F13" s="4" t="str">
        <f>E13</f>
        <v>--------------------</v>
      </c>
      <c r="G13" s="136"/>
      <c r="H13" s="136"/>
      <c r="I13" s="136"/>
      <c r="J13" s="137"/>
      <c r="K13" s="137"/>
      <c r="L13" s="136"/>
      <c r="M13" s="34"/>
      <c r="O13" s="99"/>
      <c r="P13" s="4" t="s">
        <v>823</v>
      </c>
      <c r="Q13" s="101"/>
      <c r="W13" s="99"/>
      <c r="X13" s="4" t="s">
        <v>745</v>
      </c>
      <c r="Y13" s="101"/>
      <c r="AD13" s="102"/>
      <c r="AE13" s="113">
        <v>600</v>
      </c>
      <c r="AF13" s="114"/>
      <c r="AG13" s="114"/>
      <c r="AH13" s="114"/>
      <c r="AI13" s="115"/>
      <c r="AJ13" s="116">
        <v>430</v>
      </c>
      <c r="AK13" s="116"/>
      <c r="AL13" s="116">
        <v>450</v>
      </c>
      <c r="AM13" s="116">
        <v>560</v>
      </c>
      <c r="AN13" s="116"/>
      <c r="AO13" s="116"/>
      <c r="AP13" s="116"/>
      <c r="AQ13" s="116"/>
      <c r="AR13" s="116"/>
      <c r="AS13" s="116"/>
      <c r="AT13" s="105"/>
    </row>
    <row r="14" spans="2:46" x14ac:dyDescent="0.2">
      <c r="B14" s="33"/>
      <c r="C14" s="4" t="s">
        <v>814</v>
      </c>
      <c r="D14" s="4" t="s">
        <v>855</v>
      </c>
      <c r="E14" s="4" t="s">
        <v>170</v>
      </c>
      <c r="F14" s="4" t="str">
        <f t="shared" ref="F14:F45" si="1">CONCATENATE(C14," + ",E14)</f>
        <v>Hilti HVA + HAS ⅜" x 5 ⅛"</v>
      </c>
      <c r="G14" s="136">
        <f>(3/8)*25.4</f>
        <v>9.5249999999999986</v>
      </c>
      <c r="H14" s="136">
        <f>(7/16)*25.4</f>
        <v>11.112499999999999</v>
      </c>
      <c r="I14" s="136"/>
      <c r="J14" s="137">
        <f>$J$6</f>
        <v>0.67369188888888898</v>
      </c>
      <c r="K14" s="137"/>
      <c r="L14" s="136"/>
      <c r="M14" s="34"/>
      <c r="O14" s="99"/>
      <c r="P14" s="4" t="s">
        <v>882</v>
      </c>
      <c r="Q14" s="101"/>
      <c r="W14" s="99"/>
      <c r="X14" s="4"/>
      <c r="Y14" s="101"/>
      <c r="AD14" s="102"/>
      <c r="AE14" s="113">
        <v>650</v>
      </c>
      <c r="AF14" s="114"/>
      <c r="AG14" s="114"/>
      <c r="AH14" s="114"/>
      <c r="AI14" s="115">
        <v>560</v>
      </c>
      <c r="AJ14" s="116"/>
      <c r="AK14" s="116"/>
      <c r="AL14" s="116"/>
      <c r="AM14" s="116"/>
      <c r="AN14" s="116"/>
      <c r="AO14" s="116"/>
      <c r="AP14" s="116"/>
      <c r="AQ14" s="116"/>
      <c r="AR14" s="116"/>
      <c r="AS14" s="116"/>
      <c r="AT14" s="105"/>
    </row>
    <row r="15" spans="2:46" x14ac:dyDescent="0.2">
      <c r="B15" s="33"/>
      <c r="C15" s="4" t="s">
        <v>814</v>
      </c>
      <c r="D15" s="4" t="s">
        <v>855</v>
      </c>
      <c r="E15" s="4" t="s">
        <v>171</v>
      </c>
      <c r="F15" s="4" t="str">
        <f t="shared" si="1"/>
        <v>Hilti HVA + HAS ⅜" x 8"</v>
      </c>
      <c r="G15" s="136">
        <f>(3/8)*25.4</f>
        <v>9.5249999999999986</v>
      </c>
      <c r="H15" s="136">
        <f>(7/16)*25.4</f>
        <v>11.112499999999999</v>
      </c>
      <c r="I15" s="136"/>
      <c r="J15" s="137">
        <f>$J$6</f>
        <v>0.67369188888888898</v>
      </c>
      <c r="K15" s="137"/>
      <c r="L15" s="136"/>
      <c r="M15" s="34"/>
      <c r="O15" s="99"/>
      <c r="P15" s="4" t="s">
        <v>883</v>
      </c>
      <c r="Q15" s="101"/>
      <c r="T15" s="1"/>
      <c r="W15" s="99"/>
      <c r="X15" s="4" t="s">
        <v>889</v>
      </c>
      <c r="Y15" s="101"/>
      <c r="AD15" s="102"/>
      <c r="AE15" s="113">
        <v>700</v>
      </c>
      <c r="AF15" s="114"/>
      <c r="AG15" s="114"/>
      <c r="AH15" s="114"/>
      <c r="AI15" s="115"/>
      <c r="AJ15" s="116"/>
      <c r="AK15" s="116"/>
      <c r="AL15" s="116"/>
      <c r="AM15" s="116"/>
      <c r="AN15" s="116"/>
      <c r="AO15" s="116"/>
      <c r="AP15" s="116"/>
      <c r="AQ15" s="116"/>
      <c r="AR15" s="116"/>
      <c r="AS15" s="116"/>
      <c r="AT15" s="105"/>
    </row>
    <row r="16" spans="2:46" x14ac:dyDescent="0.2">
      <c r="B16" s="33"/>
      <c r="C16" s="4" t="s">
        <v>814</v>
      </c>
      <c r="D16" s="4" t="s">
        <v>855</v>
      </c>
      <c r="E16" s="4" t="s">
        <v>172</v>
      </c>
      <c r="F16" s="4" t="str">
        <f t="shared" si="1"/>
        <v>Hilti HVA + HAS ⅜" x 12"</v>
      </c>
      <c r="G16" s="136">
        <f>(3/8)*25.4</f>
        <v>9.5249999999999986</v>
      </c>
      <c r="H16" s="136">
        <f>(7/16)*25.4</f>
        <v>11.112499999999999</v>
      </c>
      <c r="I16" s="136"/>
      <c r="J16" s="137">
        <f>$J$6</f>
        <v>0.67369188888888898</v>
      </c>
      <c r="K16" s="137"/>
      <c r="L16" s="136"/>
      <c r="M16" s="34"/>
      <c r="O16" s="99"/>
      <c r="P16" s="4" t="s">
        <v>889</v>
      </c>
      <c r="Q16" s="101"/>
      <c r="T16" s="1"/>
      <c r="W16" s="99"/>
      <c r="X16" s="97" t="s">
        <v>890</v>
      </c>
      <c r="Y16" s="101"/>
      <c r="AD16" s="102"/>
      <c r="AE16" s="113">
        <v>750</v>
      </c>
      <c r="AF16" s="114"/>
      <c r="AG16" s="114"/>
      <c r="AH16" s="114"/>
      <c r="AI16" s="115"/>
      <c r="AJ16" s="116"/>
      <c r="AK16" s="116"/>
      <c r="AL16" s="116"/>
      <c r="AM16" s="116"/>
      <c r="AN16" s="116"/>
      <c r="AO16" s="116"/>
      <c r="AP16" s="116"/>
      <c r="AQ16" s="116"/>
      <c r="AR16" s="116"/>
      <c r="AS16" s="116"/>
      <c r="AT16" s="105"/>
    </row>
    <row r="17" spans="2:46" x14ac:dyDescent="0.2">
      <c r="B17" s="33"/>
      <c r="C17" s="4" t="s">
        <v>814</v>
      </c>
      <c r="D17" s="4" t="s">
        <v>855</v>
      </c>
      <c r="E17" s="4" t="s">
        <v>173</v>
      </c>
      <c r="F17" s="4" t="str">
        <f t="shared" si="1"/>
        <v>Hilti HVA + HAS ½" x 6 ½"</v>
      </c>
      <c r="G17" s="136">
        <f>(4/8)*25.4</f>
        <v>12.7</v>
      </c>
      <c r="H17" s="136">
        <f>(9/16)*25.4</f>
        <v>14.2875</v>
      </c>
      <c r="I17" s="136"/>
      <c r="J17" s="137">
        <f>$J$7</f>
        <v>0.90873918181818181</v>
      </c>
      <c r="K17" s="137"/>
      <c r="L17" s="136"/>
      <c r="M17" s="34"/>
      <c r="O17" s="99"/>
      <c r="P17" s="4" t="s">
        <v>923</v>
      </c>
      <c r="Q17" s="101"/>
      <c r="T17" s="1"/>
      <c r="W17" s="99"/>
      <c r="X17" s="97" t="s">
        <v>891</v>
      </c>
      <c r="Y17" s="101"/>
      <c r="AD17" s="102"/>
      <c r="AE17" s="113">
        <v>800</v>
      </c>
      <c r="AF17" s="114"/>
      <c r="AG17" s="114"/>
      <c r="AH17" s="114"/>
      <c r="AI17" s="115"/>
      <c r="AJ17" s="116"/>
      <c r="AK17" s="116"/>
      <c r="AL17" s="116"/>
      <c r="AM17" s="116"/>
      <c r="AN17" s="116"/>
      <c r="AO17" s="116"/>
      <c r="AP17" s="116"/>
      <c r="AQ17" s="116"/>
      <c r="AR17" s="116"/>
      <c r="AS17" s="116"/>
      <c r="AT17" s="105"/>
    </row>
    <row r="18" spans="2:46" x14ac:dyDescent="0.2">
      <c r="B18" s="33"/>
      <c r="C18" s="4" t="s">
        <v>814</v>
      </c>
      <c r="D18" s="4" t="s">
        <v>855</v>
      </c>
      <c r="E18" s="4" t="s">
        <v>174</v>
      </c>
      <c r="F18" s="4" t="str">
        <f t="shared" si="1"/>
        <v>Hilti HVA + HAS ½" x 8"</v>
      </c>
      <c r="G18" s="136">
        <f>(4/8)*25.4</f>
        <v>12.7</v>
      </c>
      <c r="H18" s="136">
        <f>(9/16)*25.4</f>
        <v>14.2875</v>
      </c>
      <c r="I18" s="136"/>
      <c r="J18" s="137">
        <f>$J$7</f>
        <v>0.90873918181818181</v>
      </c>
      <c r="K18" s="137"/>
      <c r="L18" s="136"/>
      <c r="M18" s="34"/>
      <c r="O18" s="99"/>
      <c r="P18" s="4" t="s">
        <v>885</v>
      </c>
      <c r="Q18" s="101"/>
      <c r="T18" s="1"/>
      <c r="W18" s="99"/>
      <c r="X18" s="97" t="s">
        <v>895</v>
      </c>
      <c r="Y18" s="101"/>
      <c r="AD18" s="102"/>
      <c r="AE18" s="113">
        <v>1000</v>
      </c>
      <c r="AF18" s="114"/>
      <c r="AG18" s="114"/>
      <c r="AH18" s="114"/>
      <c r="AI18" s="115"/>
      <c r="AJ18" s="116"/>
      <c r="AK18" s="116"/>
      <c r="AL18" s="116"/>
      <c r="AM18" s="116"/>
      <c r="AN18" s="116"/>
      <c r="AO18" s="116"/>
      <c r="AP18" s="116"/>
      <c r="AQ18" s="116"/>
      <c r="AR18" s="116"/>
      <c r="AS18" s="116"/>
      <c r="AT18" s="105"/>
    </row>
    <row r="19" spans="2:46" ht="13.5" thickBot="1" x14ac:dyDescent="0.25">
      <c r="B19" s="33"/>
      <c r="C19" s="4" t="s">
        <v>814</v>
      </c>
      <c r="D19" s="4" t="s">
        <v>855</v>
      </c>
      <c r="E19" s="4" t="s">
        <v>175</v>
      </c>
      <c r="F19" s="4" t="str">
        <f t="shared" si="1"/>
        <v>Hilti HVA + HAS ½" x 12"</v>
      </c>
      <c r="G19" s="136">
        <f>(4/8)*25.4</f>
        <v>12.7</v>
      </c>
      <c r="H19" s="136">
        <f>(9/16)*25.4</f>
        <v>14.2875</v>
      </c>
      <c r="I19" s="136"/>
      <c r="J19" s="137">
        <f>$J$7</f>
        <v>0.90873918181818181</v>
      </c>
      <c r="K19" s="137"/>
      <c r="L19" s="136"/>
      <c r="M19" s="34"/>
      <c r="O19" s="99"/>
      <c r="P19" s="4" t="s">
        <v>884</v>
      </c>
      <c r="Q19" s="101"/>
      <c r="W19" s="118"/>
      <c r="X19" s="119"/>
      <c r="Y19" s="120"/>
      <c r="AD19" s="102"/>
      <c r="AE19" s="113">
        <v>1400</v>
      </c>
      <c r="AF19" s="114">
        <v>1325</v>
      </c>
      <c r="AG19" s="114">
        <v>1325</v>
      </c>
      <c r="AH19" s="114">
        <v>1325</v>
      </c>
      <c r="AI19" s="115"/>
      <c r="AJ19" s="116"/>
      <c r="AK19" s="116"/>
      <c r="AL19" s="116"/>
      <c r="AM19" s="116"/>
      <c r="AN19" s="116"/>
      <c r="AO19" s="116"/>
      <c r="AP19" s="116"/>
      <c r="AQ19" s="116"/>
      <c r="AR19" s="116"/>
      <c r="AS19" s="116"/>
      <c r="AT19" s="105"/>
    </row>
    <row r="20" spans="2:46" x14ac:dyDescent="0.2">
      <c r="B20" s="33"/>
      <c r="C20" s="4" t="s">
        <v>814</v>
      </c>
      <c r="D20" s="4" t="s">
        <v>855</v>
      </c>
      <c r="E20" s="4" t="s">
        <v>178</v>
      </c>
      <c r="F20" s="4" t="str">
        <f t="shared" si="1"/>
        <v>Hilti HVA + HAS ⅝" x 8"</v>
      </c>
      <c r="G20" s="136">
        <f>(5/8)*25.4</f>
        <v>15.875</v>
      </c>
      <c r="H20" s="136">
        <f>(11/16)*25.4</f>
        <v>17.462499999999999</v>
      </c>
      <c r="I20" s="136"/>
      <c r="J20" s="137">
        <f>$J$8</f>
        <v>1.3634067200000002</v>
      </c>
      <c r="K20" s="137"/>
      <c r="L20" s="136"/>
      <c r="M20" s="34"/>
      <c r="O20" s="99"/>
      <c r="P20" s="4" t="s">
        <v>831</v>
      </c>
      <c r="Q20" s="101"/>
      <c r="T20" s="1"/>
      <c r="AD20" s="102"/>
      <c r="AE20" s="113"/>
      <c r="AF20" s="114"/>
      <c r="AG20" s="114"/>
      <c r="AH20" s="114"/>
      <c r="AI20" s="115"/>
      <c r="AJ20" s="116"/>
      <c r="AK20" s="116"/>
      <c r="AL20" s="116"/>
      <c r="AM20" s="116"/>
      <c r="AN20" s="116"/>
      <c r="AO20" s="116"/>
      <c r="AP20" s="116"/>
      <c r="AQ20" s="116"/>
      <c r="AR20" s="116"/>
      <c r="AS20" s="116"/>
      <c r="AT20" s="105"/>
    </row>
    <row r="21" spans="2:46" x14ac:dyDescent="0.2">
      <c r="B21" s="33"/>
      <c r="C21" s="4" t="s">
        <v>814</v>
      </c>
      <c r="D21" s="4" t="s">
        <v>855</v>
      </c>
      <c r="E21" s="4" t="s">
        <v>179</v>
      </c>
      <c r="F21" s="4" t="str">
        <f t="shared" si="1"/>
        <v>Hilti HVA + HAS ⅝" x 9"</v>
      </c>
      <c r="G21" s="136">
        <f>(5/8)*25.4</f>
        <v>15.875</v>
      </c>
      <c r="H21" s="136">
        <f>(11/16)*25.4</f>
        <v>17.462499999999999</v>
      </c>
      <c r="I21" s="136"/>
      <c r="J21" s="137">
        <f>$J$8</f>
        <v>1.3634067200000002</v>
      </c>
      <c r="K21" s="137"/>
      <c r="L21" s="136"/>
      <c r="M21" s="34"/>
      <c r="O21" s="99"/>
      <c r="P21" s="4" t="s">
        <v>825</v>
      </c>
      <c r="Q21" s="101"/>
      <c r="T21" s="1"/>
      <c r="X21" s="163"/>
      <c r="AD21" s="102"/>
      <c r="AE21" s="113"/>
      <c r="AF21" s="114"/>
      <c r="AG21" s="114"/>
      <c r="AH21" s="114"/>
      <c r="AI21" s="115"/>
      <c r="AJ21" s="116"/>
      <c r="AK21" s="116"/>
      <c r="AL21" s="116"/>
      <c r="AM21" s="116"/>
      <c r="AN21" s="116"/>
      <c r="AO21" s="116"/>
      <c r="AP21" s="116"/>
      <c r="AQ21" s="116"/>
      <c r="AR21" s="116"/>
      <c r="AS21" s="116"/>
      <c r="AT21" s="105"/>
    </row>
    <row r="22" spans="2:46" x14ac:dyDescent="0.2">
      <c r="B22" s="33"/>
      <c r="C22" s="4" t="s">
        <v>814</v>
      </c>
      <c r="D22" s="4" t="s">
        <v>855</v>
      </c>
      <c r="E22" s="4" t="s">
        <v>180</v>
      </c>
      <c r="F22" s="4" t="str">
        <f t="shared" si="1"/>
        <v>Hilti HVA + HAS ⅝" x 12"</v>
      </c>
      <c r="G22" s="136">
        <f>(5/8)*25.4</f>
        <v>15.875</v>
      </c>
      <c r="H22" s="136">
        <f>(11/16)*25.4</f>
        <v>17.462499999999999</v>
      </c>
      <c r="I22" s="136"/>
      <c r="J22" s="137">
        <f>$J$8</f>
        <v>1.3634067200000002</v>
      </c>
      <c r="K22" s="137"/>
      <c r="L22" s="136"/>
      <c r="M22" s="34"/>
      <c r="O22" s="99"/>
      <c r="P22" s="4" t="s">
        <v>826</v>
      </c>
      <c r="Q22" s="101"/>
      <c r="T22" s="1"/>
      <c r="X22" s="1"/>
      <c r="AD22" s="102"/>
      <c r="AE22" s="113"/>
      <c r="AF22" s="114"/>
      <c r="AG22" s="114"/>
      <c r="AH22" s="114"/>
      <c r="AI22" s="115"/>
      <c r="AJ22" s="116"/>
      <c r="AK22" s="116"/>
      <c r="AL22" s="116"/>
      <c r="AM22" s="116"/>
      <c r="AN22" s="116"/>
      <c r="AO22" s="116"/>
      <c r="AP22" s="116"/>
      <c r="AQ22" s="116"/>
      <c r="AR22" s="116"/>
      <c r="AS22" s="116"/>
      <c r="AT22" s="105"/>
    </row>
    <row r="23" spans="2:46" x14ac:dyDescent="0.2">
      <c r="B23" s="33"/>
      <c r="C23" s="4" t="s">
        <v>814</v>
      </c>
      <c r="D23" s="4" t="s">
        <v>855</v>
      </c>
      <c r="E23" s="4" t="s">
        <v>181</v>
      </c>
      <c r="F23" s="4" t="str">
        <f t="shared" si="1"/>
        <v>Hilti HVA + HAS ¾" x 10"</v>
      </c>
      <c r="G23" s="136">
        <f>(6/8)*25.4</f>
        <v>19.049999999999997</v>
      </c>
      <c r="H23" s="136">
        <f>(14/16)*25.4</f>
        <v>22.224999999999998</v>
      </c>
      <c r="I23" s="136"/>
      <c r="J23" s="137">
        <f>$J$9</f>
        <v>1.9953704117647055</v>
      </c>
      <c r="K23" s="137"/>
      <c r="L23" s="136"/>
      <c r="M23" s="34"/>
      <c r="O23" s="99"/>
      <c r="P23" s="97" t="s">
        <v>922</v>
      </c>
      <c r="Q23" s="101"/>
      <c r="T23" s="1"/>
      <c r="X23" s="1"/>
      <c r="AD23" s="102"/>
      <c r="AE23" s="113"/>
      <c r="AF23" s="114"/>
      <c r="AG23" s="114"/>
      <c r="AH23" s="114"/>
      <c r="AI23" s="115"/>
      <c r="AJ23" s="116"/>
      <c r="AK23" s="116"/>
      <c r="AL23" s="116"/>
      <c r="AM23" s="116"/>
      <c r="AN23" s="116"/>
      <c r="AO23" s="116"/>
      <c r="AP23" s="116"/>
      <c r="AQ23" s="116"/>
      <c r="AR23" s="116"/>
      <c r="AS23" s="116"/>
      <c r="AT23" s="105"/>
    </row>
    <row r="24" spans="2:46" x14ac:dyDescent="0.2">
      <c r="B24" s="33"/>
      <c r="C24" s="4" t="s">
        <v>814</v>
      </c>
      <c r="D24" s="4" t="s">
        <v>855</v>
      </c>
      <c r="E24" s="4" t="s">
        <v>182</v>
      </c>
      <c r="F24" s="4" t="str">
        <f t="shared" si="1"/>
        <v>Hilti HVA + HAS ¾" x 14"</v>
      </c>
      <c r="G24" s="136">
        <f>(6/8)*25.4</f>
        <v>19.049999999999997</v>
      </c>
      <c r="H24" s="136">
        <f>(14/16)*25.4</f>
        <v>22.224999999999998</v>
      </c>
      <c r="I24" s="136"/>
      <c r="J24" s="137">
        <f>$J$9</f>
        <v>1.9953704117647055</v>
      </c>
      <c r="K24" s="137"/>
      <c r="L24" s="136"/>
      <c r="M24" s="34"/>
      <c r="O24" s="99"/>
      <c r="P24" s="4" t="s">
        <v>924</v>
      </c>
      <c r="Q24" s="101"/>
      <c r="T24" s="1"/>
      <c r="X24" s="1"/>
      <c r="AD24" s="102"/>
      <c r="AE24" s="121"/>
      <c r="AF24" s="114"/>
      <c r="AG24" s="114"/>
      <c r="AH24" s="114"/>
      <c r="AI24" s="115"/>
      <c r="AJ24" s="116"/>
      <c r="AK24" s="116"/>
      <c r="AL24" s="116"/>
      <c r="AM24" s="116"/>
      <c r="AN24" s="116"/>
      <c r="AO24" s="116"/>
      <c r="AP24" s="116"/>
      <c r="AQ24" s="116"/>
      <c r="AR24" s="116"/>
      <c r="AS24" s="116"/>
      <c r="AT24" s="105"/>
    </row>
    <row r="25" spans="2:46" x14ac:dyDescent="0.2">
      <c r="B25" s="33"/>
      <c r="C25" s="4" t="s">
        <v>814</v>
      </c>
      <c r="D25" s="4" t="s">
        <v>855</v>
      </c>
      <c r="E25" s="4" t="s">
        <v>183</v>
      </c>
      <c r="F25" s="4" t="str">
        <f t="shared" si="1"/>
        <v>Hilti HVA + HAS ¾" x 19"</v>
      </c>
      <c r="G25" s="136">
        <f>(6/8)*25.4</f>
        <v>19.049999999999997</v>
      </c>
      <c r="H25" s="136">
        <f>(14/16)*25.4</f>
        <v>22.224999999999998</v>
      </c>
      <c r="I25" s="136"/>
      <c r="J25" s="137">
        <f>$J$9</f>
        <v>1.9953704117647055</v>
      </c>
      <c r="K25" s="137"/>
      <c r="L25" s="136"/>
      <c r="M25" s="34"/>
      <c r="O25" s="99"/>
      <c r="P25" s="97" t="s">
        <v>885</v>
      </c>
      <c r="Q25" s="101"/>
      <c r="T25" s="1"/>
      <c r="X25" s="1"/>
      <c r="AD25" s="102"/>
      <c r="AE25" s="113" t="s">
        <v>2</v>
      </c>
      <c r="AF25" s="114"/>
      <c r="AG25" s="114"/>
      <c r="AH25" s="114"/>
      <c r="AI25" s="115"/>
      <c r="AJ25" s="116"/>
      <c r="AK25" s="116"/>
      <c r="AL25" s="116"/>
      <c r="AM25" s="116"/>
      <c r="AN25" s="116"/>
      <c r="AO25" s="116"/>
      <c r="AP25" s="116"/>
      <c r="AQ25" s="116"/>
      <c r="AR25" s="116"/>
      <c r="AS25" s="116"/>
      <c r="AT25" s="105"/>
    </row>
    <row r="26" spans="2:46" x14ac:dyDescent="0.2">
      <c r="B26" s="33"/>
      <c r="C26" s="4" t="s">
        <v>814</v>
      </c>
      <c r="D26" s="4" t="s">
        <v>855</v>
      </c>
      <c r="E26" s="4" t="s">
        <v>184</v>
      </c>
      <c r="F26" s="4" t="str">
        <f t="shared" si="1"/>
        <v>Hilti HVA + HAS ⅞" x 10"</v>
      </c>
      <c r="G26" s="136">
        <f>(7/8)*25.4</f>
        <v>22.224999999999998</v>
      </c>
      <c r="H26" s="136">
        <f>(16/16)*25.4</f>
        <v>25.4</v>
      </c>
      <c r="I26" s="136"/>
      <c r="J26" s="137">
        <f>$J$10</f>
        <v>2.5255412941176472</v>
      </c>
      <c r="K26" s="137"/>
      <c r="L26" s="136"/>
      <c r="M26" s="34"/>
      <c r="O26" s="99"/>
      <c r="P26" s="4" t="s">
        <v>824</v>
      </c>
      <c r="Q26" s="101"/>
      <c r="T26" s="1"/>
      <c r="X26" s="1"/>
      <c r="AD26" s="102"/>
      <c r="AE26" s="104"/>
      <c r="AF26" s="104"/>
      <c r="AG26" s="104"/>
      <c r="AH26" s="104"/>
      <c r="AI26" s="104"/>
      <c r="AJ26" s="104"/>
      <c r="AK26" s="104"/>
      <c r="AL26" s="104"/>
      <c r="AM26" s="104"/>
      <c r="AN26" s="104"/>
      <c r="AO26" s="104"/>
      <c r="AP26" s="104"/>
      <c r="AQ26" s="104"/>
      <c r="AR26" s="104"/>
      <c r="AS26" s="104"/>
      <c r="AT26" s="105"/>
    </row>
    <row r="27" spans="2:46" x14ac:dyDescent="0.2">
      <c r="B27" s="33"/>
      <c r="C27" s="4" t="s">
        <v>814</v>
      </c>
      <c r="D27" s="4" t="s">
        <v>855</v>
      </c>
      <c r="E27" s="4" t="s">
        <v>185</v>
      </c>
      <c r="F27" s="4" t="str">
        <f t="shared" si="1"/>
        <v>Hilti HVA + HAS ⅞" x 14"</v>
      </c>
      <c r="G27" s="136">
        <f>(7/8)*25.4</f>
        <v>22.224999999999998</v>
      </c>
      <c r="H27" s="136">
        <f>(16/16)*25.4</f>
        <v>25.4</v>
      </c>
      <c r="I27" s="136"/>
      <c r="J27" s="137">
        <f>$J$10</f>
        <v>2.5255412941176472</v>
      </c>
      <c r="K27" s="137"/>
      <c r="L27" s="136"/>
      <c r="M27" s="34"/>
      <c r="O27" s="99"/>
      <c r="P27" s="4" t="s">
        <v>828</v>
      </c>
      <c r="Q27" s="101"/>
      <c r="T27" s="1"/>
      <c r="X27" s="1"/>
      <c r="AD27" s="102"/>
      <c r="AE27" s="104"/>
      <c r="AF27" s="104"/>
      <c r="AG27" s="104"/>
      <c r="AH27" s="104"/>
      <c r="AI27" s="104"/>
      <c r="AJ27" s="104"/>
      <c r="AK27" s="104"/>
      <c r="AL27" s="104"/>
      <c r="AM27" s="104"/>
      <c r="AN27" s="104"/>
      <c r="AO27" s="104"/>
      <c r="AP27" s="104"/>
      <c r="AQ27" s="104"/>
      <c r="AR27" s="104"/>
      <c r="AS27" s="104"/>
      <c r="AT27" s="105"/>
    </row>
    <row r="28" spans="2:46" x14ac:dyDescent="0.2">
      <c r="B28" s="33"/>
      <c r="C28" s="4" t="s">
        <v>814</v>
      </c>
      <c r="D28" s="4" t="s">
        <v>855</v>
      </c>
      <c r="E28" s="4" t="s">
        <v>177</v>
      </c>
      <c r="F28" s="4" t="str">
        <f t="shared" si="1"/>
        <v>Hilti HVA + HAS ⅞" x 19"</v>
      </c>
      <c r="G28" s="136">
        <f>(7/8)*25.4</f>
        <v>22.224999999999998</v>
      </c>
      <c r="H28" s="136">
        <f>(16/16)*25.4</f>
        <v>25.4</v>
      </c>
      <c r="I28" s="136"/>
      <c r="J28" s="137">
        <f>$J$10</f>
        <v>2.5255412941176472</v>
      </c>
      <c r="K28" s="137"/>
      <c r="L28" s="136"/>
      <c r="M28" s="34"/>
      <c r="O28" s="99"/>
      <c r="P28" s="97" t="s">
        <v>832</v>
      </c>
      <c r="Q28" s="101"/>
      <c r="X28" s="1"/>
      <c r="AD28" s="102"/>
      <c r="AE28" s="104"/>
      <c r="AF28" s="104"/>
      <c r="AG28" s="104"/>
      <c r="AH28" s="104"/>
      <c r="AI28" s="104"/>
      <c r="AJ28" s="104"/>
      <c r="AK28" s="104"/>
      <c r="AL28" s="104"/>
      <c r="AM28" s="104"/>
      <c r="AN28" s="104"/>
      <c r="AO28" s="104"/>
      <c r="AP28" s="104"/>
      <c r="AQ28" s="104"/>
      <c r="AR28" s="104"/>
      <c r="AS28" s="104"/>
      <c r="AT28" s="105"/>
    </row>
    <row r="29" spans="2:46" x14ac:dyDescent="0.2">
      <c r="B29" s="33"/>
      <c r="C29" s="4" t="s">
        <v>814</v>
      </c>
      <c r="D29" s="4" t="s">
        <v>855</v>
      </c>
      <c r="E29" s="4" t="s">
        <v>176</v>
      </c>
      <c r="F29" s="4" t="str">
        <f t="shared" si="1"/>
        <v>Hilti HVA + HAS 1" x 12"</v>
      </c>
      <c r="G29" s="136">
        <f>(8/8)*25.4</f>
        <v>25.4</v>
      </c>
      <c r="H29" s="136">
        <f>(18/16)*25.4</f>
        <v>28.574999999999999</v>
      </c>
      <c r="I29" s="136"/>
      <c r="J29" s="137">
        <f>$J$11</f>
        <v>3.2852233809523805</v>
      </c>
      <c r="K29" s="137"/>
      <c r="L29" s="136"/>
      <c r="M29" s="34"/>
      <c r="O29" s="99"/>
      <c r="P29" s="4" t="s">
        <v>925</v>
      </c>
      <c r="Q29" s="101"/>
      <c r="T29" s="1"/>
      <c r="X29" s="1"/>
      <c r="AD29" s="102"/>
      <c r="AE29" s="104"/>
      <c r="AF29" s="104"/>
      <c r="AG29" s="104"/>
      <c r="AH29" s="104"/>
      <c r="AI29" s="104"/>
      <c r="AJ29" s="104"/>
      <c r="AK29" s="104"/>
      <c r="AL29" s="104"/>
      <c r="AM29" s="104"/>
      <c r="AN29" s="104"/>
      <c r="AO29" s="104"/>
      <c r="AP29" s="104"/>
      <c r="AQ29" s="104"/>
      <c r="AR29" s="104"/>
      <c r="AS29" s="104"/>
      <c r="AT29" s="105"/>
    </row>
    <row r="30" spans="2:46" x14ac:dyDescent="0.2">
      <c r="B30" s="33"/>
      <c r="C30" s="4" t="s">
        <v>814</v>
      </c>
      <c r="D30" s="4" t="s">
        <v>855</v>
      </c>
      <c r="E30" s="4" t="s">
        <v>186</v>
      </c>
      <c r="F30" s="4" t="str">
        <f t="shared" si="1"/>
        <v>Hilti HVA + HAS 1" x 16"</v>
      </c>
      <c r="G30" s="136">
        <f>(8/8)*25.4</f>
        <v>25.4</v>
      </c>
      <c r="H30" s="136">
        <f>(18/16)*25.4</f>
        <v>28.574999999999999</v>
      </c>
      <c r="I30" s="136"/>
      <c r="J30" s="137">
        <f>$J$11</f>
        <v>3.2852233809523805</v>
      </c>
      <c r="K30" s="137"/>
      <c r="L30" s="136"/>
      <c r="M30" s="34"/>
      <c r="O30" s="99"/>
      <c r="P30" s="4" t="s">
        <v>885</v>
      </c>
      <c r="Q30" s="101"/>
      <c r="T30" s="1"/>
      <c r="X30" s="1"/>
      <c r="AD30" s="102"/>
      <c r="AE30" s="104"/>
      <c r="AF30" s="104"/>
      <c r="AG30" s="104"/>
      <c r="AH30" s="104"/>
      <c r="AI30" s="104"/>
      <c r="AJ30" s="104"/>
      <c r="AK30" s="104"/>
      <c r="AL30" s="104"/>
      <c r="AM30" s="104"/>
      <c r="AN30" s="104"/>
      <c r="AO30" s="104"/>
      <c r="AP30" s="104"/>
      <c r="AQ30" s="104"/>
      <c r="AR30" s="104"/>
      <c r="AS30" s="104"/>
      <c r="AT30" s="105"/>
    </row>
    <row r="31" spans="2:46" x14ac:dyDescent="0.2">
      <c r="B31" s="33"/>
      <c r="C31" s="4" t="s">
        <v>814</v>
      </c>
      <c r="D31" s="4" t="s">
        <v>855</v>
      </c>
      <c r="E31" s="4" t="s">
        <v>187</v>
      </c>
      <c r="F31" s="4" t="str">
        <f t="shared" si="1"/>
        <v>Hilti HVA + HAS 1" x 20"</v>
      </c>
      <c r="G31" s="136">
        <f>(8/8)*25.4</f>
        <v>25.4</v>
      </c>
      <c r="H31" s="136">
        <f>(18/16)*25.4</f>
        <v>28.574999999999999</v>
      </c>
      <c r="I31" s="136"/>
      <c r="J31" s="137">
        <f>$J$11</f>
        <v>3.2852233809523805</v>
      </c>
      <c r="K31" s="137"/>
      <c r="L31" s="136"/>
      <c r="M31" s="34"/>
      <c r="O31" s="99"/>
      <c r="P31" s="4" t="s">
        <v>827</v>
      </c>
      <c r="Q31" s="101"/>
      <c r="T31"/>
      <c r="X31" s="1"/>
      <c r="AD31" s="102"/>
      <c r="AE31" s="104"/>
      <c r="AF31" s="104"/>
      <c r="AG31" s="104"/>
      <c r="AH31" s="104"/>
      <c r="AI31" s="104"/>
      <c r="AJ31" s="104"/>
      <c r="AK31" s="104"/>
      <c r="AL31" s="104"/>
      <c r="AM31" s="104"/>
      <c r="AN31" s="104"/>
      <c r="AO31" s="104"/>
      <c r="AP31" s="104"/>
      <c r="AQ31" s="104"/>
      <c r="AR31" s="104"/>
      <c r="AS31" s="104"/>
      <c r="AT31" s="105"/>
    </row>
    <row r="32" spans="2:46" x14ac:dyDescent="0.2">
      <c r="B32" s="33"/>
      <c r="C32" s="4" t="s">
        <v>814</v>
      </c>
      <c r="D32" s="4" t="s">
        <v>855</v>
      </c>
      <c r="E32" s="4" t="s">
        <v>188</v>
      </c>
      <c r="F32" s="4" t="str">
        <f t="shared" si="1"/>
        <v>Hilti HVA + HAS 1 ¼" x 16"</v>
      </c>
      <c r="G32" s="136">
        <f>(10/8)*25.4</f>
        <v>31.75</v>
      </c>
      <c r="H32" s="136">
        <f>(22/16)*25.4</f>
        <v>34.924999999999997</v>
      </c>
      <c r="I32" s="136"/>
      <c r="J32" s="137">
        <f>$J$12</f>
        <v>5.0826874098360664</v>
      </c>
      <c r="K32" s="137"/>
      <c r="L32" s="136"/>
      <c r="M32" s="34"/>
      <c r="O32" s="99"/>
      <c r="P32" s="4" t="s">
        <v>830</v>
      </c>
      <c r="Q32" s="101"/>
      <c r="T32"/>
      <c r="X32" s="1"/>
      <c r="AD32" s="102"/>
      <c r="AE32" s="104"/>
      <c r="AF32" s="104"/>
      <c r="AG32" s="104"/>
      <c r="AH32" s="104"/>
      <c r="AI32" s="104"/>
      <c r="AJ32" s="104"/>
      <c r="AK32" s="104"/>
      <c r="AL32" s="104"/>
      <c r="AM32" s="104"/>
      <c r="AN32" s="104"/>
      <c r="AO32" s="104"/>
      <c r="AP32" s="104"/>
      <c r="AQ32" s="104"/>
      <c r="AR32" s="104"/>
      <c r="AS32" s="104"/>
      <c r="AT32" s="105"/>
    </row>
    <row r="33" spans="2:46" x14ac:dyDescent="0.2">
      <c r="B33" s="33"/>
      <c r="C33" s="4" t="s">
        <v>814</v>
      </c>
      <c r="D33" s="4" t="s">
        <v>855</v>
      </c>
      <c r="E33" s="4" t="s">
        <v>189</v>
      </c>
      <c r="F33" s="4" t="str">
        <f t="shared" si="1"/>
        <v>Hilti HVA + HAS 1 ¼" x 22"</v>
      </c>
      <c r="G33" s="136">
        <f>(10/8)*25.4</f>
        <v>31.75</v>
      </c>
      <c r="H33" s="136">
        <f>ROUND((22/16)*25.4,0)</f>
        <v>35</v>
      </c>
      <c r="I33" s="136"/>
      <c r="J33" s="137">
        <f>$J$12</f>
        <v>5.0826874098360664</v>
      </c>
      <c r="K33" s="137"/>
      <c r="L33" s="136"/>
      <c r="M33" s="34"/>
      <c r="O33" s="99"/>
      <c r="P33" s="4" t="s">
        <v>822</v>
      </c>
      <c r="Q33" s="101"/>
      <c r="T33"/>
      <c r="X33" s="1"/>
      <c r="AD33" s="102"/>
      <c r="AE33" s="104"/>
      <c r="AF33" s="104"/>
      <c r="AG33" s="104"/>
      <c r="AH33" s="104"/>
      <c r="AI33" s="104"/>
      <c r="AJ33" s="104"/>
      <c r="AK33" s="104"/>
      <c r="AL33" s="104"/>
      <c r="AM33" s="104"/>
      <c r="AN33" s="104"/>
      <c r="AO33" s="104"/>
      <c r="AP33" s="104"/>
      <c r="AQ33" s="104"/>
      <c r="AR33" s="104"/>
      <c r="AS33" s="104"/>
      <c r="AT33" s="105"/>
    </row>
    <row r="34" spans="2:46" x14ac:dyDescent="0.2">
      <c r="B34" s="33"/>
      <c r="C34" s="4" t="s">
        <v>814</v>
      </c>
      <c r="D34" s="4" t="s">
        <v>855</v>
      </c>
      <c r="E34" s="4" t="s">
        <v>190</v>
      </c>
      <c r="F34" s="4" t="str">
        <f t="shared" si="1"/>
        <v xml:space="preserve">Hilti HVA + HAS HDG ⅜" x 5 ⅛" </v>
      </c>
      <c r="G34" s="136">
        <f>(3/8)*25.4</f>
        <v>9.5249999999999986</v>
      </c>
      <c r="H34" s="136">
        <f>(7/16)*25.4</f>
        <v>11.112499999999999</v>
      </c>
      <c r="I34" s="136"/>
      <c r="J34" s="137">
        <f>$J$6</f>
        <v>0.67369188888888898</v>
      </c>
      <c r="K34" s="137"/>
      <c r="L34" s="136"/>
      <c r="M34" s="34"/>
      <c r="O34" s="99"/>
      <c r="P34" s="4" t="s">
        <v>885</v>
      </c>
      <c r="Q34" s="101"/>
      <c r="T34"/>
      <c r="X34" s="1"/>
      <c r="AD34" s="102"/>
      <c r="AE34" s="104"/>
      <c r="AF34" s="104"/>
      <c r="AG34" s="104"/>
      <c r="AH34" s="104"/>
      <c r="AI34" s="104"/>
      <c r="AJ34" s="104"/>
      <c r="AK34" s="104"/>
      <c r="AL34" s="104"/>
      <c r="AM34" s="104"/>
      <c r="AN34" s="104"/>
      <c r="AO34" s="104"/>
      <c r="AP34" s="104"/>
      <c r="AQ34" s="104"/>
      <c r="AR34" s="104"/>
      <c r="AS34" s="104"/>
      <c r="AT34" s="105"/>
    </row>
    <row r="35" spans="2:46" ht="13.5" thickBot="1" x14ac:dyDescent="0.25">
      <c r="B35" s="33"/>
      <c r="C35" s="4" t="s">
        <v>814</v>
      </c>
      <c r="D35" s="4" t="s">
        <v>855</v>
      </c>
      <c r="E35" s="4" t="s">
        <v>191</v>
      </c>
      <c r="F35" s="4" t="str">
        <f t="shared" si="1"/>
        <v>Hilti HVA + HAS HDG ⅜" x 8"</v>
      </c>
      <c r="G35" s="136">
        <f>(3/8)*25.4</f>
        <v>9.5249999999999986</v>
      </c>
      <c r="H35" s="136">
        <f>(7/16)*25.4</f>
        <v>11.112499999999999</v>
      </c>
      <c r="I35" s="136"/>
      <c r="J35" s="137">
        <f>$J$6</f>
        <v>0.67369188888888898</v>
      </c>
      <c r="K35" s="137"/>
      <c r="L35" s="136"/>
      <c r="M35" s="34"/>
      <c r="O35" s="118"/>
      <c r="P35" s="119"/>
      <c r="Q35" s="120"/>
      <c r="T35"/>
      <c r="X35" s="1"/>
      <c r="AD35" s="102"/>
      <c r="AE35" s="104"/>
      <c r="AF35" s="104"/>
      <c r="AG35" s="104"/>
      <c r="AH35" s="104"/>
      <c r="AI35" s="104"/>
      <c r="AJ35" s="104"/>
      <c r="AK35" s="104"/>
      <c r="AL35" s="104"/>
      <c r="AM35" s="104"/>
      <c r="AN35" s="104"/>
      <c r="AO35" s="104"/>
      <c r="AP35" s="104"/>
      <c r="AQ35" s="104"/>
      <c r="AR35" s="104"/>
      <c r="AS35" s="104"/>
      <c r="AT35" s="105"/>
    </row>
    <row r="36" spans="2:46" x14ac:dyDescent="0.2">
      <c r="B36" s="33"/>
      <c r="C36" s="4" t="s">
        <v>814</v>
      </c>
      <c r="D36" s="4" t="s">
        <v>855</v>
      </c>
      <c r="E36" s="4" t="s">
        <v>192</v>
      </c>
      <c r="F36" s="4" t="str">
        <f t="shared" si="1"/>
        <v>Hilti HVA + HAS HDG ⅜" x 12"</v>
      </c>
      <c r="G36" s="136">
        <f>(3/8)*25.4</f>
        <v>9.5249999999999986</v>
      </c>
      <c r="H36" s="136">
        <f>(7/16)*25.4</f>
        <v>11.112499999999999</v>
      </c>
      <c r="I36" s="136"/>
      <c r="J36" s="137">
        <f>$J$6</f>
        <v>0.67369188888888898</v>
      </c>
      <c r="K36" s="137"/>
      <c r="L36" s="136"/>
      <c r="M36" s="34"/>
      <c r="T36"/>
      <c r="X36" s="1"/>
      <c r="AD36" s="102"/>
      <c r="AE36" s="104"/>
      <c r="AF36" s="104"/>
      <c r="AG36" s="104"/>
      <c r="AH36" s="104"/>
      <c r="AI36" s="104"/>
      <c r="AJ36" s="104"/>
      <c r="AK36" s="104"/>
      <c r="AL36" s="104"/>
      <c r="AM36" s="104"/>
      <c r="AN36" s="104"/>
      <c r="AO36" s="104"/>
      <c r="AP36" s="104"/>
      <c r="AQ36" s="104"/>
      <c r="AR36" s="104"/>
      <c r="AS36" s="104"/>
      <c r="AT36" s="105"/>
    </row>
    <row r="37" spans="2:46" x14ac:dyDescent="0.2">
      <c r="B37" s="33"/>
      <c r="C37" s="4" t="s">
        <v>814</v>
      </c>
      <c r="D37" s="4" t="s">
        <v>855</v>
      </c>
      <c r="E37" s="4" t="s">
        <v>193</v>
      </c>
      <c r="F37" s="4" t="str">
        <f t="shared" si="1"/>
        <v xml:space="preserve">Hilti HVA + HAS HDG ½" x 6 ½" </v>
      </c>
      <c r="G37" s="136">
        <f>(4/8)*25.4</f>
        <v>12.7</v>
      </c>
      <c r="H37" s="136">
        <f>(9/16)*25.4</f>
        <v>14.2875</v>
      </c>
      <c r="I37" s="136"/>
      <c r="J37" s="137">
        <f>$J$7</f>
        <v>0.90873918181818181</v>
      </c>
      <c r="K37" s="137"/>
      <c r="L37" s="136"/>
      <c r="M37" s="34"/>
      <c r="T37"/>
      <c r="X37" s="1"/>
      <c r="AD37" s="102"/>
      <c r="AE37" s="104"/>
      <c r="AF37" s="104"/>
      <c r="AG37" s="104"/>
      <c r="AH37" s="104"/>
      <c r="AI37" s="104"/>
      <c r="AJ37" s="104"/>
      <c r="AK37" s="104"/>
      <c r="AL37" s="104"/>
      <c r="AM37" s="104"/>
      <c r="AN37" s="104"/>
      <c r="AO37" s="104"/>
      <c r="AP37" s="104"/>
      <c r="AQ37" s="104"/>
      <c r="AR37" s="104"/>
      <c r="AS37" s="104"/>
      <c r="AT37" s="105"/>
    </row>
    <row r="38" spans="2:46" x14ac:dyDescent="0.2">
      <c r="B38" s="33"/>
      <c r="C38" s="4" t="s">
        <v>814</v>
      </c>
      <c r="D38" s="4" t="s">
        <v>855</v>
      </c>
      <c r="E38" s="4" t="s">
        <v>194</v>
      </c>
      <c r="F38" s="4" t="str">
        <f t="shared" si="1"/>
        <v>Hilti HVA + HAS HDG ½" x 8"</v>
      </c>
      <c r="G38" s="136">
        <f>(4/8)*25.4</f>
        <v>12.7</v>
      </c>
      <c r="H38" s="136">
        <f>(9/16)*25.4</f>
        <v>14.2875</v>
      </c>
      <c r="I38" s="136"/>
      <c r="J38" s="137">
        <f>$J$7</f>
        <v>0.90873918181818181</v>
      </c>
      <c r="K38" s="137"/>
      <c r="L38" s="136"/>
      <c r="M38" s="34"/>
      <c r="P38" s="1"/>
      <c r="T38"/>
      <c r="X38" s="1"/>
      <c r="AD38" s="102"/>
      <c r="AE38" s="104"/>
      <c r="AF38" s="104"/>
      <c r="AG38" s="104"/>
      <c r="AH38" s="104"/>
      <c r="AI38" s="104"/>
      <c r="AJ38" s="104"/>
      <c r="AK38" s="104"/>
      <c r="AL38" s="104"/>
      <c r="AM38" s="104"/>
      <c r="AN38" s="104"/>
      <c r="AO38" s="104"/>
      <c r="AP38" s="104"/>
      <c r="AQ38" s="104"/>
      <c r="AR38" s="104"/>
      <c r="AS38" s="104"/>
      <c r="AT38" s="105"/>
    </row>
    <row r="39" spans="2:46" x14ac:dyDescent="0.2">
      <c r="B39" s="33"/>
      <c r="C39" s="4" t="s">
        <v>814</v>
      </c>
      <c r="D39" s="4" t="s">
        <v>855</v>
      </c>
      <c r="E39" s="4" t="s">
        <v>195</v>
      </c>
      <c r="F39" s="4" t="str">
        <f t="shared" si="1"/>
        <v>Hilti HVA + HAS HDG ½" x 12"</v>
      </c>
      <c r="G39" s="136">
        <f>(4/8)*25.4</f>
        <v>12.7</v>
      </c>
      <c r="H39" s="136">
        <f>(9/16)*25.4</f>
        <v>14.2875</v>
      </c>
      <c r="I39" s="136"/>
      <c r="J39" s="137">
        <f>$J$7</f>
        <v>0.90873918181818181</v>
      </c>
      <c r="K39" s="137"/>
      <c r="L39" s="136"/>
      <c r="M39" s="34"/>
      <c r="P39" s="1"/>
      <c r="T39"/>
      <c r="X39"/>
      <c r="AD39" s="102"/>
      <c r="AE39" s="104"/>
      <c r="AF39" s="104"/>
      <c r="AG39" s="104"/>
      <c r="AH39" s="104"/>
      <c r="AI39" s="104"/>
      <c r="AJ39" s="104"/>
      <c r="AK39" s="104"/>
      <c r="AL39" s="104"/>
      <c r="AM39" s="104"/>
      <c r="AN39" s="104"/>
      <c r="AO39" s="104"/>
      <c r="AP39" s="104"/>
      <c r="AQ39" s="104"/>
      <c r="AR39" s="104"/>
      <c r="AS39" s="104"/>
      <c r="AT39" s="105"/>
    </row>
    <row r="40" spans="2:46" x14ac:dyDescent="0.2">
      <c r="B40" s="33"/>
      <c r="C40" s="4" t="s">
        <v>814</v>
      </c>
      <c r="D40" s="4" t="s">
        <v>855</v>
      </c>
      <c r="E40" s="4" t="s">
        <v>196</v>
      </c>
      <c r="F40" s="4" t="str">
        <f t="shared" si="1"/>
        <v>Hilti HVA + HAS HDG ⅝" x 8"</v>
      </c>
      <c r="G40" s="136">
        <f>(5/8)*25.4</f>
        <v>15.875</v>
      </c>
      <c r="H40" s="136">
        <f>(11/16)*25.4</f>
        <v>17.462499999999999</v>
      </c>
      <c r="I40" s="136"/>
      <c r="J40" s="137">
        <f>$J$8</f>
        <v>1.3634067200000002</v>
      </c>
      <c r="K40" s="137"/>
      <c r="L40" s="136"/>
      <c r="M40" s="34"/>
      <c r="P40" s="1"/>
      <c r="T40"/>
      <c r="X40"/>
      <c r="AD40" s="102"/>
      <c r="AE40" s="104"/>
      <c r="AF40" s="104"/>
      <c r="AG40" s="104"/>
      <c r="AH40" s="104"/>
      <c r="AI40" s="104"/>
      <c r="AJ40" s="104"/>
      <c r="AK40" s="104"/>
      <c r="AL40" s="104"/>
      <c r="AM40" s="104"/>
      <c r="AN40" s="104"/>
      <c r="AO40" s="104"/>
      <c r="AP40" s="104"/>
      <c r="AQ40" s="104"/>
      <c r="AR40" s="104"/>
      <c r="AS40" s="104"/>
      <c r="AT40" s="105"/>
    </row>
    <row r="41" spans="2:46" x14ac:dyDescent="0.2">
      <c r="B41" s="33"/>
      <c r="C41" s="4" t="s">
        <v>814</v>
      </c>
      <c r="D41" s="4" t="s">
        <v>855</v>
      </c>
      <c r="E41" s="4" t="s">
        <v>197</v>
      </c>
      <c r="F41" s="4" t="str">
        <f t="shared" si="1"/>
        <v>Hilti HVA + HAS HDG ⅝" x 9"</v>
      </c>
      <c r="G41" s="136">
        <f>(5/8)*25.4</f>
        <v>15.875</v>
      </c>
      <c r="H41" s="136">
        <f>(11/16)*25.4</f>
        <v>17.462499999999999</v>
      </c>
      <c r="I41" s="136"/>
      <c r="J41" s="137">
        <f>$J$8</f>
        <v>1.3634067200000002</v>
      </c>
      <c r="K41" s="137"/>
      <c r="L41" s="136"/>
      <c r="M41" s="34"/>
      <c r="P41" s="1"/>
      <c r="T41"/>
      <c r="X41"/>
      <c r="AD41" s="102"/>
      <c r="AE41" s="104"/>
      <c r="AF41" s="104"/>
      <c r="AG41" s="104"/>
      <c r="AH41" s="104"/>
      <c r="AI41" s="104"/>
      <c r="AJ41" s="104"/>
      <c r="AK41" s="104"/>
      <c r="AL41" s="104"/>
      <c r="AM41" s="104"/>
      <c r="AN41" s="104"/>
      <c r="AO41" s="104"/>
      <c r="AP41" s="104"/>
      <c r="AQ41" s="104"/>
      <c r="AR41" s="104"/>
      <c r="AS41" s="104"/>
      <c r="AT41" s="105"/>
    </row>
    <row r="42" spans="2:46" x14ac:dyDescent="0.2">
      <c r="B42" s="33"/>
      <c r="C42" s="4" t="s">
        <v>814</v>
      </c>
      <c r="D42" s="4" t="s">
        <v>855</v>
      </c>
      <c r="E42" s="4" t="s">
        <v>198</v>
      </c>
      <c r="F42" s="4" t="str">
        <f t="shared" si="1"/>
        <v>Hilti HVA + HAS HDG ⅝" x 12"</v>
      </c>
      <c r="G42" s="136">
        <f>(5/8)*25.4</f>
        <v>15.875</v>
      </c>
      <c r="H42" s="136">
        <f>(11/16)*25.4</f>
        <v>17.462499999999999</v>
      </c>
      <c r="I42" s="136"/>
      <c r="J42" s="137">
        <f>$J$8</f>
        <v>1.3634067200000002</v>
      </c>
      <c r="K42" s="137"/>
      <c r="L42" s="136"/>
      <c r="M42" s="34"/>
      <c r="P42" s="1"/>
      <c r="T42"/>
      <c r="X42"/>
      <c r="AD42" s="102"/>
      <c r="AE42" s="104"/>
      <c r="AF42" s="104"/>
      <c r="AG42" s="104"/>
      <c r="AH42" s="104"/>
      <c r="AI42" s="104"/>
      <c r="AJ42" s="104"/>
      <c r="AK42" s="104"/>
      <c r="AL42" s="104"/>
      <c r="AM42" s="104"/>
      <c r="AN42" s="104"/>
      <c r="AO42" s="104"/>
      <c r="AP42" s="104"/>
      <c r="AQ42" s="104"/>
      <c r="AR42" s="104"/>
      <c r="AS42" s="104"/>
      <c r="AT42" s="105"/>
    </row>
    <row r="43" spans="2:46" x14ac:dyDescent="0.2">
      <c r="B43" s="33"/>
      <c r="C43" s="4" t="s">
        <v>814</v>
      </c>
      <c r="D43" s="4" t="s">
        <v>855</v>
      </c>
      <c r="E43" s="4" t="s">
        <v>199</v>
      </c>
      <c r="F43" s="4" t="str">
        <f t="shared" si="1"/>
        <v>Hilti HVA + HAS HDG ¾" x 10"</v>
      </c>
      <c r="G43" s="136">
        <f>(6/8)*25.4</f>
        <v>19.049999999999997</v>
      </c>
      <c r="H43" s="136">
        <f>(14/16)*25.4</f>
        <v>22.224999999999998</v>
      </c>
      <c r="I43" s="136"/>
      <c r="J43" s="137">
        <f>$J$9</f>
        <v>1.9953704117647055</v>
      </c>
      <c r="K43" s="137"/>
      <c r="L43" s="136"/>
      <c r="M43" s="34"/>
      <c r="P43" s="1"/>
      <c r="T43"/>
      <c r="X43"/>
      <c r="AD43" s="102"/>
      <c r="AE43" s="104"/>
      <c r="AF43" s="104"/>
      <c r="AG43" s="104"/>
      <c r="AH43" s="104"/>
      <c r="AI43" s="104"/>
      <c r="AJ43" s="104"/>
      <c r="AK43" s="104"/>
      <c r="AL43" s="104"/>
      <c r="AM43" s="104"/>
      <c r="AN43" s="104"/>
      <c r="AO43" s="104"/>
      <c r="AP43" s="104"/>
      <c r="AQ43" s="104"/>
      <c r="AR43" s="104"/>
      <c r="AS43" s="104"/>
      <c r="AT43" s="105"/>
    </row>
    <row r="44" spans="2:46" x14ac:dyDescent="0.2">
      <c r="B44" s="33"/>
      <c r="C44" s="4" t="s">
        <v>814</v>
      </c>
      <c r="D44" s="4" t="s">
        <v>855</v>
      </c>
      <c r="E44" s="4" t="s">
        <v>200</v>
      </c>
      <c r="F44" s="4" t="str">
        <f t="shared" si="1"/>
        <v>Hilti HVA + HAS HDG ¾" x 14"</v>
      </c>
      <c r="G44" s="136">
        <f>(6/8)*25.4</f>
        <v>19.049999999999997</v>
      </c>
      <c r="H44" s="136">
        <f>(14/16)*25.4</f>
        <v>22.224999999999998</v>
      </c>
      <c r="I44" s="136"/>
      <c r="J44" s="137">
        <f>$J$9</f>
        <v>1.9953704117647055</v>
      </c>
      <c r="K44" s="137"/>
      <c r="L44" s="136"/>
      <c r="M44" s="34"/>
      <c r="P44" s="1"/>
      <c r="T44"/>
      <c r="X44"/>
      <c r="AD44" s="102"/>
      <c r="AE44" s="104"/>
      <c r="AF44" s="104"/>
      <c r="AG44" s="104"/>
      <c r="AH44" s="104"/>
      <c r="AI44" s="104"/>
      <c r="AJ44" s="104"/>
      <c r="AK44" s="104"/>
      <c r="AL44" s="104"/>
      <c r="AM44" s="104"/>
      <c r="AN44" s="104"/>
      <c r="AO44" s="104"/>
      <c r="AP44" s="104"/>
      <c r="AQ44" s="104"/>
      <c r="AR44" s="104"/>
      <c r="AS44" s="104"/>
      <c r="AT44" s="105"/>
    </row>
    <row r="45" spans="2:46" x14ac:dyDescent="0.2">
      <c r="B45" s="33"/>
      <c r="C45" s="4" t="s">
        <v>814</v>
      </c>
      <c r="D45" s="4" t="s">
        <v>855</v>
      </c>
      <c r="E45" s="4" t="s">
        <v>201</v>
      </c>
      <c r="F45" s="4" t="str">
        <f t="shared" si="1"/>
        <v>Hilti HVA + HAS HDG ¾" x 19"</v>
      </c>
      <c r="G45" s="136">
        <f>(6/8)*25.4</f>
        <v>19.049999999999997</v>
      </c>
      <c r="H45" s="136">
        <f>(14/16)*25.4</f>
        <v>22.224999999999998</v>
      </c>
      <c r="I45" s="136"/>
      <c r="J45" s="137">
        <f>$J$9</f>
        <v>1.9953704117647055</v>
      </c>
      <c r="K45" s="137"/>
      <c r="L45" s="136"/>
      <c r="M45" s="34"/>
      <c r="P45" s="1"/>
      <c r="T45"/>
      <c r="X45"/>
      <c r="AD45" s="102"/>
      <c r="AE45" s="104"/>
      <c r="AF45" s="104"/>
      <c r="AG45" s="104"/>
      <c r="AH45" s="104"/>
      <c r="AI45" s="104"/>
      <c r="AJ45" s="104"/>
      <c r="AK45" s="104"/>
      <c r="AL45" s="104"/>
      <c r="AM45" s="104"/>
      <c r="AN45" s="104"/>
      <c r="AO45" s="104"/>
      <c r="AP45" s="104"/>
      <c r="AQ45" s="104"/>
      <c r="AR45" s="104"/>
      <c r="AS45" s="104"/>
      <c r="AT45" s="105"/>
    </row>
    <row r="46" spans="2:46" x14ac:dyDescent="0.2">
      <c r="B46" s="33"/>
      <c r="C46" s="4" t="s">
        <v>814</v>
      </c>
      <c r="D46" s="4" t="s">
        <v>855</v>
      </c>
      <c r="E46" s="4" t="s">
        <v>202</v>
      </c>
      <c r="F46" s="4" t="str">
        <f t="shared" ref="F46:F77" si="2">CONCATENATE(C46," + ",E46)</f>
        <v>Hilti HVA + HAS HDG ⅞" x 10"</v>
      </c>
      <c r="G46" s="136">
        <f>(7/8)*25.4</f>
        <v>22.224999999999998</v>
      </c>
      <c r="H46" s="136">
        <f>(16/16)*25.4</f>
        <v>25.4</v>
      </c>
      <c r="I46" s="136"/>
      <c r="J46" s="137">
        <f>$J$10</f>
        <v>2.5255412941176472</v>
      </c>
      <c r="K46" s="137"/>
      <c r="L46" s="136"/>
      <c r="M46" s="34"/>
      <c r="P46" s="1"/>
      <c r="T46"/>
      <c r="X46"/>
      <c r="AD46" s="102"/>
      <c r="AE46" s="104"/>
      <c r="AF46" s="104"/>
      <c r="AG46" s="104"/>
      <c r="AH46" s="104"/>
      <c r="AI46" s="104"/>
      <c r="AJ46" s="104"/>
      <c r="AK46" s="104"/>
      <c r="AL46" s="104"/>
      <c r="AM46" s="104"/>
      <c r="AN46" s="104"/>
      <c r="AO46" s="104"/>
      <c r="AP46" s="104"/>
      <c r="AQ46" s="104"/>
      <c r="AR46" s="104"/>
      <c r="AS46" s="104"/>
      <c r="AT46" s="105"/>
    </row>
    <row r="47" spans="2:46" x14ac:dyDescent="0.2">
      <c r="B47" s="33"/>
      <c r="C47" s="4" t="s">
        <v>814</v>
      </c>
      <c r="D47" s="4" t="s">
        <v>855</v>
      </c>
      <c r="E47" s="4" t="s">
        <v>203</v>
      </c>
      <c r="F47" s="4" t="str">
        <f t="shared" si="2"/>
        <v>Hilti HVA + HAS HDG ⅞" x 14"</v>
      </c>
      <c r="G47" s="136">
        <f>(7/8)*25.4</f>
        <v>22.224999999999998</v>
      </c>
      <c r="H47" s="136">
        <f>(16/16)*25.4</f>
        <v>25.4</v>
      </c>
      <c r="I47" s="136"/>
      <c r="J47" s="137">
        <f>$J$10</f>
        <v>2.5255412941176472</v>
      </c>
      <c r="K47" s="137"/>
      <c r="L47" s="136"/>
      <c r="M47" s="34"/>
      <c r="P47" s="1"/>
      <c r="T47"/>
      <c r="X47"/>
      <c r="AD47" s="102"/>
      <c r="AE47" s="104"/>
      <c r="AF47" s="104"/>
      <c r="AG47" s="104"/>
      <c r="AH47" s="104"/>
      <c r="AI47" s="104"/>
      <c r="AJ47" s="104"/>
      <c r="AK47" s="104"/>
      <c r="AL47" s="104"/>
      <c r="AM47" s="104"/>
      <c r="AN47" s="104"/>
      <c r="AO47" s="104"/>
      <c r="AP47" s="104"/>
      <c r="AQ47" s="104"/>
      <c r="AR47" s="104"/>
      <c r="AS47" s="104"/>
      <c r="AT47" s="105"/>
    </row>
    <row r="48" spans="2:46" x14ac:dyDescent="0.2">
      <c r="B48" s="33"/>
      <c r="C48" s="4" t="s">
        <v>814</v>
      </c>
      <c r="D48" s="4" t="s">
        <v>855</v>
      </c>
      <c r="E48" s="4" t="s">
        <v>204</v>
      </c>
      <c r="F48" s="4" t="str">
        <f t="shared" si="2"/>
        <v>Hilti HVA + HAS HDG ⅞" x 19"</v>
      </c>
      <c r="G48" s="136">
        <f>(7/8)*25.4</f>
        <v>22.224999999999998</v>
      </c>
      <c r="H48" s="136">
        <f>(16/16)*25.4</f>
        <v>25.4</v>
      </c>
      <c r="I48" s="136"/>
      <c r="J48" s="137">
        <f>$J$10</f>
        <v>2.5255412941176472</v>
      </c>
      <c r="K48" s="137"/>
      <c r="L48" s="136"/>
      <c r="M48" s="34"/>
      <c r="P48" s="1"/>
      <c r="T48"/>
      <c r="X48"/>
      <c r="AD48" s="102"/>
      <c r="AE48" s="104"/>
      <c r="AF48" s="104"/>
      <c r="AG48" s="104"/>
      <c r="AH48" s="104"/>
      <c r="AI48" s="104"/>
      <c r="AJ48" s="104"/>
      <c r="AK48" s="104"/>
      <c r="AL48" s="104"/>
      <c r="AM48" s="104"/>
      <c r="AN48" s="104"/>
      <c r="AO48" s="104"/>
      <c r="AP48" s="104"/>
      <c r="AQ48" s="104"/>
      <c r="AR48" s="104"/>
      <c r="AS48" s="104"/>
      <c r="AT48" s="105"/>
    </row>
    <row r="49" spans="2:46" x14ac:dyDescent="0.2">
      <c r="B49" s="33"/>
      <c r="C49" s="4" t="s">
        <v>814</v>
      </c>
      <c r="D49" s="4" t="s">
        <v>855</v>
      </c>
      <c r="E49" s="4" t="s">
        <v>205</v>
      </c>
      <c r="F49" s="4" t="str">
        <f t="shared" si="2"/>
        <v>Hilti HVA + HAS HDG 1" x 12"</v>
      </c>
      <c r="G49" s="136">
        <f>(8/8)*25.4</f>
        <v>25.4</v>
      </c>
      <c r="H49" s="136">
        <f>(18/16)*25.4</f>
        <v>28.574999999999999</v>
      </c>
      <c r="I49" s="136"/>
      <c r="J49" s="137">
        <f>$J$11</f>
        <v>3.2852233809523805</v>
      </c>
      <c r="K49" s="137"/>
      <c r="L49" s="136"/>
      <c r="M49" s="34"/>
      <c r="P49" s="1"/>
      <c r="T49"/>
      <c r="X49"/>
      <c r="AD49" s="102"/>
      <c r="AE49" s="104"/>
      <c r="AF49" s="104"/>
      <c r="AG49" s="104"/>
      <c r="AH49" s="104"/>
      <c r="AI49" s="104"/>
      <c r="AJ49" s="104"/>
      <c r="AK49" s="104"/>
      <c r="AL49" s="104"/>
      <c r="AM49" s="104"/>
      <c r="AN49" s="104"/>
      <c r="AO49" s="104"/>
      <c r="AP49" s="104"/>
      <c r="AQ49" s="104"/>
      <c r="AR49" s="104"/>
      <c r="AS49" s="104"/>
      <c r="AT49" s="105"/>
    </row>
    <row r="50" spans="2:46" x14ac:dyDescent="0.2">
      <c r="B50" s="33"/>
      <c r="C50" s="4" t="s">
        <v>814</v>
      </c>
      <c r="D50" s="4" t="s">
        <v>855</v>
      </c>
      <c r="E50" s="4" t="s">
        <v>206</v>
      </c>
      <c r="F50" s="4" t="str">
        <f t="shared" si="2"/>
        <v>Hilti HVA + HAS HDG 1" x 16"</v>
      </c>
      <c r="G50" s="136">
        <f>(8/8)*25.4</f>
        <v>25.4</v>
      </c>
      <c r="H50" s="136">
        <f>(18/16)*25.4</f>
        <v>28.574999999999999</v>
      </c>
      <c r="I50" s="136"/>
      <c r="J50" s="137">
        <f>$J$11</f>
        <v>3.2852233809523805</v>
      </c>
      <c r="K50" s="137"/>
      <c r="L50" s="136"/>
      <c r="M50" s="34"/>
      <c r="P50" s="1"/>
      <c r="T50"/>
      <c r="X50"/>
      <c r="AD50" s="102"/>
      <c r="AE50" s="104"/>
      <c r="AF50" s="104"/>
      <c r="AG50" s="104"/>
      <c r="AH50" s="104"/>
      <c r="AI50" s="104"/>
      <c r="AJ50" s="104"/>
      <c r="AK50" s="104"/>
      <c r="AL50" s="104"/>
      <c r="AM50" s="104"/>
      <c r="AN50" s="104"/>
      <c r="AO50" s="104"/>
      <c r="AP50" s="104"/>
      <c r="AQ50" s="104"/>
      <c r="AR50" s="104"/>
      <c r="AS50" s="104"/>
      <c r="AT50" s="105"/>
    </row>
    <row r="51" spans="2:46" x14ac:dyDescent="0.2">
      <c r="B51" s="33"/>
      <c r="C51" s="4" t="s">
        <v>814</v>
      </c>
      <c r="D51" s="4" t="s">
        <v>855</v>
      </c>
      <c r="E51" s="4" t="s">
        <v>207</v>
      </c>
      <c r="F51" s="4" t="str">
        <f t="shared" si="2"/>
        <v>Hilti HVA + HAS HDG 1" x 20"</v>
      </c>
      <c r="G51" s="136">
        <f>(8/8)*25.4</f>
        <v>25.4</v>
      </c>
      <c r="H51" s="136">
        <f>(18/16)*25.4</f>
        <v>28.574999999999999</v>
      </c>
      <c r="I51" s="136"/>
      <c r="J51" s="137">
        <f>$J$11</f>
        <v>3.2852233809523805</v>
      </c>
      <c r="K51" s="137"/>
      <c r="L51" s="136"/>
      <c r="M51" s="34"/>
      <c r="P51" s="1"/>
      <c r="T51"/>
      <c r="X51"/>
      <c r="AD51" s="102"/>
      <c r="AE51" s="104"/>
      <c r="AF51" s="104"/>
      <c r="AG51" s="104"/>
      <c r="AH51" s="104"/>
      <c r="AI51" s="104"/>
      <c r="AJ51" s="104"/>
      <c r="AK51" s="104"/>
      <c r="AL51" s="104"/>
      <c r="AM51" s="104"/>
      <c r="AN51" s="104"/>
      <c r="AO51" s="104"/>
      <c r="AP51" s="104"/>
      <c r="AQ51" s="104"/>
      <c r="AR51" s="104"/>
      <c r="AS51" s="104"/>
      <c r="AT51" s="105"/>
    </row>
    <row r="52" spans="2:46" x14ac:dyDescent="0.2">
      <c r="B52" s="33"/>
      <c r="C52" s="4" t="s">
        <v>814</v>
      </c>
      <c r="D52" s="4" t="s">
        <v>855</v>
      </c>
      <c r="E52" s="4" t="s">
        <v>208</v>
      </c>
      <c r="F52" s="4" t="str">
        <f t="shared" si="2"/>
        <v>Hilti HVA + HAS HDG 1 ¼" x 16"</v>
      </c>
      <c r="G52" s="136">
        <f>(10/8)*25.4</f>
        <v>31.75</v>
      </c>
      <c r="H52" s="136">
        <f>(22/16)*25.4</f>
        <v>34.924999999999997</v>
      </c>
      <c r="I52" s="136"/>
      <c r="J52" s="137">
        <f>$J$12</f>
        <v>5.0826874098360664</v>
      </c>
      <c r="K52" s="137"/>
      <c r="L52" s="136"/>
      <c r="M52" s="34"/>
      <c r="P52" s="1"/>
      <c r="T52"/>
      <c r="X52"/>
      <c r="AD52" s="102"/>
      <c r="AE52" s="104"/>
      <c r="AF52" s="104"/>
      <c r="AG52" s="104"/>
      <c r="AH52" s="104"/>
      <c r="AI52" s="104"/>
      <c r="AJ52" s="104"/>
      <c r="AK52" s="104"/>
      <c r="AL52" s="104"/>
      <c r="AM52" s="104"/>
      <c r="AN52" s="104"/>
      <c r="AO52" s="104"/>
      <c r="AP52" s="104"/>
      <c r="AQ52" s="104"/>
      <c r="AR52" s="104"/>
      <c r="AS52" s="104"/>
      <c r="AT52" s="105"/>
    </row>
    <row r="53" spans="2:46" x14ac:dyDescent="0.2">
      <c r="B53" s="33"/>
      <c r="C53" s="4" t="s">
        <v>814</v>
      </c>
      <c r="D53" s="4" t="s">
        <v>855</v>
      </c>
      <c r="E53" s="4" t="s">
        <v>209</v>
      </c>
      <c r="F53" s="4" t="str">
        <f t="shared" si="2"/>
        <v>Hilti HVA + HAS HDG 1 ¼" x 22"</v>
      </c>
      <c r="G53" s="136">
        <f>(10/8)*25.4</f>
        <v>31.75</v>
      </c>
      <c r="H53" s="136">
        <f>ROUND((22/16)*25.4,0)</f>
        <v>35</v>
      </c>
      <c r="I53" s="136"/>
      <c r="J53" s="137">
        <f>$J$12</f>
        <v>5.0826874098360664</v>
      </c>
      <c r="K53" s="137"/>
      <c r="L53" s="136"/>
      <c r="M53" s="34"/>
      <c r="P53" s="1"/>
      <c r="T53"/>
      <c r="X53"/>
      <c r="AD53" s="102"/>
      <c r="AE53" s="104"/>
      <c r="AF53" s="104"/>
      <c r="AG53" s="104"/>
      <c r="AH53" s="104"/>
      <c r="AI53" s="104"/>
      <c r="AJ53" s="104"/>
      <c r="AK53" s="104"/>
      <c r="AL53" s="104"/>
      <c r="AM53" s="104"/>
      <c r="AN53" s="104"/>
      <c r="AO53" s="104"/>
      <c r="AP53" s="104"/>
      <c r="AQ53" s="104"/>
      <c r="AR53" s="104"/>
      <c r="AS53" s="104"/>
      <c r="AT53" s="105"/>
    </row>
    <row r="54" spans="2:46" x14ac:dyDescent="0.2">
      <c r="B54" s="33"/>
      <c r="C54" s="4" t="s">
        <v>814</v>
      </c>
      <c r="D54" s="4" t="s">
        <v>855</v>
      </c>
      <c r="E54" s="4" t="s">
        <v>663</v>
      </c>
      <c r="F54" s="4" t="str">
        <f t="shared" si="2"/>
        <v xml:space="preserve">Hilti HVA + HAS Super ½" x 6 ½" </v>
      </c>
      <c r="G54" s="136">
        <f>(4/8)*25.4</f>
        <v>12.7</v>
      </c>
      <c r="H54" s="136">
        <f>(9/16)*25.4</f>
        <v>14.2875</v>
      </c>
      <c r="I54" s="136"/>
      <c r="J54" s="137">
        <f>$J$7</f>
        <v>0.90873918181818181</v>
      </c>
      <c r="K54" s="137"/>
      <c r="L54" s="136"/>
      <c r="M54" s="34"/>
      <c r="P54" s="1"/>
      <c r="T54"/>
      <c r="X54"/>
      <c r="AD54" s="102"/>
      <c r="AE54" s="104"/>
      <c r="AF54" s="104"/>
      <c r="AG54" s="104"/>
      <c r="AH54" s="104"/>
      <c r="AI54" s="104"/>
      <c r="AJ54" s="104"/>
      <c r="AK54" s="104"/>
      <c r="AL54" s="104"/>
      <c r="AM54" s="104"/>
      <c r="AN54" s="104"/>
      <c r="AO54" s="104"/>
      <c r="AP54" s="104"/>
      <c r="AQ54" s="104"/>
      <c r="AR54" s="104"/>
      <c r="AS54" s="104"/>
      <c r="AT54" s="105"/>
    </row>
    <row r="55" spans="2:46" x14ac:dyDescent="0.2">
      <c r="B55" s="33"/>
      <c r="C55" s="4" t="s">
        <v>814</v>
      </c>
      <c r="D55" s="4" t="s">
        <v>855</v>
      </c>
      <c r="E55" s="4" t="s">
        <v>664</v>
      </c>
      <c r="F55" s="4" t="str">
        <f t="shared" si="2"/>
        <v>Hilti HVA + HAS Super ½" x 8"</v>
      </c>
      <c r="G55" s="136">
        <f>(4/8)*25.4</f>
        <v>12.7</v>
      </c>
      <c r="H55" s="136">
        <f>(9/16)*25.4</f>
        <v>14.2875</v>
      </c>
      <c r="I55" s="136"/>
      <c r="J55" s="137">
        <f>$J$7</f>
        <v>0.90873918181818181</v>
      </c>
      <c r="K55" s="137"/>
      <c r="L55" s="136"/>
      <c r="M55" s="34"/>
      <c r="P55"/>
      <c r="T55"/>
      <c r="X55"/>
      <c r="AD55" s="102"/>
      <c r="AE55" s="104"/>
      <c r="AF55" s="104"/>
      <c r="AG55" s="104"/>
      <c r="AH55" s="104"/>
      <c r="AI55" s="104"/>
      <c r="AJ55" s="104"/>
      <c r="AK55" s="104"/>
      <c r="AL55" s="104"/>
      <c r="AM55" s="104"/>
      <c r="AN55" s="104"/>
      <c r="AO55" s="104"/>
      <c r="AP55" s="104"/>
      <c r="AQ55" s="104"/>
      <c r="AR55" s="104"/>
      <c r="AS55" s="104"/>
      <c r="AT55" s="105"/>
    </row>
    <row r="56" spans="2:46" x14ac:dyDescent="0.2">
      <c r="B56" s="33"/>
      <c r="C56" s="4" t="s">
        <v>814</v>
      </c>
      <c r="D56" s="4" t="s">
        <v>855</v>
      </c>
      <c r="E56" s="4" t="s">
        <v>665</v>
      </c>
      <c r="F56" s="4" t="str">
        <f t="shared" si="2"/>
        <v>Hilti HVA + HAS Super ½" x 12"</v>
      </c>
      <c r="G56" s="136">
        <f>(4/8)*25.4</f>
        <v>12.7</v>
      </c>
      <c r="H56" s="136">
        <f>(9/16)*25.4</f>
        <v>14.2875</v>
      </c>
      <c r="I56" s="136"/>
      <c r="J56" s="137">
        <f>$J$7</f>
        <v>0.90873918181818181</v>
      </c>
      <c r="K56" s="137"/>
      <c r="L56" s="136"/>
      <c r="M56" s="34"/>
      <c r="P56"/>
      <c r="T56"/>
      <c r="X56"/>
      <c r="AD56" s="102"/>
      <c r="AE56" s="104"/>
      <c r="AF56" s="104"/>
      <c r="AG56" s="104"/>
      <c r="AH56" s="104"/>
      <c r="AI56" s="104"/>
      <c r="AJ56" s="104"/>
      <c r="AK56" s="104"/>
      <c r="AL56" s="104"/>
      <c r="AM56" s="104"/>
      <c r="AN56" s="104"/>
      <c r="AO56" s="104"/>
      <c r="AP56" s="104"/>
      <c r="AQ56" s="104"/>
      <c r="AR56" s="104"/>
      <c r="AS56" s="104"/>
      <c r="AT56" s="105"/>
    </row>
    <row r="57" spans="2:46" x14ac:dyDescent="0.2">
      <c r="B57" s="33"/>
      <c r="C57" s="4" t="s">
        <v>814</v>
      </c>
      <c r="D57" s="4" t="s">
        <v>855</v>
      </c>
      <c r="E57" s="4" t="s">
        <v>666</v>
      </c>
      <c r="F57" s="4" t="str">
        <f t="shared" si="2"/>
        <v>Hilti HVA + HAS Super ⅝" x 8"</v>
      </c>
      <c r="G57" s="136">
        <f>(5/8)*25.4</f>
        <v>15.875</v>
      </c>
      <c r="H57" s="136">
        <f>(11/16)*25.4</f>
        <v>17.462499999999999</v>
      </c>
      <c r="I57" s="136"/>
      <c r="J57" s="137">
        <f>$J$8</f>
        <v>1.3634067200000002</v>
      </c>
      <c r="K57" s="137"/>
      <c r="L57" s="136"/>
      <c r="M57" s="34"/>
      <c r="P57"/>
      <c r="T57"/>
      <c r="X57"/>
      <c r="AD57" s="102"/>
      <c r="AE57" s="104"/>
      <c r="AF57" s="104"/>
      <c r="AG57" s="104"/>
      <c r="AH57" s="104"/>
      <c r="AI57" s="104"/>
      <c r="AJ57" s="104"/>
      <c r="AK57" s="104"/>
      <c r="AL57" s="104"/>
      <c r="AM57" s="104"/>
      <c r="AN57" s="104"/>
      <c r="AO57" s="104"/>
      <c r="AP57" s="104"/>
      <c r="AQ57" s="104"/>
      <c r="AR57" s="104"/>
      <c r="AS57" s="104"/>
      <c r="AT57" s="105"/>
    </row>
    <row r="58" spans="2:46" x14ac:dyDescent="0.2">
      <c r="B58" s="33"/>
      <c r="C58" s="4" t="s">
        <v>814</v>
      </c>
      <c r="D58" s="4" t="s">
        <v>855</v>
      </c>
      <c r="E58" s="4" t="s">
        <v>667</v>
      </c>
      <c r="F58" s="4" t="str">
        <f t="shared" si="2"/>
        <v>Hilti HVA + HAS Super ⅝" x 9"</v>
      </c>
      <c r="G58" s="136">
        <f>(5/8)*25.4</f>
        <v>15.875</v>
      </c>
      <c r="H58" s="136">
        <f>(11/16)*25.4</f>
        <v>17.462499999999999</v>
      </c>
      <c r="I58" s="136"/>
      <c r="J58" s="137">
        <f>$J$8</f>
        <v>1.3634067200000002</v>
      </c>
      <c r="K58" s="137"/>
      <c r="L58" s="136"/>
      <c r="M58" s="34"/>
      <c r="P58"/>
      <c r="T58"/>
      <c r="X58"/>
      <c r="AD58" s="102"/>
      <c r="AE58" s="104"/>
      <c r="AF58" s="104"/>
      <c r="AG58" s="104"/>
      <c r="AH58" s="104"/>
      <c r="AI58" s="104"/>
      <c r="AJ58" s="104"/>
      <c r="AK58" s="104"/>
      <c r="AL58" s="104"/>
      <c r="AM58" s="104"/>
      <c r="AN58" s="104"/>
      <c r="AO58" s="104"/>
      <c r="AP58" s="104"/>
      <c r="AQ58" s="104"/>
      <c r="AR58" s="104"/>
      <c r="AS58" s="104"/>
      <c r="AT58" s="105"/>
    </row>
    <row r="59" spans="2:46" x14ac:dyDescent="0.2">
      <c r="B59" s="33"/>
      <c r="C59" s="4" t="s">
        <v>814</v>
      </c>
      <c r="D59" s="4" t="s">
        <v>855</v>
      </c>
      <c r="E59" s="4" t="s">
        <v>668</v>
      </c>
      <c r="F59" s="4" t="str">
        <f t="shared" si="2"/>
        <v>Hilti HVA + HAS Super ⅝" x 12"</v>
      </c>
      <c r="G59" s="136">
        <f>(5/8)*25.4</f>
        <v>15.875</v>
      </c>
      <c r="H59" s="136">
        <f>(11/16)*25.4</f>
        <v>17.462499999999999</v>
      </c>
      <c r="I59" s="136"/>
      <c r="J59" s="137">
        <f>$J$8</f>
        <v>1.3634067200000002</v>
      </c>
      <c r="K59" s="137"/>
      <c r="L59" s="136"/>
      <c r="M59" s="34"/>
      <c r="P59"/>
      <c r="T59"/>
      <c r="X59"/>
      <c r="AD59" s="102"/>
      <c r="AE59" s="104"/>
      <c r="AF59" s="104"/>
      <c r="AG59" s="104"/>
      <c r="AH59" s="104"/>
      <c r="AI59" s="104"/>
      <c r="AJ59" s="104"/>
      <c r="AK59" s="104"/>
      <c r="AL59" s="104"/>
      <c r="AM59" s="104"/>
      <c r="AN59" s="104"/>
      <c r="AO59" s="104"/>
      <c r="AP59" s="104"/>
      <c r="AQ59" s="104"/>
      <c r="AR59" s="104"/>
      <c r="AS59" s="104"/>
      <c r="AT59" s="105"/>
    </row>
    <row r="60" spans="2:46" x14ac:dyDescent="0.2">
      <c r="B60" s="33"/>
      <c r="C60" s="4" t="s">
        <v>814</v>
      </c>
      <c r="D60" s="4" t="s">
        <v>855</v>
      </c>
      <c r="E60" s="4" t="s">
        <v>669</v>
      </c>
      <c r="F60" s="4" t="str">
        <f t="shared" si="2"/>
        <v>Hilti HVA + HAS Super ¾" x 10"</v>
      </c>
      <c r="G60" s="136">
        <f>(6/8)*25.4</f>
        <v>19.049999999999997</v>
      </c>
      <c r="H60" s="136">
        <f>(14/16)*25.4</f>
        <v>22.224999999999998</v>
      </c>
      <c r="I60" s="136"/>
      <c r="J60" s="137">
        <f>$J$9</f>
        <v>1.9953704117647055</v>
      </c>
      <c r="K60" s="137"/>
      <c r="L60" s="136"/>
      <c r="M60" s="34"/>
      <c r="P60"/>
      <c r="T60"/>
      <c r="X60"/>
      <c r="AD60" s="102"/>
      <c r="AE60" s="104"/>
      <c r="AF60" s="104"/>
      <c r="AG60" s="104"/>
      <c r="AH60" s="104"/>
      <c r="AI60" s="104"/>
      <c r="AJ60" s="104"/>
      <c r="AK60" s="104"/>
      <c r="AL60" s="104"/>
      <c r="AM60" s="104"/>
      <c r="AN60" s="104"/>
      <c r="AO60" s="104"/>
      <c r="AP60" s="104"/>
      <c r="AQ60" s="104"/>
      <c r="AR60" s="104"/>
      <c r="AS60" s="104"/>
      <c r="AT60" s="105"/>
    </row>
    <row r="61" spans="2:46" ht="13.5" thickBot="1" x14ac:dyDescent="0.25">
      <c r="B61" s="33"/>
      <c r="C61" s="4" t="s">
        <v>814</v>
      </c>
      <c r="D61" s="4" t="s">
        <v>855</v>
      </c>
      <c r="E61" s="4" t="s">
        <v>670</v>
      </c>
      <c r="F61" s="4" t="str">
        <f t="shared" si="2"/>
        <v>Hilti HVA + HAS Super ¾" x 14"</v>
      </c>
      <c r="G61" s="136">
        <f>(6/8)*25.4</f>
        <v>19.049999999999997</v>
      </c>
      <c r="H61" s="136">
        <f>(14/16)*25.4</f>
        <v>22.224999999999998</v>
      </c>
      <c r="I61" s="136"/>
      <c r="J61" s="137">
        <f>$J$9</f>
        <v>1.9953704117647055</v>
      </c>
      <c r="K61" s="137"/>
      <c r="L61" s="136"/>
      <c r="M61" s="34"/>
      <c r="P61"/>
      <c r="T61"/>
      <c r="X61"/>
      <c r="AD61" s="122"/>
      <c r="AE61" s="123"/>
      <c r="AF61" s="123"/>
      <c r="AG61" s="123"/>
      <c r="AH61" s="123"/>
      <c r="AI61" s="123"/>
      <c r="AJ61" s="123"/>
      <c r="AK61" s="123"/>
      <c r="AL61" s="123"/>
      <c r="AM61" s="123"/>
      <c r="AN61" s="123"/>
      <c r="AO61" s="123"/>
      <c r="AP61" s="123"/>
      <c r="AQ61" s="123"/>
      <c r="AR61" s="123"/>
      <c r="AS61" s="123"/>
      <c r="AT61" s="124"/>
    </row>
    <row r="62" spans="2:46" x14ac:dyDescent="0.2">
      <c r="B62" s="33"/>
      <c r="C62" s="4" t="s">
        <v>814</v>
      </c>
      <c r="D62" s="4" t="s">
        <v>855</v>
      </c>
      <c r="E62" s="4" t="s">
        <v>671</v>
      </c>
      <c r="F62" s="4" t="str">
        <f t="shared" si="2"/>
        <v>Hilti HVA + HAS Super ¾" x 19"</v>
      </c>
      <c r="G62" s="136">
        <f>(6/8)*25.4</f>
        <v>19.049999999999997</v>
      </c>
      <c r="H62" s="136">
        <f>(14/16)*25.4</f>
        <v>22.224999999999998</v>
      </c>
      <c r="I62" s="136"/>
      <c r="J62" s="137">
        <f>$J$9</f>
        <v>1.9953704117647055</v>
      </c>
      <c r="K62" s="137"/>
      <c r="L62" s="136"/>
      <c r="M62" s="34"/>
      <c r="P62"/>
      <c r="T62"/>
      <c r="X62"/>
    </row>
    <row r="63" spans="2:46" x14ac:dyDescent="0.2">
      <c r="B63" s="33"/>
      <c r="C63" s="4" t="s">
        <v>814</v>
      </c>
      <c r="D63" s="4" t="s">
        <v>855</v>
      </c>
      <c r="E63" s="4" t="s">
        <v>672</v>
      </c>
      <c r="F63" s="4" t="str">
        <f t="shared" si="2"/>
        <v>Hilti HVA + HAS Super ⅞" x 10"</v>
      </c>
      <c r="G63" s="136">
        <f>(7/8)*25.4</f>
        <v>22.224999999999998</v>
      </c>
      <c r="H63" s="136">
        <f>(16/16)*25.4</f>
        <v>25.4</v>
      </c>
      <c r="I63" s="136"/>
      <c r="J63" s="137">
        <f>$J$10</f>
        <v>2.5255412941176472</v>
      </c>
      <c r="K63" s="137"/>
      <c r="L63" s="136"/>
      <c r="M63" s="34"/>
      <c r="P63"/>
      <c r="T63"/>
      <c r="X63"/>
    </row>
    <row r="64" spans="2:46" x14ac:dyDescent="0.2">
      <c r="B64" s="33"/>
      <c r="C64" s="4" t="s">
        <v>814</v>
      </c>
      <c r="D64" s="4" t="s">
        <v>855</v>
      </c>
      <c r="E64" s="4" t="s">
        <v>673</v>
      </c>
      <c r="F64" s="4" t="str">
        <f t="shared" si="2"/>
        <v>Hilti HVA + HAS Super ⅞" x 14"</v>
      </c>
      <c r="G64" s="136">
        <f>(7/8)*25.4</f>
        <v>22.224999999999998</v>
      </c>
      <c r="H64" s="136">
        <f>(16/16)*25.4</f>
        <v>25.4</v>
      </c>
      <c r="I64" s="136"/>
      <c r="J64" s="137">
        <f>$J$10</f>
        <v>2.5255412941176472</v>
      </c>
      <c r="K64" s="137"/>
      <c r="L64" s="136"/>
      <c r="M64" s="34"/>
      <c r="P64"/>
      <c r="T64"/>
      <c r="X64"/>
    </row>
    <row r="65" spans="2:68" x14ac:dyDescent="0.2">
      <c r="B65" s="33"/>
      <c r="C65" s="4" t="s">
        <v>814</v>
      </c>
      <c r="D65" s="4" t="s">
        <v>855</v>
      </c>
      <c r="E65" s="4" t="s">
        <v>674</v>
      </c>
      <c r="F65" s="4" t="str">
        <f t="shared" si="2"/>
        <v>Hilti HVA + HAS Super ⅞" x 19"</v>
      </c>
      <c r="G65" s="136">
        <f>(7/8)*25.4</f>
        <v>22.224999999999998</v>
      </c>
      <c r="H65" s="136">
        <f>(16/16)*25.4</f>
        <v>25.4</v>
      </c>
      <c r="I65" s="136"/>
      <c r="J65" s="137">
        <f>$J$10</f>
        <v>2.5255412941176472</v>
      </c>
      <c r="K65" s="137"/>
      <c r="L65" s="136"/>
      <c r="M65" s="34"/>
      <c r="P65"/>
      <c r="T65"/>
      <c r="X65"/>
    </row>
    <row r="66" spans="2:68" x14ac:dyDescent="0.2">
      <c r="B66" s="33"/>
      <c r="C66" s="4" t="s">
        <v>814</v>
      </c>
      <c r="D66" s="4" t="s">
        <v>855</v>
      </c>
      <c r="E66" s="4" t="s">
        <v>675</v>
      </c>
      <c r="F66" s="4" t="str">
        <f t="shared" si="2"/>
        <v>Hilti HVA + HAS Super 1" x 12"</v>
      </c>
      <c r="G66" s="136">
        <f>(8/8)*25.4</f>
        <v>25.4</v>
      </c>
      <c r="H66" s="136">
        <f>(18/16)*25.4</f>
        <v>28.574999999999999</v>
      </c>
      <c r="I66" s="136"/>
      <c r="J66" s="137">
        <f>$J$11</f>
        <v>3.2852233809523805</v>
      </c>
      <c r="K66" s="137"/>
      <c r="L66" s="136"/>
      <c r="M66" s="34"/>
      <c r="P66"/>
      <c r="T66"/>
      <c r="X66"/>
    </row>
    <row r="67" spans="2:68" x14ac:dyDescent="0.2">
      <c r="B67" s="33"/>
      <c r="C67" s="4" t="s">
        <v>814</v>
      </c>
      <c r="D67" s="4" t="s">
        <v>855</v>
      </c>
      <c r="E67" s="4" t="s">
        <v>676</v>
      </c>
      <c r="F67" s="4" t="str">
        <f t="shared" si="2"/>
        <v>Hilti HVA + HAS Super 1" x 16"</v>
      </c>
      <c r="G67" s="136">
        <f>(8/8)*25.4</f>
        <v>25.4</v>
      </c>
      <c r="H67" s="136">
        <f>(18/16)*25.4</f>
        <v>28.574999999999999</v>
      </c>
      <c r="I67" s="136"/>
      <c r="J67" s="137">
        <f>$J$11</f>
        <v>3.2852233809523805</v>
      </c>
      <c r="K67" s="137"/>
      <c r="L67" s="136"/>
      <c r="M67" s="34"/>
      <c r="P67"/>
      <c r="T67"/>
      <c r="X67"/>
    </row>
    <row r="68" spans="2:68" x14ac:dyDescent="0.2">
      <c r="B68" s="33"/>
      <c r="C68" s="4" t="s">
        <v>814</v>
      </c>
      <c r="D68" s="4" t="s">
        <v>855</v>
      </c>
      <c r="E68" s="4" t="s">
        <v>677</v>
      </c>
      <c r="F68" s="4" t="str">
        <f t="shared" si="2"/>
        <v>Hilti HVA + HAS Super 1" x 20"</v>
      </c>
      <c r="G68" s="136">
        <f>(8/8)*25.4</f>
        <v>25.4</v>
      </c>
      <c r="H68" s="136">
        <f>(18/16)*25.4</f>
        <v>28.574999999999999</v>
      </c>
      <c r="I68" s="136"/>
      <c r="J68" s="137">
        <f>$J$11</f>
        <v>3.2852233809523805</v>
      </c>
      <c r="K68" s="137"/>
      <c r="L68" s="136"/>
      <c r="M68" s="34"/>
      <c r="P68"/>
      <c r="T68"/>
      <c r="X68"/>
    </row>
    <row r="69" spans="2:68" x14ac:dyDescent="0.2">
      <c r="B69" s="33"/>
      <c r="C69" s="4" t="s">
        <v>814</v>
      </c>
      <c r="D69" s="4" t="s">
        <v>855</v>
      </c>
      <c r="E69" s="4" t="s">
        <v>678</v>
      </c>
      <c r="F69" s="4" t="str">
        <f t="shared" si="2"/>
        <v>Hilti HVA + HAS Super 1 ¼" x 16"</v>
      </c>
      <c r="G69" s="136">
        <f>(10/8)*25.4</f>
        <v>31.75</v>
      </c>
      <c r="H69" s="136">
        <f>(22/16)*25.4</f>
        <v>34.924999999999997</v>
      </c>
      <c r="I69" s="136"/>
      <c r="J69" s="137">
        <f>$J$12</f>
        <v>5.0826874098360664</v>
      </c>
      <c r="K69" s="137"/>
      <c r="L69" s="136"/>
      <c r="M69" s="34"/>
      <c r="P69"/>
      <c r="T69"/>
      <c r="X69"/>
      <c r="BP69" s="5">
        <v>100</v>
      </c>
    </row>
    <row r="70" spans="2:68" x14ac:dyDescent="0.2">
      <c r="B70" s="33"/>
      <c r="C70" s="4" t="s">
        <v>814</v>
      </c>
      <c r="D70" s="4" t="s">
        <v>855</v>
      </c>
      <c r="E70" s="4" t="s">
        <v>679</v>
      </c>
      <c r="F70" s="4" t="str">
        <f t="shared" si="2"/>
        <v>Hilti HVA + HAS Super 1 ¼" x 22"</v>
      </c>
      <c r="G70" s="136">
        <f>(10/8)*25.4</f>
        <v>31.75</v>
      </c>
      <c r="H70" s="136">
        <f>ROUND((22/16)*25.4,0)</f>
        <v>35</v>
      </c>
      <c r="I70" s="136"/>
      <c r="J70" s="137">
        <f>$J$12</f>
        <v>5.0826874098360664</v>
      </c>
      <c r="K70" s="137"/>
      <c r="L70" s="136"/>
      <c r="M70" s="34"/>
      <c r="P70"/>
      <c r="T70"/>
      <c r="X70"/>
    </row>
    <row r="71" spans="2:68" x14ac:dyDescent="0.2">
      <c r="B71" s="33"/>
      <c r="C71" s="4" t="s">
        <v>814</v>
      </c>
      <c r="D71" s="4" t="s">
        <v>855</v>
      </c>
      <c r="E71" s="4" t="s">
        <v>680</v>
      </c>
      <c r="F71" s="4" t="str">
        <f t="shared" si="2"/>
        <v>Hilti HVA + HAS Super HDG ½" x 6 ½"</v>
      </c>
      <c r="G71" s="136">
        <f>(4/8)*25.4</f>
        <v>12.7</v>
      </c>
      <c r="H71" s="136">
        <f>(9/16)*25.4</f>
        <v>14.2875</v>
      </c>
      <c r="I71" s="136"/>
      <c r="J71" s="137">
        <f>$J$7</f>
        <v>0.90873918181818181</v>
      </c>
      <c r="K71" s="137"/>
      <c r="L71" s="136"/>
      <c r="M71" s="34"/>
      <c r="P71"/>
      <c r="T71"/>
      <c r="X71"/>
      <c r="BP71" s="5">
        <v>400</v>
      </c>
    </row>
    <row r="72" spans="2:68" x14ac:dyDescent="0.2">
      <c r="B72" s="33"/>
      <c r="C72" s="4" t="s">
        <v>814</v>
      </c>
      <c r="D72" s="4" t="s">
        <v>855</v>
      </c>
      <c r="E72" s="4" t="s">
        <v>681</v>
      </c>
      <c r="F72" s="4" t="str">
        <f t="shared" si="2"/>
        <v>Hilti HVA + HAS Super HDG ½" x 8"</v>
      </c>
      <c r="G72" s="136">
        <f>(4/8)*25.4</f>
        <v>12.7</v>
      </c>
      <c r="H72" s="136">
        <f>(9/16)*25.4</f>
        <v>14.2875</v>
      </c>
      <c r="I72" s="136"/>
      <c r="J72" s="137">
        <f>$J$7</f>
        <v>0.90873918181818181</v>
      </c>
      <c r="K72" s="137"/>
      <c r="L72" s="136"/>
      <c r="M72" s="34"/>
      <c r="P72"/>
      <c r="T72"/>
      <c r="X72"/>
    </row>
    <row r="73" spans="2:68" x14ac:dyDescent="0.2">
      <c r="B73" s="33"/>
      <c r="C73" s="4" t="s">
        <v>814</v>
      </c>
      <c r="D73" s="4" t="s">
        <v>855</v>
      </c>
      <c r="E73" s="4" t="s">
        <v>682</v>
      </c>
      <c r="F73" s="4" t="str">
        <f t="shared" si="2"/>
        <v>Hilti HVA + HAS Super HDG ½" x 12"</v>
      </c>
      <c r="G73" s="136">
        <f>(4/8)*25.4</f>
        <v>12.7</v>
      </c>
      <c r="H73" s="136">
        <f>(9/16)*25.4</f>
        <v>14.2875</v>
      </c>
      <c r="I73" s="136"/>
      <c r="J73" s="137">
        <f>$J$7</f>
        <v>0.90873918181818181</v>
      </c>
      <c r="K73" s="137"/>
      <c r="L73" s="136"/>
      <c r="M73" s="34"/>
      <c r="P73"/>
      <c r="T73"/>
      <c r="X73"/>
    </row>
    <row r="74" spans="2:68" x14ac:dyDescent="0.2">
      <c r="B74" s="33"/>
      <c r="C74" s="4" t="s">
        <v>814</v>
      </c>
      <c r="D74" s="4" t="s">
        <v>855</v>
      </c>
      <c r="E74" s="4" t="s">
        <v>683</v>
      </c>
      <c r="F74" s="4" t="str">
        <f t="shared" si="2"/>
        <v>Hilti HVA + HAS Super HDG ⅝" x 8"</v>
      </c>
      <c r="G74" s="136">
        <f>(5/8)*25.4</f>
        <v>15.875</v>
      </c>
      <c r="H74" s="136">
        <f>(11/16)*25.4</f>
        <v>17.462499999999999</v>
      </c>
      <c r="I74" s="136"/>
      <c r="J74" s="137">
        <f>$J$8</f>
        <v>1.3634067200000002</v>
      </c>
      <c r="K74" s="137"/>
      <c r="L74" s="136"/>
      <c r="M74" s="34"/>
      <c r="P74"/>
      <c r="T74"/>
      <c r="X74"/>
    </row>
    <row r="75" spans="2:68" x14ac:dyDescent="0.2">
      <c r="B75" s="33"/>
      <c r="C75" s="4" t="s">
        <v>814</v>
      </c>
      <c r="D75" s="4" t="s">
        <v>855</v>
      </c>
      <c r="E75" s="4" t="s">
        <v>684</v>
      </c>
      <c r="F75" s="4" t="str">
        <f t="shared" si="2"/>
        <v>Hilti HVA + HAS Super HDG ⅝" x 9"</v>
      </c>
      <c r="G75" s="136">
        <f>(5/8)*25.4</f>
        <v>15.875</v>
      </c>
      <c r="H75" s="136">
        <f>(11/16)*25.4</f>
        <v>17.462499999999999</v>
      </c>
      <c r="I75" s="136"/>
      <c r="J75" s="137">
        <f>$J$8</f>
        <v>1.3634067200000002</v>
      </c>
      <c r="K75" s="137"/>
      <c r="L75" s="136"/>
      <c r="M75" s="34"/>
      <c r="P75"/>
      <c r="T75"/>
      <c r="X75"/>
    </row>
    <row r="76" spans="2:68" x14ac:dyDescent="0.2">
      <c r="B76" s="33"/>
      <c r="C76" s="4" t="s">
        <v>814</v>
      </c>
      <c r="D76" s="4" t="s">
        <v>855</v>
      </c>
      <c r="E76" s="4" t="s">
        <v>685</v>
      </c>
      <c r="F76" s="4" t="str">
        <f t="shared" si="2"/>
        <v>Hilti HVA + HAS Super HDG ⅝" x 12"</v>
      </c>
      <c r="G76" s="136">
        <f>(5/8)*25.4</f>
        <v>15.875</v>
      </c>
      <c r="H76" s="136">
        <f>(11/16)*25.4</f>
        <v>17.462499999999999</v>
      </c>
      <c r="I76" s="136"/>
      <c r="J76" s="137">
        <f>$J$8</f>
        <v>1.3634067200000002</v>
      </c>
      <c r="K76" s="137"/>
      <c r="L76" s="136"/>
      <c r="M76" s="34"/>
      <c r="P76"/>
      <c r="T76"/>
      <c r="X76"/>
    </row>
    <row r="77" spans="2:68" x14ac:dyDescent="0.2">
      <c r="B77" s="33"/>
      <c r="C77" s="4" t="s">
        <v>814</v>
      </c>
      <c r="D77" s="4" t="s">
        <v>855</v>
      </c>
      <c r="E77" s="4" t="s">
        <v>686</v>
      </c>
      <c r="F77" s="4" t="str">
        <f t="shared" si="2"/>
        <v>Hilti HVA + HAS Super HDG ¾" x 10"</v>
      </c>
      <c r="G77" s="136">
        <f>(6/8)*25.4</f>
        <v>19.049999999999997</v>
      </c>
      <c r="H77" s="136">
        <f>(14/16)*25.4</f>
        <v>22.224999999999998</v>
      </c>
      <c r="I77" s="136"/>
      <c r="J77" s="137">
        <f>$J$9</f>
        <v>1.9953704117647055</v>
      </c>
      <c r="K77" s="137"/>
      <c r="L77" s="136"/>
      <c r="M77" s="34"/>
      <c r="P77"/>
      <c r="T77"/>
      <c r="X77"/>
    </row>
    <row r="78" spans="2:68" x14ac:dyDescent="0.2">
      <c r="B78" s="33"/>
      <c r="C78" s="4" t="s">
        <v>814</v>
      </c>
      <c r="D78" s="4" t="s">
        <v>855</v>
      </c>
      <c r="E78" s="4" t="s">
        <v>687</v>
      </c>
      <c r="F78" s="4" t="str">
        <f t="shared" ref="F78:F87" si="3">CONCATENATE(C78," + ",E78)</f>
        <v>Hilti HVA + HAS Super HDG ¾" x 14"</v>
      </c>
      <c r="G78" s="136">
        <f>(6/8)*25.4</f>
        <v>19.049999999999997</v>
      </c>
      <c r="H78" s="136">
        <f>(14/16)*25.4</f>
        <v>22.224999999999998</v>
      </c>
      <c r="I78" s="136"/>
      <c r="J78" s="137">
        <f>$J$9</f>
        <v>1.9953704117647055</v>
      </c>
      <c r="K78" s="137"/>
      <c r="L78" s="136"/>
      <c r="M78" s="34"/>
      <c r="P78"/>
      <c r="T78"/>
      <c r="X78"/>
    </row>
    <row r="79" spans="2:68" x14ac:dyDescent="0.2">
      <c r="B79" s="33"/>
      <c r="C79" s="4" t="s">
        <v>814</v>
      </c>
      <c r="D79" s="4" t="s">
        <v>855</v>
      </c>
      <c r="E79" s="4" t="s">
        <v>688</v>
      </c>
      <c r="F79" s="4" t="str">
        <f t="shared" si="3"/>
        <v>Hilti HVA + HAS Super HDG ¾" x 19"</v>
      </c>
      <c r="G79" s="136">
        <f>(6/8)*25.4</f>
        <v>19.049999999999997</v>
      </c>
      <c r="H79" s="136">
        <f>(14/16)*25.4</f>
        <v>22.224999999999998</v>
      </c>
      <c r="I79" s="136"/>
      <c r="J79" s="137">
        <f>$J$9</f>
        <v>1.9953704117647055</v>
      </c>
      <c r="K79" s="137"/>
      <c r="L79" s="136"/>
      <c r="M79" s="34"/>
      <c r="P79"/>
      <c r="T79"/>
      <c r="X79"/>
    </row>
    <row r="80" spans="2:68" x14ac:dyDescent="0.2">
      <c r="B80" s="33"/>
      <c r="C80" s="4" t="s">
        <v>814</v>
      </c>
      <c r="D80" s="4" t="s">
        <v>855</v>
      </c>
      <c r="E80" s="4" t="s">
        <v>689</v>
      </c>
      <c r="F80" s="4" t="str">
        <f t="shared" si="3"/>
        <v>Hilti HVA + HAS Super HDG ⅞" x 10"</v>
      </c>
      <c r="G80" s="136">
        <f>(7/8)*25.4</f>
        <v>22.224999999999998</v>
      </c>
      <c r="H80" s="136">
        <f>(16/16)*25.4</f>
        <v>25.4</v>
      </c>
      <c r="I80" s="136"/>
      <c r="J80" s="137">
        <f>$J$10</f>
        <v>2.5255412941176472</v>
      </c>
      <c r="K80" s="137"/>
      <c r="L80" s="136"/>
      <c r="M80" s="34"/>
      <c r="P80"/>
      <c r="T80"/>
      <c r="X80"/>
    </row>
    <row r="81" spans="2:24" x14ac:dyDescent="0.2">
      <c r="B81" s="33"/>
      <c r="C81" s="4" t="s">
        <v>814</v>
      </c>
      <c r="D81" s="4" t="s">
        <v>855</v>
      </c>
      <c r="E81" s="4" t="s">
        <v>690</v>
      </c>
      <c r="F81" s="4" t="str">
        <f t="shared" si="3"/>
        <v>Hilti HVA + HAS Super HDG ⅞" x 14"</v>
      </c>
      <c r="G81" s="136">
        <f>(7/8)*25.4</f>
        <v>22.224999999999998</v>
      </c>
      <c r="H81" s="136">
        <f>(16/16)*25.4</f>
        <v>25.4</v>
      </c>
      <c r="I81" s="136"/>
      <c r="J81" s="137">
        <f>$J$10</f>
        <v>2.5255412941176472</v>
      </c>
      <c r="K81" s="137"/>
      <c r="L81" s="136"/>
      <c r="M81" s="34"/>
      <c r="P81"/>
      <c r="T81"/>
      <c r="X81"/>
    </row>
    <row r="82" spans="2:24" x14ac:dyDescent="0.2">
      <c r="B82" s="33"/>
      <c r="C82" s="4" t="s">
        <v>814</v>
      </c>
      <c r="D82" s="4" t="s">
        <v>855</v>
      </c>
      <c r="E82" s="4" t="s">
        <v>691</v>
      </c>
      <c r="F82" s="4" t="str">
        <f t="shared" si="3"/>
        <v>Hilti HVA + HAS Super HDG ⅞" x 19"</v>
      </c>
      <c r="G82" s="136">
        <f>(7/8)*25.4</f>
        <v>22.224999999999998</v>
      </c>
      <c r="H82" s="136">
        <f>(16/16)*25.4</f>
        <v>25.4</v>
      </c>
      <c r="I82" s="136"/>
      <c r="J82" s="137">
        <f>$J$10</f>
        <v>2.5255412941176472</v>
      </c>
      <c r="K82" s="137"/>
      <c r="L82" s="136"/>
      <c r="M82" s="34"/>
      <c r="P82"/>
      <c r="T82"/>
      <c r="X82"/>
    </row>
    <row r="83" spans="2:24" x14ac:dyDescent="0.2">
      <c r="B83" s="33"/>
      <c r="C83" s="4" t="s">
        <v>814</v>
      </c>
      <c r="D83" s="4" t="s">
        <v>855</v>
      </c>
      <c r="E83" s="4" t="s">
        <v>692</v>
      </c>
      <c r="F83" s="4" t="str">
        <f t="shared" si="3"/>
        <v>Hilti HVA + HAS Super HDG 1" x 12"</v>
      </c>
      <c r="G83" s="136">
        <f>(8/8)*25.4</f>
        <v>25.4</v>
      </c>
      <c r="H83" s="136">
        <f>(18/16)*25.4</f>
        <v>28.574999999999999</v>
      </c>
      <c r="I83" s="136"/>
      <c r="J83" s="137">
        <f>$J$11</f>
        <v>3.2852233809523805</v>
      </c>
      <c r="K83" s="137"/>
      <c r="L83" s="136"/>
      <c r="M83" s="34"/>
      <c r="P83"/>
      <c r="T83"/>
      <c r="X83"/>
    </row>
    <row r="84" spans="2:24" x14ac:dyDescent="0.2">
      <c r="B84" s="33"/>
      <c r="C84" s="4" t="s">
        <v>814</v>
      </c>
      <c r="D84" s="4" t="s">
        <v>855</v>
      </c>
      <c r="E84" s="4" t="s">
        <v>693</v>
      </c>
      <c r="F84" s="4" t="str">
        <f t="shared" si="3"/>
        <v>Hilti HVA + HAS Super HDG 1" x 16"</v>
      </c>
      <c r="G84" s="136">
        <f>(8/8)*25.4</f>
        <v>25.4</v>
      </c>
      <c r="H84" s="136">
        <f>(18/16)*25.4</f>
        <v>28.574999999999999</v>
      </c>
      <c r="I84" s="136"/>
      <c r="J84" s="137">
        <f>$J$11</f>
        <v>3.2852233809523805</v>
      </c>
      <c r="K84" s="137"/>
      <c r="L84" s="136"/>
      <c r="M84" s="34"/>
      <c r="P84"/>
      <c r="T84"/>
      <c r="X84"/>
    </row>
    <row r="85" spans="2:24" x14ac:dyDescent="0.2">
      <c r="B85" s="33"/>
      <c r="C85" s="4" t="s">
        <v>814</v>
      </c>
      <c r="D85" s="4" t="s">
        <v>855</v>
      </c>
      <c r="E85" s="4" t="s">
        <v>694</v>
      </c>
      <c r="F85" s="4" t="str">
        <f t="shared" si="3"/>
        <v>Hilti HVA + HAS Super HDG 1" x 20"</v>
      </c>
      <c r="G85" s="136">
        <f>(8/8)*25.4</f>
        <v>25.4</v>
      </c>
      <c r="H85" s="136">
        <f>(18/16)*25.4</f>
        <v>28.574999999999999</v>
      </c>
      <c r="I85" s="136"/>
      <c r="J85" s="137">
        <f>$J$11</f>
        <v>3.2852233809523805</v>
      </c>
      <c r="K85" s="137"/>
      <c r="L85" s="136"/>
      <c r="M85" s="34"/>
      <c r="P85"/>
      <c r="T85"/>
      <c r="X85"/>
    </row>
    <row r="86" spans="2:24" x14ac:dyDescent="0.2">
      <c r="B86" s="33"/>
      <c r="C86" s="4" t="s">
        <v>814</v>
      </c>
      <c r="D86" s="4" t="s">
        <v>855</v>
      </c>
      <c r="E86" s="4" t="s">
        <v>695</v>
      </c>
      <c r="F86" s="4" t="str">
        <f t="shared" si="3"/>
        <v>Hilti HVA + HAS Super HDG 1 ¼" x 16"</v>
      </c>
      <c r="G86" s="136">
        <f>(10/8)*25.4</f>
        <v>31.75</v>
      </c>
      <c r="H86" s="136">
        <f>(22/16)*25.4</f>
        <v>34.924999999999997</v>
      </c>
      <c r="I86" s="136"/>
      <c r="J86" s="137">
        <f>$J$12</f>
        <v>5.0826874098360664</v>
      </c>
      <c r="K86" s="137"/>
      <c r="L86" s="136"/>
      <c r="M86" s="34"/>
      <c r="P86"/>
      <c r="T86"/>
      <c r="X86"/>
    </row>
    <row r="87" spans="2:24" x14ac:dyDescent="0.2">
      <c r="B87" s="33"/>
      <c r="C87" s="4" t="s">
        <v>814</v>
      </c>
      <c r="D87" s="4" t="s">
        <v>855</v>
      </c>
      <c r="E87" s="4" t="s">
        <v>696</v>
      </c>
      <c r="F87" s="4" t="str">
        <f t="shared" si="3"/>
        <v>Hilti HVA + HAS Super HDG 1 ¼" x 22"</v>
      </c>
      <c r="G87" s="136">
        <f>(10/8)*25.4</f>
        <v>31.75</v>
      </c>
      <c r="H87" s="136">
        <f>ROUND((22/16)*25.4,0)</f>
        <v>35</v>
      </c>
      <c r="I87" s="136"/>
      <c r="J87" s="137">
        <f>$J$12</f>
        <v>5.0826874098360664</v>
      </c>
      <c r="K87" s="137"/>
      <c r="L87" s="136"/>
      <c r="M87" s="34"/>
      <c r="P87"/>
      <c r="T87"/>
      <c r="X87"/>
    </row>
    <row r="88" spans="2:24" x14ac:dyDescent="0.2">
      <c r="B88" s="33"/>
      <c r="C88" s="4" t="s">
        <v>814</v>
      </c>
      <c r="D88" s="4"/>
      <c r="E88" s="39" t="s">
        <v>261</v>
      </c>
      <c r="F88" s="4" t="str">
        <f>E88</f>
        <v>--------------------</v>
      </c>
      <c r="G88" s="136"/>
      <c r="H88" s="136"/>
      <c r="I88" s="136"/>
      <c r="J88" s="137"/>
      <c r="K88" s="137"/>
      <c r="L88" s="136"/>
      <c r="M88" s="34"/>
      <c r="P88"/>
      <c r="T88"/>
      <c r="X88"/>
    </row>
    <row r="89" spans="2:24" x14ac:dyDescent="0.2">
      <c r="B89" s="33"/>
      <c r="C89" s="4" t="s">
        <v>814</v>
      </c>
      <c r="D89" s="4" t="s">
        <v>856</v>
      </c>
      <c r="E89" s="4" t="s">
        <v>236</v>
      </c>
      <c r="F89" s="4" t="str">
        <f t="shared" ref="F89:F96" si="4">CONCATENATE(C89," + ",E89)</f>
        <v>Hilti HVA + HIS ⅜"</v>
      </c>
      <c r="G89" s="136">
        <f>(3/8)*25.4</f>
        <v>9.5249999999999986</v>
      </c>
      <c r="H89" s="136">
        <f>(11/16)*25.4</f>
        <v>17.462499999999999</v>
      </c>
      <c r="I89" s="136"/>
      <c r="J89" s="137">
        <f>$J$6</f>
        <v>0.67369188888888898</v>
      </c>
      <c r="K89" s="137"/>
      <c r="L89" s="136"/>
      <c r="M89" s="34"/>
      <c r="P89"/>
      <c r="T89"/>
      <c r="X89"/>
    </row>
    <row r="90" spans="2:24" x14ac:dyDescent="0.2">
      <c r="B90" s="33"/>
      <c r="C90" s="4" t="s">
        <v>814</v>
      </c>
      <c r="D90" s="4" t="s">
        <v>856</v>
      </c>
      <c r="E90" s="4" t="s">
        <v>233</v>
      </c>
      <c r="F90" s="4" t="str">
        <f t="shared" si="4"/>
        <v>Hilti HVA + HIS ½"</v>
      </c>
      <c r="G90" s="136">
        <f>(4/8)*25.4</f>
        <v>12.7</v>
      </c>
      <c r="H90" s="136">
        <f>(14/16)*25.4</f>
        <v>22.224999999999998</v>
      </c>
      <c r="I90" s="136"/>
      <c r="J90" s="137">
        <f>$J$7</f>
        <v>0.90873918181818181</v>
      </c>
      <c r="K90" s="137"/>
      <c r="L90" s="136"/>
      <c r="M90" s="34"/>
      <c r="P90"/>
      <c r="T90"/>
      <c r="X90"/>
    </row>
    <row r="91" spans="2:24" x14ac:dyDescent="0.2">
      <c r="B91" s="33"/>
      <c r="C91" s="4" t="s">
        <v>814</v>
      </c>
      <c r="D91" s="4" t="s">
        <v>856</v>
      </c>
      <c r="E91" s="4" t="s">
        <v>238</v>
      </c>
      <c r="F91" s="4" t="str">
        <f t="shared" si="4"/>
        <v>Hilti HVA + HIS ⅝"</v>
      </c>
      <c r="G91" s="136">
        <f>(5/8)*25.4</f>
        <v>15.875</v>
      </c>
      <c r="H91" s="136">
        <f>(18/16)*25.4</f>
        <v>28.574999999999999</v>
      </c>
      <c r="I91" s="136"/>
      <c r="J91" s="137">
        <f>$J$8</f>
        <v>1.3634067200000002</v>
      </c>
      <c r="K91" s="137"/>
      <c r="L91" s="136"/>
      <c r="M91" s="34"/>
      <c r="P91"/>
      <c r="T91"/>
      <c r="X91"/>
    </row>
    <row r="92" spans="2:24" x14ac:dyDescent="0.2">
      <c r="B92" s="33"/>
      <c r="C92" s="4" t="s">
        <v>814</v>
      </c>
      <c r="D92" s="4" t="s">
        <v>856</v>
      </c>
      <c r="E92" s="4" t="s">
        <v>239</v>
      </c>
      <c r="F92" s="4" t="str">
        <f t="shared" si="4"/>
        <v>Hilti HVA + HIS ¾"</v>
      </c>
      <c r="G92" s="136">
        <f>(6/8)*25.4</f>
        <v>19.049999999999997</v>
      </c>
      <c r="H92" s="136">
        <f>(20/16)*25.4</f>
        <v>31.75</v>
      </c>
      <c r="I92" s="136"/>
      <c r="J92" s="137">
        <f>$J$9</f>
        <v>1.9953704117647055</v>
      </c>
      <c r="K92" s="137"/>
      <c r="L92" s="136"/>
      <c r="M92" s="34"/>
      <c r="P92"/>
      <c r="T92"/>
      <c r="X92"/>
    </row>
    <row r="93" spans="2:24" x14ac:dyDescent="0.2">
      <c r="B93" s="33"/>
      <c r="C93" s="4" t="s">
        <v>814</v>
      </c>
      <c r="D93" s="4" t="s">
        <v>856</v>
      </c>
      <c r="E93" s="4" t="s">
        <v>235</v>
      </c>
      <c r="F93" s="4" t="str">
        <f t="shared" si="4"/>
        <v>Hilti HVA + HIS-R ⅜" (316SS)</v>
      </c>
      <c r="G93" s="136">
        <f>(3/8)*25.4</f>
        <v>9.5249999999999986</v>
      </c>
      <c r="H93" s="136">
        <f>(11/16)*25.4</f>
        <v>17.462499999999999</v>
      </c>
      <c r="I93" s="136"/>
      <c r="J93" s="137">
        <f>$J$6</f>
        <v>0.67369188888888898</v>
      </c>
      <c r="K93" s="137"/>
      <c r="L93" s="136"/>
      <c r="M93" s="34"/>
      <c r="P93"/>
      <c r="T93"/>
      <c r="X93"/>
    </row>
    <row r="94" spans="2:24" x14ac:dyDescent="0.2">
      <c r="B94" s="33"/>
      <c r="C94" s="4" t="s">
        <v>814</v>
      </c>
      <c r="D94" s="4" t="s">
        <v>856</v>
      </c>
      <c r="E94" s="4" t="s">
        <v>234</v>
      </c>
      <c r="F94" s="4" t="str">
        <f t="shared" si="4"/>
        <v>Hilti HVA + HIS-R ½" (316SS)</v>
      </c>
      <c r="G94" s="136">
        <f>(4/8)*25.4</f>
        <v>12.7</v>
      </c>
      <c r="H94" s="136">
        <f>(14/16)*25.4</f>
        <v>22.224999999999998</v>
      </c>
      <c r="I94" s="136"/>
      <c r="J94" s="137">
        <f>$J$7</f>
        <v>0.90873918181818181</v>
      </c>
      <c r="K94" s="137"/>
      <c r="L94" s="136"/>
      <c r="M94" s="34"/>
      <c r="P94"/>
      <c r="T94"/>
      <c r="X94"/>
    </row>
    <row r="95" spans="2:24" x14ac:dyDescent="0.2">
      <c r="B95" s="33"/>
      <c r="C95" s="4" t="s">
        <v>814</v>
      </c>
      <c r="D95" s="4" t="s">
        <v>856</v>
      </c>
      <c r="E95" s="4" t="s">
        <v>237</v>
      </c>
      <c r="F95" s="4" t="str">
        <f t="shared" si="4"/>
        <v>Hilti HVA + HIS-R ⅝" (316SS)</v>
      </c>
      <c r="G95" s="136">
        <f>(5/8)*25.4</f>
        <v>15.875</v>
      </c>
      <c r="H95" s="136">
        <f>(18/16)*25.4</f>
        <v>28.574999999999999</v>
      </c>
      <c r="I95" s="136"/>
      <c r="J95" s="137">
        <f>$J$8</f>
        <v>1.3634067200000002</v>
      </c>
      <c r="K95" s="137"/>
      <c r="L95" s="136"/>
      <c r="M95" s="34"/>
      <c r="P95"/>
      <c r="T95"/>
      <c r="X95"/>
    </row>
    <row r="96" spans="2:24" ht="13.5" thickBot="1" x14ac:dyDescent="0.25">
      <c r="B96" s="33"/>
      <c r="C96" s="4" t="s">
        <v>814</v>
      </c>
      <c r="D96" s="4" t="s">
        <v>856</v>
      </c>
      <c r="E96" s="4" t="s">
        <v>240</v>
      </c>
      <c r="F96" s="4" t="str">
        <f t="shared" si="4"/>
        <v>Hilti HVA + HIS-R ¾" (316SS)</v>
      </c>
      <c r="G96" s="136">
        <f>(6/8)*25.4</f>
        <v>19.049999999999997</v>
      </c>
      <c r="H96" s="136">
        <f>(20/16)*25.4</f>
        <v>31.75</v>
      </c>
      <c r="I96" s="136"/>
      <c r="J96" s="137">
        <f>$J$9</f>
        <v>1.9953704117647055</v>
      </c>
      <c r="K96" s="137"/>
      <c r="L96" s="136"/>
      <c r="M96" s="34"/>
      <c r="P96"/>
      <c r="T96"/>
      <c r="X96"/>
    </row>
    <row r="97" spans="2:72" x14ac:dyDescent="0.2">
      <c r="B97" s="33"/>
      <c r="C97" s="4" t="s">
        <v>814</v>
      </c>
      <c r="D97" s="4"/>
      <c r="E97" s="39" t="s">
        <v>261</v>
      </c>
      <c r="F97" s="4" t="str">
        <f>E97</f>
        <v>--------------------</v>
      </c>
      <c r="G97" s="136"/>
      <c r="H97" s="136"/>
      <c r="I97" s="136"/>
      <c r="J97" s="137"/>
      <c r="K97" s="137"/>
      <c r="L97" s="136"/>
      <c r="M97" s="34"/>
      <c r="P97"/>
      <c r="S97" s="148" t="s">
        <v>707</v>
      </c>
      <c r="T97" s="149"/>
      <c r="U97" s="149"/>
      <c r="X97"/>
    </row>
    <row r="98" spans="2:72" ht="13.5" thickBot="1" x14ac:dyDescent="0.25">
      <c r="B98" s="33"/>
      <c r="C98" s="4" t="s">
        <v>814</v>
      </c>
      <c r="D98" s="4" t="s">
        <v>857</v>
      </c>
      <c r="E98" s="4" t="s">
        <v>733</v>
      </c>
      <c r="F98" s="4" t="str">
        <f t="shared" ref="F98:F106" si="5">CONCATENATE(C98," + ",E98)</f>
        <v>Hilti HVA + Rebar #2</v>
      </c>
      <c r="G98" s="136">
        <f>(2/8)*25.4</f>
        <v>6.35</v>
      </c>
      <c r="H98" s="136">
        <f>(6/16)*25.4</f>
        <v>9.5249999999999986</v>
      </c>
      <c r="I98" s="136"/>
      <c r="J98" s="137"/>
      <c r="K98" s="137"/>
      <c r="L98" s="136"/>
      <c r="M98" s="34"/>
      <c r="P98"/>
      <c r="S98" s="151"/>
      <c r="T98" s="152"/>
      <c r="U98" s="152"/>
      <c r="X98"/>
    </row>
    <row r="99" spans="2:72" x14ac:dyDescent="0.2">
      <c r="B99" s="33"/>
      <c r="C99" s="4" t="s">
        <v>814</v>
      </c>
      <c r="D99" s="4" t="s">
        <v>857</v>
      </c>
      <c r="E99" s="4" t="s">
        <v>262</v>
      </c>
      <c r="F99" s="4" t="str">
        <f t="shared" si="5"/>
        <v>Hilti HVA + Rebar #3</v>
      </c>
      <c r="G99" s="136">
        <f>(3/8)*25.4</f>
        <v>9.5249999999999986</v>
      </c>
      <c r="H99" s="136">
        <f>(8/16)*25.4</f>
        <v>12.7</v>
      </c>
      <c r="I99" s="136"/>
      <c r="J99" s="137">
        <f>$J$6</f>
        <v>0.67369188888888898</v>
      </c>
      <c r="K99" s="137"/>
      <c r="L99" s="136"/>
      <c r="M99" s="34"/>
      <c r="P99"/>
      <c r="T99"/>
      <c r="X99"/>
    </row>
    <row r="100" spans="2:72" x14ac:dyDescent="0.2">
      <c r="B100" s="33"/>
      <c r="C100" s="4" t="s">
        <v>814</v>
      </c>
      <c r="D100" s="4" t="s">
        <v>857</v>
      </c>
      <c r="E100" s="4" t="s">
        <v>263</v>
      </c>
      <c r="F100" s="4" t="str">
        <f t="shared" si="5"/>
        <v>Hilti HVA + Rebar #4</v>
      </c>
      <c r="G100" s="136">
        <f>(4/8)*25.4</f>
        <v>12.7</v>
      </c>
      <c r="H100" s="136">
        <f>(10/16)*25.4</f>
        <v>15.875</v>
      </c>
      <c r="I100" s="136"/>
      <c r="J100" s="137">
        <f>$J$7</f>
        <v>0.90873918181818181</v>
      </c>
      <c r="K100" s="137"/>
      <c r="L100" s="136"/>
      <c r="M100" s="34"/>
      <c r="P100"/>
      <c r="T100"/>
      <c r="X100"/>
    </row>
    <row r="101" spans="2:72" x14ac:dyDescent="0.2">
      <c r="B101" s="33"/>
      <c r="C101" s="4" t="s">
        <v>814</v>
      </c>
      <c r="D101" s="4" t="s">
        <v>857</v>
      </c>
      <c r="E101" s="4" t="s">
        <v>264</v>
      </c>
      <c r="F101" s="4" t="str">
        <f t="shared" si="5"/>
        <v>Hilti HVA + Rebar #5</v>
      </c>
      <c r="G101" s="136">
        <f>(5/8)*25.4</f>
        <v>15.875</v>
      </c>
      <c r="H101" s="136">
        <f>(12/16)*25.4</f>
        <v>19.049999999999997</v>
      </c>
      <c r="I101" s="136"/>
      <c r="J101" s="137">
        <f>$J$8</f>
        <v>1.3634067200000002</v>
      </c>
      <c r="K101" s="137"/>
      <c r="L101" s="136"/>
      <c r="M101" s="34"/>
      <c r="P101"/>
      <c r="T101"/>
      <c r="X101"/>
    </row>
    <row r="102" spans="2:72" x14ac:dyDescent="0.2">
      <c r="B102" s="33"/>
      <c r="C102" s="4" t="s">
        <v>814</v>
      </c>
      <c r="D102" s="4" t="s">
        <v>857</v>
      </c>
      <c r="E102" s="4" t="s">
        <v>265</v>
      </c>
      <c r="F102" s="4" t="str">
        <f t="shared" si="5"/>
        <v>Hilti HVA + Rebar #6</v>
      </c>
      <c r="G102" s="136">
        <f>(6/8)*25.4</f>
        <v>19.049999999999997</v>
      </c>
      <c r="H102" s="136">
        <f>(14/16)*25.4</f>
        <v>22.224999999999998</v>
      </c>
      <c r="I102" s="136"/>
      <c r="J102" s="137">
        <f>$J$9</f>
        <v>1.9953704117647055</v>
      </c>
      <c r="K102" s="137"/>
      <c r="L102" s="136"/>
      <c r="M102" s="34"/>
      <c r="P102"/>
      <c r="X102"/>
    </row>
    <row r="103" spans="2:72" x14ac:dyDescent="0.2">
      <c r="B103" s="33"/>
      <c r="C103" s="4" t="s">
        <v>814</v>
      </c>
      <c r="D103" s="4" t="s">
        <v>857</v>
      </c>
      <c r="E103" s="4" t="s">
        <v>266</v>
      </c>
      <c r="F103" s="4" t="str">
        <f t="shared" si="5"/>
        <v>Hilti HVA + Rebar #7</v>
      </c>
      <c r="G103" s="136">
        <f>(7/8)*25.4</f>
        <v>22.224999999999998</v>
      </c>
      <c r="H103" s="136">
        <f>(16/16)*25.4</f>
        <v>25.4</v>
      </c>
      <c r="I103" s="136"/>
      <c r="J103" s="137">
        <f>$J$10</f>
        <v>2.5255412941176472</v>
      </c>
      <c r="K103" s="137"/>
      <c r="L103" s="136"/>
      <c r="M103" s="34"/>
      <c r="P103"/>
      <c r="X103"/>
    </row>
    <row r="104" spans="2:72" ht="13.5" thickBot="1" x14ac:dyDescent="0.25">
      <c r="B104" s="33"/>
      <c r="C104" s="4" t="s">
        <v>814</v>
      </c>
      <c r="D104" s="4" t="s">
        <v>857</v>
      </c>
      <c r="E104" s="4" t="s">
        <v>267</v>
      </c>
      <c r="F104" s="4" t="str">
        <f t="shared" si="5"/>
        <v>Hilti HVA + Rebar #8</v>
      </c>
      <c r="G104" s="136">
        <f>(8/8)*25.4</f>
        <v>25.4</v>
      </c>
      <c r="H104" s="136">
        <f>(18/16)*25.4</f>
        <v>28.574999999999999</v>
      </c>
      <c r="I104" s="136"/>
      <c r="J104" s="137">
        <f>$J$11</f>
        <v>3.2852233809523805</v>
      </c>
      <c r="K104" s="137"/>
      <c r="L104" s="136"/>
      <c r="M104" s="34"/>
      <c r="P104"/>
      <c r="X104"/>
    </row>
    <row r="105" spans="2:72" x14ac:dyDescent="0.2">
      <c r="B105" s="33"/>
      <c r="C105" s="4" t="s">
        <v>814</v>
      </c>
      <c r="D105" s="4" t="s">
        <v>857</v>
      </c>
      <c r="E105" s="4" t="s">
        <v>269</v>
      </c>
      <c r="F105" s="4" t="str">
        <f t="shared" si="5"/>
        <v>Hilti HVA + Rebar #9</v>
      </c>
      <c r="G105" s="136">
        <f>(9/8)*25.4</f>
        <v>28.574999999999999</v>
      </c>
      <c r="H105" s="136">
        <f>(20/16)*25.4</f>
        <v>31.75</v>
      </c>
      <c r="I105" s="136"/>
      <c r="J105" s="137">
        <f>$J$11+$J$10</f>
        <v>5.8107646750700273</v>
      </c>
      <c r="K105" s="137"/>
      <c r="L105" s="136"/>
      <c r="M105" s="34"/>
      <c r="P105"/>
      <c r="W105" s="149"/>
      <c r="X105" s="149"/>
      <c r="Y105" s="149"/>
    </row>
    <row r="106" spans="2:72" ht="13.5" thickBot="1" x14ac:dyDescent="0.25">
      <c r="B106" s="33"/>
      <c r="C106" s="4" t="s">
        <v>814</v>
      </c>
      <c r="D106" s="4" t="s">
        <v>857</v>
      </c>
      <c r="E106" s="4" t="s">
        <v>268</v>
      </c>
      <c r="F106" s="4" t="str">
        <f t="shared" si="5"/>
        <v>Hilti HVA + Rebar #10</v>
      </c>
      <c r="G106" s="136">
        <f>(10/8)*25.4</f>
        <v>31.75</v>
      </c>
      <c r="H106" s="136">
        <f>(22/16)*25.4</f>
        <v>34.924999999999997</v>
      </c>
      <c r="I106" s="136"/>
      <c r="J106" s="137">
        <f>$J$12+$J$11</f>
        <v>8.3679107907884465</v>
      </c>
      <c r="K106" s="137"/>
      <c r="L106" s="136"/>
      <c r="M106" s="34"/>
      <c r="P106"/>
      <c r="W106" s="152"/>
      <c r="X106" s="152"/>
      <c r="Y106" s="152"/>
      <c r="BP106" s="5" t="s">
        <v>4</v>
      </c>
      <c r="BQ106" s="5">
        <v>1</v>
      </c>
      <c r="BR106" s="5">
        <v>1760</v>
      </c>
      <c r="BS106" s="1" t="s">
        <v>5</v>
      </c>
      <c r="BT106" s="1">
        <v>5</v>
      </c>
    </row>
    <row r="107" spans="2:72" ht="13.5" thickBot="1" x14ac:dyDescent="0.25">
      <c r="B107" s="33"/>
      <c r="C107" s="4"/>
      <c r="D107" s="4"/>
      <c r="E107" s="39" t="s">
        <v>261</v>
      </c>
      <c r="F107" s="4" t="str">
        <f>E107</f>
        <v>--------------------</v>
      </c>
      <c r="G107" s="136"/>
      <c r="H107" s="136"/>
      <c r="I107" s="136"/>
      <c r="J107" s="137"/>
      <c r="K107" s="137"/>
      <c r="L107" s="136"/>
      <c r="M107" s="34"/>
      <c r="P107"/>
      <c r="X107"/>
    </row>
    <row r="108" spans="2:72" x14ac:dyDescent="0.2">
      <c r="B108" s="33"/>
      <c r="C108" s="4" t="s">
        <v>407</v>
      </c>
      <c r="D108" s="4" t="s">
        <v>858</v>
      </c>
      <c r="E108" s="4" t="s">
        <v>811</v>
      </c>
      <c r="F108" s="4" t="str">
        <f>E108</f>
        <v>HIT-RE 500 SD  (500ml)</v>
      </c>
      <c r="G108" s="136"/>
      <c r="H108" s="136"/>
      <c r="I108" s="136">
        <v>440</v>
      </c>
      <c r="J108" s="137"/>
      <c r="K108" s="137"/>
      <c r="L108" s="136"/>
      <c r="M108" s="34"/>
      <c r="P108"/>
      <c r="V108" s="149"/>
      <c r="X108"/>
      <c r="Z108" s="149"/>
      <c r="AA108" s="149"/>
      <c r="AB108" s="150"/>
    </row>
    <row r="109" spans="2:72" ht="13.5" thickBot="1" x14ac:dyDescent="0.25">
      <c r="B109" s="33"/>
      <c r="C109" s="4" t="s">
        <v>407</v>
      </c>
      <c r="D109" s="4"/>
      <c r="E109" s="39" t="s">
        <v>261</v>
      </c>
      <c r="F109" s="4" t="str">
        <f>E109</f>
        <v>--------------------</v>
      </c>
      <c r="G109" s="136"/>
      <c r="H109" s="136"/>
      <c r="I109" s="136"/>
      <c r="J109" s="137"/>
      <c r="K109" s="137"/>
      <c r="L109" s="136"/>
      <c r="M109" s="34"/>
      <c r="P109"/>
      <c r="V109" s="152"/>
      <c r="X109"/>
      <c r="Z109" s="152"/>
      <c r="AA109" s="152"/>
      <c r="AB109" s="153"/>
    </row>
    <row r="110" spans="2:72" x14ac:dyDescent="0.2">
      <c r="B110" s="33"/>
      <c r="C110" s="4" t="s">
        <v>407</v>
      </c>
      <c r="D110" s="4" t="s">
        <v>855</v>
      </c>
      <c r="E110" s="4" t="s">
        <v>170</v>
      </c>
      <c r="F110" s="4" t="str">
        <f t="shared" ref="F110:F141" si="6">CONCATENATE(C110," + ",E110)</f>
        <v>Hilti HIT-RE 500-SD + HAS ⅜" x 5 ⅛"</v>
      </c>
      <c r="G110" s="136">
        <f>(3/8)*25.4</f>
        <v>9.5249999999999986</v>
      </c>
      <c r="H110" s="136">
        <f>(7/16)*25.4</f>
        <v>11.112499999999999</v>
      </c>
      <c r="I110" s="136"/>
      <c r="J110" s="137">
        <v>0.61290199999999995</v>
      </c>
      <c r="K110" s="137"/>
      <c r="L110" s="136"/>
      <c r="M110" s="34"/>
      <c r="P110"/>
      <c r="Z110" s="100"/>
      <c r="AA110" s="100"/>
      <c r="AB110" s="101"/>
    </row>
    <row r="111" spans="2:72" ht="14.25" x14ac:dyDescent="0.2">
      <c r="B111" s="33"/>
      <c r="C111" s="4" t="s">
        <v>407</v>
      </c>
      <c r="D111" s="4" t="s">
        <v>855</v>
      </c>
      <c r="E111" s="4" t="s">
        <v>171</v>
      </c>
      <c r="F111" s="4" t="str">
        <f t="shared" si="6"/>
        <v>Hilti HIT-RE 500-SD + HAS ⅜" x 8"</v>
      </c>
      <c r="G111" s="136">
        <f>(3/8)*25.4</f>
        <v>9.5249999999999986</v>
      </c>
      <c r="H111" s="136">
        <f>(7/16)*25.4</f>
        <v>11.112499999999999</v>
      </c>
      <c r="I111" s="136"/>
      <c r="J111" s="137">
        <v>0.61290199999999995</v>
      </c>
      <c r="K111" s="137"/>
      <c r="L111" s="136"/>
      <c r="M111" s="34"/>
      <c r="P111"/>
      <c r="Z111" s="230" t="e">
        <f>#REF!</f>
        <v>#REF!</v>
      </c>
      <c r="AA111" s="231"/>
      <c r="AB111" s="101"/>
    </row>
    <row r="112" spans="2:72" x14ac:dyDescent="0.2">
      <c r="B112" s="33"/>
      <c r="C112" s="4" t="s">
        <v>407</v>
      </c>
      <c r="D112" s="4" t="s">
        <v>855</v>
      </c>
      <c r="E112" s="4" t="s">
        <v>172</v>
      </c>
      <c r="F112" s="4" t="str">
        <f t="shared" si="6"/>
        <v>Hilti HIT-RE 500-SD + HAS ⅜" x 12"</v>
      </c>
      <c r="G112" s="136">
        <f>(3/8)*25.4</f>
        <v>9.5249999999999986</v>
      </c>
      <c r="H112" s="136">
        <f>(7/16)*25.4</f>
        <v>11.112499999999999</v>
      </c>
      <c r="I112" s="136"/>
      <c r="J112" s="137">
        <v>0.61290199999999995</v>
      </c>
      <c r="K112" s="137"/>
      <c r="L112" s="136"/>
      <c r="M112" s="34"/>
      <c r="P112"/>
      <c r="Z112" s="127" t="s">
        <v>745</v>
      </c>
      <c r="AA112" s="126" t="s">
        <v>706</v>
      </c>
      <c r="AB112" s="101"/>
    </row>
    <row r="113" spans="2:70" x14ac:dyDescent="0.2">
      <c r="B113" s="33"/>
      <c r="C113" s="4" t="s">
        <v>407</v>
      </c>
      <c r="D113" s="4" t="s">
        <v>855</v>
      </c>
      <c r="E113" s="4" t="s">
        <v>173</v>
      </c>
      <c r="F113" s="4" t="str">
        <f t="shared" si="6"/>
        <v>Hilti HIT-RE 500-SD + HAS ½" x 6 ½"</v>
      </c>
      <c r="G113" s="136">
        <f>(4/8)*25.4</f>
        <v>12.7</v>
      </c>
      <c r="H113" s="136">
        <f>(9/16)*25.4</f>
        <v>14.2875</v>
      </c>
      <c r="I113" s="136"/>
      <c r="J113" s="137">
        <v>0.8580627999999999</v>
      </c>
      <c r="K113" s="137"/>
      <c r="L113" s="136"/>
      <c r="M113" s="34"/>
      <c r="P113"/>
      <c r="T113"/>
      <c r="Z113" s="111">
        <f>V113</f>
        <v>0</v>
      </c>
      <c r="AA113" s="111">
        <f>+(0.055*(2.54^3))/(2.54)</f>
        <v>0.35483799999999999</v>
      </c>
      <c r="AB113" s="101"/>
    </row>
    <row r="114" spans="2:70" x14ac:dyDescent="0.2">
      <c r="B114" s="33"/>
      <c r="C114" s="4" t="s">
        <v>407</v>
      </c>
      <c r="D114" s="4" t="s">
        <v>855</v>
      </c>
      <c r="E114" s="4" t="s">
        <v>174</v>
      </c>
      <c r="F114" s="4" t="str">
        <f t="shared" si="6"/>
        <v>Hilti HIT-RE 500-SD + HAS ½" x 8"</v>
      </c>
      <c r="G114" s="136">
        <f>(4/8)*25.4</f>
        <v>12.7</v>
      </c>
      <c r="H114" s="136">
        <f>(9/16)*25.4</f>
        <v>14.2875</v>
      </c>
      <c r="I114" s="136"/>
      <c r="J114" s="137">
        <v>0.8580627999999999</v>
      </c>
      <c r="K114" s="137"/>
      <c r="L114" s="136"/>
      <c r="M114" s="34"/>
      <c r="P114"/>
      <c r="T114"/>
      <c r="Z114" s="111">
        <f>+(0.11*(2.54^3))/(2.54)</f>
        <v>0.70967599999999997</v>
      </c>
      <c r="AA114" s="111">
        <f>+(0.095*(2.54^3))/(2.54)</f>
        <v>0.61290199999999995</v>
      </c>
      <c r="AB114" s="101"/>
    </row>
    <row r="115" spans="2:70" x14ac:dyDescent="0.2">
      <c r="B115" s="33"/>
      <c r="C115" s="4" t="s">
        <v>407</v>
      </c>
      <c r="D115" s="4" t="s">
        <v>855</v>
      </c>
      <c r="E115" s="4" t="s">
        <v>175</v>
      </c>
      <c r="F115" s="4" t="str">
        <f t="shared" si="6"/>
        <v>Hilti HIT-RE 500-SD + HAS ½" x 12"</v>
      </c>
      <c r="G115" s="136">
        <f>(4/8)*25.4</f>
        <v>12.7</v>
      </c>
      <c r="H115" s="136">
        <f>(9/16)*25.4</f>
        <v>14.2875</v>
      </c>
      <c r="I115" s="136"/>
      <c r="J115" s="137">
        <v>0.8580627999999999</v>
      </c>
      <c r="K115" s="137"/>
      <c r="L115" s="136"/>
      <c r="M115" s="34"/>
      <c r="P115"/>
      <c r="T115"/>
      <c r="Z115" s="111">
        <f>+(0.146*(2.54^3))/(2.54)</f>
        <v>0.94193359999999993</v>
      </c>
      <c r="AA115" s="111">
        <f>+(0.133*(2.54^3))/(2.54)</f>
        <v>0.8580627999999999</v>
      </c>
      <c r="AB115" s="101"/>
    </row>
    <row r="116" spans="2:70" x14ac:dyDescent="0.2">
      <c r="B116" s="33"/>
      <c r="C116" s="4" t="s">
        <v>407</v>
      </c>
      <c r="D116" s="4" t="s">
        <v>855</v>
      </c>
      <c r="E116" s="4" t="s">
        <v>178</v>
      </c>
      <c r="F116" s="4" t="str">
        <f t="shared" si="6"/>
        <v>Hilti HIT-RE 500-SD + HAS ⅝" x 8"</v>
      </c>
      <c r="G116" s="136">
        <f>(5/8)*25.4</f>
        <v>15.875</v>
      </c>
      <c r="H116" s="136">
        <f>(11/16)*25.4</f>
        <v>17.462499999999999</v>
      </c>
      <c r="I116" s="136"/>
      <c r="J116" s="137">
        <v>1.6838675999999997</v>
      </c>
      <c r="K116" s="137"/>
      <c r="L116" s="136"/>
      <c r="M116" s="34"/>
      <c r="P116"/>
      <c r="T116"/>
      <c r="Z116" s="111">
        <f>+(0.176*(2.54^3))/(2.54)</f>
        <v>1.1354815999999996</v>
      </c>
      <c r="AA116" s="111">
        <f>+(0.184*(2.54^3))/(2.54)</f>
        <v>1.1870943999999999</v>
      </c>
      <c r="AB116" s="101"/>
    </row>
    <row r="117" spans="2:70" x14ac:dyDescent="0.2">
      <c r="B117" s="33"/>
      <c r="C117" s="4" t="s">
        <v>407</v>
      </c>
      <c r="D117" s="4" t="s">
        <v>855</v>
      </c>
      <c r="E117" s="4" t="s">
        <v>179</v>
      </c>
      <c r="F117" s="4" t="str">
        <f t="shared" si="6"/>
        <v>Hilti HIT-RE 500-SD + HAS ⅝" x 9"</v>
      </c>
      <c r="G117" s="136">
        <f>(5/8)*25.4</f>
        <v>15.875</v>
      </c>
      <c r="H117" s="136">
        <f>(11/16)*25.4</f>
        <v>17.462499999999999</v>
      </c>
      <c r="I117" s="136"/>
      <c r="J117" s="137">
        <v>1.6838675999999997</v>
      </c>
      <c r="K117" s="137"/>
      <c r="L117" s="136"/>
      <c r="M117" s="34"/>
      <c r="P117"/>
      <c r="T117"/>
      <c r="Z117" s="111">
        <f>+(0.218*(2.54^3))/(2.54)</f>
        <v>1.4064487999999999</v>
      </c>
      <c r="AA117" s="111">
        <f>+(0.232*(2.54^3))/(2.54)</f>
        <v>1.4967712</v>
      </c>
      <c r="AB117" s="101"/>
      <c r="BP117" s="5">
        <v>5</v>
      </c>
      <c r="BQ117" s="5">
        <v>93600</v>
      </c>
      <c r="BR117" s="5" t="s">
        <v>3</v>
      </c>
    </row>
    <row r="118" spans="2:70" x14ac:dyDescent="0.2">
      <c r="B118" s="33"/>
      <c r="C118" s="4" t="s">
        <v>407</v>
      </c>
      <c r="D118" s="4" t="s">
        <v>855</v>
      </c>
      <c r="E118" s="4" t="s">
        <v>180</v>
      </c>
      <c r="F118" s="4" t="str">
        <f t="shared" si="6"/>
        <v>Hilti HIT-RE 500-SD + HAS ⅝" x 12"</v>
      </c>
      <c r="G118" s="136">
        <f>(5/8)*25.4</f>
        <v>15.875</v>
      </c>
      <c r="H118" s="136">
        <f>(11/16)*25.4</f>
        <v>17.462499999999999</v>
      </c>
      <c r="I118" s="136"/>
      <c r="J118" s="137">
        <v>1.6838675999999997</v>
      </c>
      <c r="K118" s="137"/>
      <c r="L118" s="136"/>
      <c r="M118" s="34"/>
      <c r="P118"/>
      <c r="T118"/>
      <c r="Z118" s="111">
        <f>+(0.252*(2.54^3))/(2.54)</f>
        <v>1.6258031999999998</v>
      </c>
      <c r="AA118" s="111">
        <f>+(0.391*(2.54^3))/(2.54)</f>
        <v>2.5225756000000001</v>
      </c>
      <c r="AB118" s="101"/>
    </row>
    <row r="119" spans="2:70" ht="15" x14ac:dyDescent="0.2">
      <c r="B119" s="33"/>
      <c r="C119" s="4" t="s">
        <v>407</v>
      </c>
      <c r="D119" s="4" t="s">
        <v>855</v>
      </c>
      <c r="E119" s="4" t="s">
        <v>181</v>
      </c>
      <c r="F119" s="4" t="str">
        <f t="shared" si="6"/>
        <v>Hilti HIT-RE 500-SD + HAS ¾" x 10"</v>
      </c>
      <c r="G119" s="136">
        <f>(6/8)*25.4</f>
        <v>19.049999999999997</v>
      </c>
      <c r="H119" s="136">
        <f>(14/16)*25.4</f>
        <v>22.224999999999998</v>
      </c>
      <c r="I119" s="136"/>
      <c r="J119" s="137">
        <v>2.1032215999999999</v>
      </c>
      <c r="K119" s="137"/>
      <c r="L119" s="136"/>
      <c r="M119" s="34"/>
      <c r="P119"/>
      <c r="T119"/>
      <c r="Z119" s="111">
        <f>+(0.53*(2.54^3))/(2.54)</f>
        <v>3.4193479999999998</v>
      </c>
      <c r="AA119" s="111">
        <f>+(0.478*(2.54^3))/(2.54)</f>
        <v>3.0838647999999997</v>
      </c>
      <c r="AB119" s="117"/>
    </row>
    <row r="120" spans="2:70" ht="15" x14ac:dyDescent="0.2">
      <c r="B120" s="33"/>
      <c r="C120" s="4" t="s">
        <v>407</v>
      </c>
      <c r="D120" s="4" t="s">
        <v>855</v>
      </c>
      <c r="E120" s="4" t="s">
        <v>182</v>
      </c>
      <c r="F120" s="4" t="str">
        <f t="shared" si="6"/>
        <v>Hilti HIT-RE 500-SD + HAS ¾" x 14"</v>
      </c>
      <c r="G120" s="136">
        <f>(6/8)*25.4</f>
        <v>19.049999999999997</v>
      </c>
      <c r="H120" s="136">
        <f>(14/16)*25.4</f>
        <v>22.224999999999998</v>
      </c>
      <c r="I120" s="136"/>
      <c r="J120" s="137">
        <v>2.1032215999999999</v>
      </c>
      <c r="K120" s="137"/>
      <c r="L120" s="136"/>
      <c r="M120" s="34"/>
      <c r="P120"/>
      <c r="T120"/>
      <c r="Z120" s="111">
        <f>+(0.601*(2.54^3))/(2.54)</f>
        <v>3.8774115999999998</v>
      </c>
      <c r="AA120" s="111">
        <f>+(0.569*(2.54^3))/(2.54)</f>
        <v>3.6709603999999998</v>
      </c>
      <c r="AB120" s="117"/>
      <c r="BP120" s="5" t="s">
        <v>5</v>
      </c>
      <c r="BQ120" s="5">
        <v>10</v>
      </c>
    </row>
    <row r="121" spans="2:70" ht="15" x14ac:dyDescent="0.2">
      <c r="B121" s="33"/>
      <c r="C121" s="4" t="s">
        <v>407</v>
      </c>
      <c r="D121" s="4" t="s">
        <v>855</v>
      </c>
      <c r="E121" s="4" t="s">
        <v>183</v>
      </c>
      <c r="F121" s="4" t="str">
        <f t="shared" si="6"/>
        <v>Hilti HIT-RE 500-SD + HAS ¾" x 19"</v>
      </c>
      <c r="G121" s="136">
        <f>(6/8)*25.4</f>
        <v>19.049999999999997</v>
      </c>
      <c r="H121" s="136">
        <f>(14/16)*25.4</f>
        <v>22.224999999999998</v>
      </c>
      <c r="I121" s="136"/>
      <c r="J121" s="137">
        <v>2.1032215999999999</v>
      </c>
      <c r="K121" s="137"/>
      <c r="L121" s="136"/>
      <c r="M121" s="34"/>
      <c r="P121"/>
      <c r="T121"/>
      <c r="X121"/>
      <c r="Z121" s="111">
        <f>+(0.659*(2.54^3))/(2.54)</f>
        <v>4.2516043999999997</v>
      </c>
      <c r="AA121" s="111">
        <f>+(0.626*(2.54^3))/(2.54)</f>
        <v>4.0387015999999996</v>
      </c>
      <c r="AB121" s="117"/>
      <c r="BP121" s="5">
        <v>98560</v>
      </c>
      <c r="BQ121" s="5" t="s">
        <v>5</v>
      </c>
      <c r="BR121" s="5">
        <v>15</v>
      </c>
    </row>
    <row r="122" spans="2:70" ht="15" x14ac:dyDescent="0.2">
      <c r="B122" s="33"/>
      <c r="C122" s="4" t="s">
        <v>407</v>
      </c>
      <c r="D122" s="4" t="s">
        <v>855</v>
      </c>
      <c r="E122" s="4" t="s">
        <v>184</v>
      </c>
      <c r="F122" s="4" t="str">
        <f t="shared" si="6"/>
        <v>Hilti HIT-RE 500-SD + HAS ⅞" x 10"</v>
      </c>
      <c r="G122" s="136">
        <f>(7/8)*25.4</f>
        <v>22.224999999999998</v>
      </c>
      <c r="H122" s="136">
        <f>(16/16)*25.4</f>
        <v>25.4</v>
      </c>
      <c r="I122" s="136"/>
      <c r="J122" s="137">
        <v>2.5225756000000001</v>
      </c>
      <c r="K122" s="137"/>
      <c r="L122" s="136"/>
      <c r="M122" s="34"/>
      <c r="P122"/>
      <c r="T122"/>
      <c r="X122"/>
      <c r="Z122" s="111">
        <f>V122</f>
        <v>0</v>
      </c>
      <c r="AA122" s="111">
        <f>W119</f>
        <v>0</v>
      </c>
      <c r="AB122" s="117"/>
    </row>
    <row r="123" spans="2:70" ht="15" x14ac:dyDescent="0.2">
      <c r="B123" s="33"/>
      <c r="C123" s="4" t="s">
        <v>407</v>
      </c>
      <c r="D123" s="4" t="s">
        <v>855</v>
      </c>
      <c r="E123" s="4" t="s">
        <v>185</v>
      </c>
      <c r="F123" s="4" t="str">
        <f t="shared" si="6"/>
        <v>Hilti HIT-RE 500-SD + HAS ⅞" x 14"</v>
      </c>
      <c r="G123" s="136">
        <f>(7/8)*25.4</f>
        <v>22.224999999999998</v>
      </c>
      <c r="H123" s="136">
        <f>(16/16)*25.4</f>
        <v>25.4</v>
      </c>
      <c r="I123" s="136"/>
      <c r="J123" s="137">
        <v>2.5225756000000001</v>
      </c>
      <c r="K123" s="137"/>
      <c r="L123" s="136"/>
      <c r="M123" s="34"/>
      <c r="P123"/>
      <c r="T123"/>
      <c r="W123" s="156"/>
      <c r="X123" s="156"/>
      <c r="Y123" s="156"/>
      <c r="Z123" s="111">
        <f>V123</f>
        <v>0</v>
      </c>
      <c r="AA123" s="111">
        <f>W120</f>
        <v>0</v>
      </c>
      <c r="AB123" s="117"/>
    </row>
    <row r="124" spans="2:70" x14ac:dyDescent="0.2">
      <c r="B124" s="33"/>
      <c r="C124" s="4" t="s">
        <v>407</v>
      </c>
      <c r="D124" s="4" t="s">
        <v>855</v>
      </c>
      <c r="E124" s="4" t="s">
        <v>177</v>
      </c>
      <c r="F124" s="4" t="str">
        <f t="shared" si="6"/>
        <v>Hilti HIT-RE 500-SD + HAS ⅞" x 19"</v>
      </c>
      <c r="G124" s="136">
        <f>(7/8)*25.4</f>
        <v>22.224999999999998</v>
      </c>
      <c r="H124" s="136">
        <f>(16/16)*25.4</f>
        <v>25.4</v>
      </c>
      <c r="I124" s="136"/>
      <c r="J124" s="137">
        <v>2.5225756000000001</v>
      </c>
      <c r="K124" s="137"/>
      <c r="L124" s="136"/>
      <c r="M124" s="34"/>
      <c r="P124"/>
      <c r="T124"/>
      <c r="X124"/>
      <c r="Y124" s="154" t="s">
        <v>706</v>
      </c>
      <c r="Z124" s="100"/>
      <c r="AA124" s="100"/>
      <c r="AB124" s="101"/>
    </row>
    <row r="125" spans="2:70" x14ac:dyDescent="0.2">
      <c r="B125" s="33"/>
      <c r="C125" s="4" t="s">
        <v>407</v>
      </c>
      <c r="D125" s="4" t="s">
        <v>855</v>
      </c>
      <c r="E125" s="4" t="s">
        <v>176</v>
      </c>
      <c r="F125" s="4" t="str">
        <f t="shared" si="6"/>
        <v>Hilti HIT-RE 500-SD + HAS 1" x 12"</v>
      </c>
      <c r="G125" s="136">
        <f>(8/8)*25.4</f>
        <v>25.4</v>
      </c>
      <c r="H125" s="136">
        <f>(18/16)*25.4</f>
        <v>28.574999999999999</v>
      </c>
      <c r="I125" s="136"/>
      <c r="J125" s="137">
        <v>3.0838647999999997</v>
      </c>
      <c r="K125" s="137"/>
      <c r="L125" s="136"/>
      <c r="M125" s="34"/>
      <c r="P125"/>
      <c r="T125"/>
      <c r="X125"/>
      <c r="Z125" s="100"/>
      <c r="AA125" s="100"/>
      <c r="AB125" s="101"/>
    </row>
    <row r="126" spans="2:70" ht="14.25" x14ac:dyDescent="0.2">
      <c r="B126" s="33"/>
      <c r="C126" s="4" t="s">
        <v>407</v>
      </c>
      <c r="D126" s="4" t="s">
        <v>855</v>
      </c>
      <c r="E126" s="4" t="s">
        <v>186</v>
      </c>
      <c r="F126" s="4" t="str">
        <f t="shared" si="6"/>
        <v>Hilti HIT-RE 500-SD + HAS 1" x 16"</v>
      </c>
      <c r="G126" s="136">
        <f>(8/8)*25.4</f>
        <v>25.4</v>
      </c>
      <c r="H126" s="136">
        <f>(18/16)*25.4</f>
        <v>28.574999999999999</v>
      </c>
      <c r="I126" s="136"/>
      <c r="J126" s="137">
        <v>3.0838647999999997</v>
      </c>
      <c r="K126" s="137"/>
      <c r="L126" s="136"/>
      <c r="M126" s="34"/>
      <c r="T126"/>
      <c r="V126" s="155" t="s">
        <v>698</v>
      </c>
      <c r="X126"/>
      <c r="Z126" s="156"/>
      <c r="AA126" s="156"/>
      <c r="AB126" s="101"/>
    </row>
    <row r="127" spans="2:70" x14ac:dyDescent="0.2">
      <c r="B127" s="33"/>
      <c r="C127" s="4" t="s">
        <v>407</v>
      </c>
      <c r="D127" s="4" t="s">
        <v>855</v>
      </c>
      <c r="E127" s="4" t="s">
        <v>187</v>
      </c>
      <c r="F127" s="4" t="str">
        <f t="shared" si="6"/>
        <v>Hilti HIT-RE 500-SD + HAS 1" x 20"</v>
      </c>
      <c r="G127" s="136">
        <f>(8/8)*25.4</f>
        <v>25.4</v>
      </c>
      <c r="H127" s="136">
        <f>(18/16)*25.4</f>
        <v>28.574999999999999</v>
      </c>
      <c r="I127" s="136"/>
      <c r="J127" s="137">
        <v>3.0838647999999997</v>
      </c>
      <c r="K127" s="137"/>
      <c r="L127" s="136"/>
      <c r="M127" s="34"/>
      <c r="T127"/>
      <c r="X127"/>
      <c r="Z127" s="154"/>
      <c r="AA127" s="154"/>
      <c r="AB127" s="101"/>
    </row>
    <row r="128" spans="2:70" x14ac:dyDescent="0.2">
      <c r="B128" s="33"/>
      <c r="C128" s="4" t="s">
        <v>407</v>
      </c>
      <c r="D128" s="4" t="s">
        <v>855</v>
      </c>
      <c r="E128" s="4" t="s">
        <v>188</v>
      </c>
      <c r="F128" s="4" t="str">
        <f t="shared" si="6"/>
        <v>Hilti HIT-RE 500-SD + HAS 1 ¼" x 16"</v>
      </c>
      <c r="G128" s="136">
        <f>(10/8)*25.4</f>
        <v>31.75</v>
      </c>
      <c r="H128" s="136">
        <f>(22/16)*25.4</f>
        <v>34.924999999999997</v>
      </c>
      <c r="I128" s="136"/>
      <c r="J128" s="137">
        <v>4.0387015999999996</v>
      </c>
      <c r="K128" s="137"/>
      <c r="L128" s="136"/>
      <c r="M128" s="34"/>
      <c r="T128"/>
      <c r="X128"/>
      <c r="Z128" s="110" t="s">
        <v>705</v>
      </c>
      <c r="AA128" s="110" t="s">
        <v>704</v>
      </c>
      <c r="AB128" s="101"/>
    </row>
    <row r="129" spans="2:28" x14ac:dyDescent="0.2">
      <c r="B129" s="33"/>
      <c r="C129" s="4" t="s">
        <v>407</v>
      </c>
      <c r="D129" s="4" t="s">
        <v>855</v>
      </c>
      <c r="E129" s="4" t="s">
        <v>189</v>
      </c>
      <c r="F129" s="4" t="str">
        <f t="shared" si="6"/>
        <v>Hilti HIT-RE 500-SD + HAS 1 ¼" x 22"</v>
      </c>
      <c r="G129" s="136">
        <f>(10/8)*25.4</f>
        <v>31.75</v>
      </c>
      <c r="H129" s="136">
        <f>ROUND((22/16)*25.4,0)</f>
        <v>35</v>
      </c>
      <c r="I129" s="136"/>
      <c r="J129" s="137">
        <v>4.0387015999999996</v>
      </c>
      <c r="K129" s="137"/>
      <c r="L129" s="136"/>
      <c r="M129" s="34"/>
      <c r="T129"/>
      <c r="X129"/>
      <c r="Z129" s="125" t="s">
        <v>622</v>
      </c>
      <c r="AA129" s="125" t="s">
        <v>622</v>
      </c>
      <c r="AB129" s="101"/>
    </row>
    <row r="130" spans="2:28" x14ac:dyDescent="0.2">
      <c r="B130" s="33"/>
      <c r="C130" s="4" t="s">
        <v>407</v>
      </c>
      <c r="D130" s="4" t="s">
        <v>855</v>
      </c>
      <c r="E130" s="4" t="s">
        <v>190</v>
      </c>
      <c r="F130" s="4" t="str">
        <f t="shared" si="6"/>
        <v xml:space="preserve">Hilti HIT-RE 500-SD + HAS HDG ⅜" x 5 ⅛" </v>
      </c>
      <c r="G130" s="136">
        <f>(3/8)*25.4</f>
        <v>9.5249999999999986</v>
      </c>
      <c r="H130" s="136">
        <f>(7/16)*25.4</f>
        <v>11.112499999999999</v>
      </c>
      <c r="I130" s="136"/>
      <c r="J130" s="137">
        <v>0.61290199999999995</v>
      </c>
      <c r="K130" s="137"/>
      <c r="L130" s="136"/>
      <c r="M130" s="34"/>
      <c r="T130"/>
      <c r="X130"/>
      <c r="Z130" s="125" t="s">
        <v>622</v>
      </c>
      <c r="AA130" s="125" t="s">
        <v>622</v>
      </c>
      <c r="AB130" s="101"/>
    </row>
    <row r="131" spans="2:28" x14ac:dyDescent="0.2">
      <c r="B131" s="33"/>
      <c r="C131" s="4" t="s">
        <v>407</v>
      </c>
      <c r="D131" s="4" t="s">
        <v>855</v>
      </c>
      <c r="E131" s="4" t="s">
        <v>191</v>
      </c>
      <c r="F131" s="4" t="str">
        <f t="shared" si="6"/>
        <v>Hilti HIT-RE 500-SD + HAS HDG ⅜" x 8"</v>
      </c>
      <c r="G131" s="136">
        <f>(3/8)*25.4</f>
        <v>9.5249999999999986</v>
      </c>
      <c r="H131" s="136">
        <f>(7/16)*25.4</f>
        <v>11.112499999999999</v>
      </c>
      <c r="I131" s="136"/>
      <c r="J131" s="137">
        <v>0.61290199999999995</v>
      </c>
      <c r="K131" s="137"/>
      <c r="L131" s="136"/>
      <c r="M131" s="34"/>
      <c r="T131"/>
      <c r="X131"/>
      <c r="Z131" s="125" t="s">
        <v>622</v>
      </c>
      <c r="AA131" s="125" t="s">
        <v>622</v>
      </c>
      <c r="AB131" s="101"/>
    </row>
    <row r="132" spans="2:28" x14ac:dyDescent="0.2">
      <c r="B132" s="33"/>
      <c r="C132" s="4" t="s">
        <v>407</v>
      </c>
      <c r="D132" s="4" t="s">
        <v>855</v>
      </c>
      <c r="E132" s="4" t="s">
        <v>192</v>
      </c>
      <c r="F132" s="4" t="str">
        <f t="shared" si="6"/>
        <v>Hilti HIT-RE 500-SD + HAS HDG ⅜" x 12"</v>
      </c>
      <c r="G132" s="136">
        <f>(3/8)*25.4</f>
        <v>9.5249999999999986</v>
      </c>
      <c r="H132" s="136">
        <f>(7/16)*25.4</f>
        <v>11.112499999999999</v>
      </c>
      <c r="I132" s="136"/>
      <c r="J132" s="137">
        <v>0.61290199999999995</v>
      </c>
      <c r="K132" s="137"/>
      <c r="L132" s="136"/>
      <c r="M132" s="34"/>
      <c r="T132"/>
      <c r="X132"/>
      <c r="Z132" s="112">
        <f>18/5</f>
        <v>3.6</v>
      </c>
      <c r="AA132" s="112">
        <f>36/8.5</f>
        <v>4.2352941176470589</v>
      </c>
      <c r="AB132" s="101"/>
    </row>
    <row r="133" spans="2:28" x14ac:dyDescent="0.2">
      <c r="B133" s="33"/>
      <c r="C133" s="4" t="s">
        <v>407</v>
      </c>
      <c r="D133" s="4" t="s">
        <v>855</v>
      </c>
      <c r="E133" s="4" t="s">
        <v>193</v>
      </c>
      <c r="F133" s="4" t="str">
        <f t="shared" si="6"/>
        <v xml:space="preserve">Hilti HIT-RE 500-SD + HAS HDG ½" x 6 ½" </v>
      </c>
      <c r="G133" s="136">
        <f>(4/8)*25.4</f>
        <v>12.7</v>
      </c>
      <c r="H133" s="136">
        <f>(9/16)*25.4</f>
        <v>14.2875</v>
      </c>
      <c r="I133" s="136"/>
      <c r="J133" s="137">
        <v>0.8580627999999999</v>
      </c>
      <c r="K133" s="137"/>
      <c r="L133" s="136"/>
      <c r="M133" s="34"/>
      <c r="T133"/>
      <c r="X133"/>
      <c r="Z133" s="100"/>
      <c r="AA133" s="100"/>
      <c r="AB133" s="101"/>
    </row>
    <row r="134" spans="2:28" ht="13.5" thickBot="1" x14ac:dyDescent="0.25">
      <c r="B134" s="33"/>
      <c r="C134" s="4" t="s">
        <v>407</v>
      </c>
      <c r="D134" s="4" t="s">
        <v>855</v>
      </c>
      <c r="E134" s="4" t="s">
        <v>194</v>
      </c>
      <c r="F134" s="4" t="str">
        <f t="shared" si="6"/>
        <v>Hilti HIT-RE 500-SD + HAS HDG ½" x 8"</v>
      </c>
      <c r="G134" s="136">
        <f>(4/8)*25.4</f>
        <v>12.7</v>
      </c>
      <c r="H134" s="136">
        <f>(9/16)*25.4</f>
        <v>14.2875</v>
      </c>
      <c r="I134" s="136"/>
      <c r="J134" s="137">
        <v>0.8580627999999999</v>
      </c>
      <c r="K134" s="137"/>
      <c r="L134" s="136"/>
      <c r="M134" s="34"/>
      <c r="T134"/>
      <c r="X134"/>
      <c r="Z134" s="119"/>
      <c r="AA134" s="119"/>
      <c r="AB134" s="120"/>
    </row>
    <row r="135" spans="2:28" x14ac:dyDescent="0.2">
      <c r="B135" s="33"/>
      <c r="C135" s="4" t="s">
        <v>407</v>
      </c>
      <c r="D135" s="4" t="s">
        <v>855</v>
      </c>
      <c r="E135" s="4" t="s">
        <v>195</v>
      </c>
      <c r="F135" s="4" t="str">
        <f t="shared" si="6"/>
        <v>Hilti HIT-RE 500-SD + HAS HDG ½" x 12"</v>
      </c>
      <c r="G135" s="136">
        <f>(4/8)*25.4</f>
        <v>12.7</v>
      </c>
      <c r="H135" s="136">
        <f>(9/16)*25.4</f>
        <v>14.2875</v>
      </c>
      <c r="I135" s="136"/>
      <c r="J135" s="137">
        <v>0.8580627999999999</v>
      </c>
      <c r="K135" s="137"/>
      <c r="L135" s="136"/>
      <c r="M135" s="34"/>
      <c r="T135"/>
      <c r="X135"/>
    </row>
    <row r="136" spans="2:28" x14ac:dyDescent="0.2">
      <c r="B136" s="33"/>
      <c r="C136" s="4" t="s">
        <v>407</v>
      </c>
      <c r="D136" s="4" t="s">
        <v>855</v>
      </c>
      <c r="E136" s="4" t="s">
        <v>196</v>
      </c>
      <c r="F136" s="4" t="str">
        <f t="shared" si="6"/>
        <v>Hilti HIT-RE 500-SD + HAS HDG ⅝" x 8"</v>
      </c>
      <c r="G136" s="136">
        <f>(5/8)*25.4</f>
        <v>15.875</v>
      </c>
      <c r="H136" s="136">
        <f>(11/16)*25.4</f>
        <v>17.462499999999999</v>
      </c>
      <c r="I136" s="136"/>
      <c r="J136" s="137">
        <v>1.6838675999999997</v>
      </c>
      <c r="K136" s="137"/>
      <c r="L136" s="136"/>
      <c r="M136" s="34"/>
      <c r="T136"/>
      <c r="X136"/>
    </row>
    <row r="137" spans="2:28" x14ac:dyDescent="0.2">
      <c r="B137" s="33"/>
      <c r="C137" s="4" t="s">
        <v>407</v>
      </c>
      <c r="D137" s="4" t="s">
        <v>855</v>
      </c>
      <c r="E137" s="4" t="s">
        <v>197</v>
      </c>
      <c r="F137" s="4" t="str">
        <f t="shared" si="6"/>
        <v>Hilti HIT-RE 500-SD + HAS HDG ⅝" x 9"</v>
      </c>
      <c r="G137" s="136">
        <f>(5/8)*25.4</f>
        <v>15.875</v>
      </c>
      <c r="H137" s="136">
        <f>(11/16)*25.4</f>
        <v>17.462499999999999</v>
      </c>
      <c r="I137" s="136"/>
      <c r="J137" s="137">
        <v>1.6838675999999997</v>
      </c>
      <c r="K137" s="137"/>
      <c r="L137" s="136"/>
      <c r="M137" s="34"/>
      <c r="P137"/>
      <c r="T137"/>
      <c r="X137"/>
    </row>
    <row r="138" spans="2:28" x14ac:dyDescent="0.2">
      <c r="B138" s="33"/>
      <c r="C138" s="4" t="s">
        <v>407</v>
      </c>
      <c r="D138" s="4" t="s">
        <v>855</v>
      </c>
      <c r="E138" s="4" t="s">
        <v>198</v>
      </c>
      <c r="F138" s="4" t="str">
        <f t="shared" si="6"/>
        <v>Hilti HIT-RE 500-SD + HAS HDG ⅝" x 12"</v>
      </c>
      <c r="G138" s="136">
        <f>(5/8)*25.4</f>
        <v>15.875</v>
      </c>
      <c r="H138" s="136">
        <f>(11/16)*25.4</f>
        <v>17.462499999999999</v>
      </c>
      <c r="I138" s="136"/>
      <c r="J138" s="137">
        <v>1.6838675999999997</v>
      </c>
      <c r="K138" s="137"/>
      <c r="L138" s="136"/>
      <c r="M138" s="34"/>
      <c r="P138"/>
      <c r="T138"/>
      <c r="X138"/>
    </row>
    <row r="139" spans="2:28" x14ac:dyDescent="0.2">
      <c r="B139" s="33"/>
      <c r="C139" s="4" t="s">
        <v>407</v>
      </c>
      <c r="D139" s="4" t="s">
        <v>855</v>
      </c>
      <c r="E139" s="4" t="s">
        <v>199</v>
      </c>
      <c r="F139" s="4" t="str">
        <f t="shared" si="6"/>
        <v>Hilti HIT-RE 500-SD + HAS HDG ¾" x 10"</v>
      </c>
      <c r="G139" s="136">
        <f>(6/8)*25.4</f>
        <v>19.049999999999997</v>
      </c>
      <c r="H139" s="136">
        <f>(14/16)*25.4</f>
        <v>22.224999999999998</v>
      </c>
      <c r="I139" s="136"/>
      <c r="J139" s="137">
        <v>2.1032215999999999</v>
      </c>
      <c r="K139" s="137"/>
      <c r="L139" s="136"/>
      <c r="M139" s="34"/>
      <c r="P139"/>
      <c r="T139"/>
      <c r="X139"/>
    </row>
    <row r="140" spans="2:28" x14ac:dyDescent="0.2">
      <c r="B140" s="33"/>
      <c r="C140" s="4" t="s">
        <v>407</v>
      </c>
      <c r="D140" s="4" t="s">
        <v>855</v>
      </c>
      <c r="E140" s="4" t="s">
        <v>200</v>
      </c>
      <c r="F140" s="4" t="str">
        <f t="shared" si="6"/>
        <v>Hilti HIT-RE 500-SD + HAS HDG ¾" x 14"</v>
      </c>
      <c r="G140" s="136">
        <f>(6/8)*25.4</f>
        <v>19.049999999999997</v>
      </c>
      <c r="H140" s="136">
        <f>(14/16)*25.4</f>
        <v>22.224999999999998</v>
      </c>
      <c r="I140" s="136"/>
      <c r="J140" s="137">
        <v>2.1032215999999999</v>
      </c>
      <c r="K140" s="137"/>
      <c r="L140" s="136"/>
      <c r="M140" s="34"/>
      <c r="P140"/>
      <c r="T140"/>
      <c r="X140"/>
    </row>
    <row r="141" spans="2:28" x14ac:dyDescent="0.2">
      <c r="B141" s="33"/>
      <c r="C141" s="4" t="s">
        <v>407</v>
      </c>
      <c r="D141" s="4" t="s">
        <v>855</v>
      </c>
      <c r="E141" s="4" t="s">
        <v>201</v>
      </c>
      <c r="F141" s="4" t="str">
        <f t="shared" si="6"/>
        <v>Hilti HIT-RE 500-SD + HAS HDG ¾" x 19"</v>
      </c>
      <c r="G141" s="136">
        <f>(6/8)*25.4</f>
        <v>19.049999999999997</v>
      </c>
      <c r="H141" s="136">
        <f>(14/16)*25.4</f>
        <v>22.224999999999998</v>
      </c>
      <c r="I141" s="136"/>
      <c r="J141" s="137">
        <v>2.1032215999999999</v>
      </c>
      <c r="K141" s="137"/>
      <c r="L141" s="136"/>
      <c r="M141" s="34"/>
      <c r="P141"/>
      <c r="T141"/>
      <c r="X141"/>
    </row>
    <row r="142" spans="2:28" x14ac:dyDescent="0.2">
      <c r="B142" s="33"/>
      <c r="C142" s="4" t="s">
        <v>407</v>
      </c>
      <c r="D142" s="4" t="s">
        <v>855</v>
      </c>
      <c r="E142" s="4" t="s">
        <v>202</v>
      </c>
      <c r="F142" s="4" t="str">
        <f t="shared" ref="F142:F173" si="7">CONCATENATE(C142," + ",E142)</f>
        <v>Hilti HIT-RE 500-SD + HAS HDG ⅞" x 10"</v>
      </c>
      <c r="G142" s="136">
        <f>(7/8)*25.4</f>
        <v>22.224999999999998</v>
      </c>
      <c r="H142" s="136">
        <f>(16/16)*25.4</f>
        <v>25.4</v>
      </c>
      <c r="I142" s="136"/>
      <c r="J142" s="137">
        <v>2.5225756000000001</v>
      </c>
      <c r="K142" s="137"/>
      <c r="L142" s="136"/>
      <c r="M142" s="34"/>
      <c r="P142"/>
      <c r="T142"/>
      <c r="X142"/>
    </row>
    <row r="143" spans="2:28" x14ac:dyDescent="0.2">
      <c r="B143" s="33"/>
      <c r="C143" s="4" t="s">
        <v>407</v>
      </c>
      <c r="D143" s="4" t="s">
        <v>855</v>
      </c>
      <c r="E143" s="4" t="s">
        <v>203</v>
      </c>
      <c r="F143" s="4" t="str">
        <f t="shared" si="7"/>
        <v>Hilti HIT-RE 500-SD + HAS HDG ⅞" x 14"</v>
      </c>
      <c r="G143" s="136">
        <f>(7/8)*25.4</f>
        <v>22.224999999999998</v>
      </c>
      <c r="H143" s="136">
        <f>(16/16)*25.4</f>
        <v>25.4</v>
      </c>
      <c r="I143" s="136"/>
      <c r="J143" s="137">
        <v>2.5225756000000001</v>
      </c>
      <c r="K143" s="137"/>
      <c r="L143" s="136"/>
      <c r="M143" s="34"/>
      <c r="P143"/>
      <c r="T143"/>
      <c r="X143"/>
    </row>
    <row r="144" spans="2:28" x14ac:dyDescent="0.2">
      <c r="B144" s="33"/>
      <c r="C144" s="4" t="s">
        <v>407</v>
      </c>
      <c r="D144" s="4" t="s">
        <v>855</v>
      </c>
      <c r="E144" s="4" t="s">
        <v>204</v>
      </c>
      <c r="F144" s="4" t="str">
        <f t="shared" si="7"/>
        <v>Hilti HIT-RE 500-SD + HAS HDG ⅞" x 19"</v>
      </c>
      <c r="G144" s="136">
        <f>(7/8)*25.4</f>
        <v>22.224999999999998</v>
      </c>
      <c r="H144" s="136">
        <f>(16/16)*25.4</f>
        <v>25.4</v>
      </c>
      <c r="I144" s="136"/>
      <c r="J144" s="137">
        <v>2.5225756000000001</v>
      </c>
      <c r="K144" s="137"/>
      <c r="L144" s="136"/>
      <c r="M144" s="34"/>
      <c r="P144"/>
      <c r="T144"/>
      <c r="X144"/>
    </row>
    <row r="145" spans="2:24" x14ac:dyDescent="0.2">
      <c r="B145" s="33"/>
      <c r="C145" s="4" t="s">
        <v>407</v>
      </c>
      <c r="D145" s="4" t="s">
        <v>855</v>
      </c>
      <c r="E145" s="4" t="s">
        <v>205</v>
      </c>
      <c r="F145" s="4" t="str">
        <f t="shared" si="7"/>
        <v>Hilti HIT-RE 500-SD + HAS HDG 1" x 12"</v>
      </c>
      <c r="G145" s="136">
        <f>(8/8)*25.4</f>
        <v>25.4</v>
      </c>
      <c r="H145" s="136">
        <f>(18/16)*25.4</f>
        <v>28.574999999999999</v>
      </c>
      <c r="I145" s="136"/>
      <c r="J145" s="137">
        <v>3.0838647999999997</v>
      </c>
      <c r="K145" s="137"/>
      <c r="L145" s="136"/>
      <c r="M145" s="34"/>
      <c r="P145"/>
      <c r="T145"/>
      <c r="X145"/>
    </row>
    <row r="146" spans="2:24" x14ac:dyDescent="0.2">
      <c r="B146" s="33"/>
      <c r="C146" s="4" t="s">
        <v>407</v>
      </c>
      <c r="D146" s="4" t="s">
        <v>855</v>
      </c>
      <c r="E146" s="4" t="s">
        <v>206</v>
      </c>
      <c r="F146" s="4" t="str">
        <f t="shared" si="7"/>
        <v>Hilti HIT-RE 500-SD + HAS HDG 1" x 16"</v>
      </c>
      <c r="G146" s="136">
        <f>(8/8)*25.4</f>
        <v>25.4</v>
      </c>
      <c r="H146" s="136">
        <f>(18/16)*25.4</f>
        <v>28.574999999999999</v>
      </c>
      <c r="I146" s="136"/>
      <c r="J146" s="137">
        <v>3.0838647999999997</v>
      </c>
      <c r="K146" s="137"/>
      <c r="L146" s="136"/>
      <c r="M146" s="34"/>
      <c r="P146"/>
      <c r="T146"/>
      <c r="X146"/>
    </row>
    <row r="147" spans="2:24" x14ac:dyDescent="0.2">
      <c r="B147" s="33"/>
      <c r="C147" s="4" t="s">
        <v>407</v>
      </c>
      <c r="D147" s="4" t="s">
        <v>855</v>
      </c>
      <c r="E147" s="4" t="s">
        <v>207</v>
      </c>
      <c r="F147" s="4" t="str">
        <f t="shared" si="7"/>
        <v>Hilti HIT-RE 500-SD + HAS HDG 1" x 20"</v>
      </c>
      <c r="G147" s="136">
        <f>(8/8)*25.4</f>
        <v>25.4</v>
      </c>
      <c r="H147" s="136">
        <f>(18/16)*25.4</f>
        <v>28.574999999999999</v>
      </c>
      <c r="I147" s="136"/>
      <c r="J147" s="137">
        <v>3.0838647999999997</v>
      </c>
      <c r="K147" s="137"/>
      <c r="L147" s="136"/>
      <c r="M147" s="34"/>
      <c r="P147"/>
      <c r="T147"/>
      <c r="X147"/>
    </row>
    <row r="148" spans="2:24" x14ac:dyDescent="0.2">
      <c r="B148" s="33"/>
      <c r="C148" s="4" t="s">
        <v>407</v>
      </c>
      <c r="D148" s="4" t="s">
        <v>855</v>
      </c>
      <c r="E148" s="4" t="s">
        <v>208</v>
      </c>
      <c r="F148" s="4" t="str">
        <f t="shared" si="7"/>
        <v>Hilti HIT-RE 500-SD + HAS HDG 1 ¼" x 16"</v>
      </c>
      <c r="G148" s="136">
        <f>(10/8)*25.4</f>
        <v>31.75</v>
      </c>
      <c r="H148" s="136">
        <f>(22/16)*25.4</f>
        <v>34.924999999999997</v>
      </c>
      <c r="I148" s="136"/>
      <c r="J148" s="137">
        <v>4.0387015999999996</v>
      </c>
      <c r="K148" s="137"/>
      <c r="L148" s="136"/>
      <c r="M148" s="34"/>
      <c r="P148"/>
      <c r="T148"/>
      <c r="X148"/>
    </row>
    <row r="149" spans="2:24" x14ac:dyDescent="0.2">
      <c r="B149" s="33"/>
      <c r="C149" s="4" t="s">
        <v>407</v>
      </c>
      <c r="D149" s="4" t="s">
        <v>855</v>
      </c>
      <c r="E149" s="4" t="s">
        <v>209</v>
      </c>
      <c r="F149" s="4" t="str">
        <f t="shared" si="7"/>
        <v>Hilti HIT-RE 500-SD + HAS HDG 1 ¼" x 22"</v>
      </c>
      <c r="G149" s="136">
        <f>(10/8)*25.4</f>
        <v>31.75</v>
      </c>
      <c r="H149" s="136">
        <f>ROUND((22/16)*25.4,0)</f>
        <v>35</v>
      </c>
      <c r="I149" s="136"/>
      <c r="J149" s="137">
        <v>4.0387015999999996</v>
      </c>
      <c r="K149" s="137"/>
      <c r="L149" s="136"/>
      <c r="M149" s="34"/>
      <c r="P149"/>
      <c r="T149"/>
      <c r="X149"/>
    </row>
    <row r="150" spans="2:24" x14ac:dyDescent="0.2">
      <c r="B150" s="33"/>
      <c r="C150" s="4" t="s">
        <v>407</v>
      </c>
      <c r="D150" s="4" t="s">
        <v>855</v>
      </c>
      <c r="E150" s="4" t="s">
        <v>663</v>
      </c>
      <c r="F150" s="4" t="str">
        <f t="shared" si="7"/>
        <v xml:space="preserve">Hilti HIT-RE 500-SD + HAS Super ½" x 6 ½" </v>
      </c>
      <c r="G150" s="136">
        <f>(4/8)*25.4</f>
        <v>12.7</v>
      </c>
      <c r="H150" s="136">
        <f>(9/16)*25.4</f>
        <v>14.2875</v>
      </c>
      <c r="I150" s="136"/>
      <c r="J150" s="137">
        <v>0.8580627999999999</v>
      </c>
      <c r="K150" s="137"/>
      <c r="L150" s="136"/>
      <c r="M150" s="34"/>
      <c r="P150"/>
      <c r="T150"/>
      <c r="X150"/>
    </row>
    <row r="151" spans="2:24" x14ac:dyDescent="0.2">
      <c r="B151" s="33"/>
      <c r="C151" s="4" t="s">
        <v>407</v>
      </c>
      <c r="D151" s="4" t="s">
        <v>855</v>
      </c>
      <c r="E151" s="4" t="s">
        <v>664</v>
      </c>
      <c r="F151" s="4" t="str">
        <f t="shared" si="7"/>
        <v>Hilti HIT-RE 500-SD + HAS Super ½" x 8"</v>
      </c>
      <c r="G151" s="136">
        <f>(4/8)*25.4</f>
        <v>12.7</v>
      </c>
      <c r="H151" s="136">
        <f>(9/16)*25.4</f>
        <v>14.2875</v>
      </c>
      <c r="I151" s="136"/>
      <c r="J151" s="137">
        <v>0.8580627999999999</v>
      </c>
      <c r="K151" s="137"/>
      <c r="L151" s="136"/>
      <c r="M151" s="34"/>
      <c r="P151"/>
      <c r="T151"/>
      <c r="X151"/>
    </row>
    <row r="152" spans="2:24" x14ac:dyDescent="0.2">
      <c r="B152" s="33"/>
      <c r="C152" s="4" t="s">
        <v>407</v>
      </c>
      <c r="D152" s="4" t="s">
        <v>855</v>
      </c>
      <c r="E152" s="4" t="s">
        <v>665</v>
      </c>
      <c r="F152" s="4" t="str">
        <f t="shared" si="7"/>
        <v>Hilti HIT-RE 500-SD + HAS Super ½" x 12"</v>
      </c>
      <c r="G152" s="136">
        <f>(4/8)*25.4</f>
        <v>12.7</v>
      </c>
      <c r="H152" s="136">
        <f>(9/16)*25.4</f>
        <v>14.2875</v>
      </c>
      <c r="I152" s="136"/>
      <c r="J152" s="137">
        <v>0.8580627999999999</v>
      </c>
      <c r="K152" s="137"/>
      <c r="L152" s="136"/>
      <c r="M152" s="34"/>
      <c r="P152"/>
      <c r="T152"/>
      <c r="X152"/>
    </row>
    <row r="153" spans="2:24" x14ac:dyDescent="0.2">
      <c r="B153" s="33"/>
      <c r="C153" s="4" t="s">
        <v>407</v>
      </c>
      <c r="D153" s="4" t="s">
        <v>855</v>
      </c>
      <c r="E153" s="4" t="s">
        <v>666</v>
      </c>
      <c r="F153" s="4" t="str">
        <f t="shared" si="7"/>
        <v>Hilti HIT-RE 500-SD + HAS Super ⅝" x 8"</v>
      </c>
      <c r="G153" s="136">
        <f>(5/8)*25.4</f>
        <v>15.875</v>
      </c>
      <c r="H153" s="136">
        <f>(11/16)*25.4</f>
        <v>17.462499999999999</v>
      </c>
      <c r="I153" s="136"/>
      <c r="J153" s="137">
        <v>1.6838675999999997</v>
      </c>
      <c r="K153" s="137"/>
      <c r="L153" s="136"/>
      <c r="M153" s="34"/>
      <c r="P153"/>
      <c r="T153"/>
      <c r="X153"/>
    </row>
    <row r="154" spans="2:24" x14ac:dyDescent="0.2">
      <c r="B154" s="33"/>
      <c r="C154" s="4" t="s">
        <v>407</v>
      </c>
      <c r="D154" s="4" t="s">
        <v>855</v>
      </c>
      <c r="E154" s="4" t="s">
        <v>667</v>
      </c>
      <c r="F154" s="4" t="str">
        <f t="shared" si="7"/>
        <v>Hilti HIT-RE 500-SD + HAS Super ⅝" x 9"</v>
      </c>
      <c r="G154" s="136">
        <f>(5/8)*25.4</f>
        <v>15.875</v>
      </c>
      <c r="H154" s="136">
        <f>(11/16)*25.4</f>
        <v>17.462499999999999</v>
      </c>
      <c r="I154" s="136"/>
      <c r="J154" s="137">
        <v>1.6838675999999997</v>
      </c>
      <c r="K154" s="137"/>
      <c r="L154" s="136"/>
      <c r="M154" s="34"/>
      <c r="P154"/>
      <c r="T154"/>
      <c r="X154"/>
    </row>
    <row r="155" spans="2:24" x14ac:dyDescent="0.2">
      <c r="B155" s="33"/>
      <c r="C155" s="4" t="s">
        <v>407</v>
      </c>
      <c r="D155" s="4" t="s">
        <v>855</v>
      </c>
      <c r="E155" s="4" t="s">
        <v>668</v>
      </c>
      <c r="F155" s="4" t="str">
        <f t="shared" si="7"/>
        <v>Hilti HIT-RE 500-SD + HAS Super ⅝" x 12"</v>
      </c>
      <c r="G155" s="136">
        <f>(5/8)*25.4</f>
        <v>15.875</v>
      </c>
      <c r="H155" s="136">
        <f>(11/16)*25.4</f>
        <v>17.462499999999999</v>
      </c>
      <c r="I155" s="136"/>
      <c r="J155" s="137">
        <v>1.6838675999999997</v>
      </c>
      <c r="K155" s="137"/>
      <c r="L155" s="136"/>
      <c r="M155" s="34"/>
      <c r="P155"/>
      <c r="T155"/>
      <c r="X155"/>
    </row>
    <row r="156" spans="2:24" x14ac:dyDescent="0.2">
      <c r="B156" s="33"/>
      <c r="C156" s="4" t="s">
        <v>407</v>
      </c>
      <c r="D156" s="4" t="s">
        <v>855</v>
      </c>
      <c r="E156" s="4" t="s">
        <v>669</v>
      </c>
      <c r="F156" s="4" t="str">
        <f t="shared" si="7"/>
        <v>Hilti HIT-RE 500-SD + HAS Super ¾" x 10"</v>
      </c>
      <c r="G156" s="136">
        <f>(6/8)*25.4</f>
        <v>19.049999999999997</v>
      </c>
      <c r="H156" s="136">
        <f>(14/16)*25.4</f>
        <v>22.224999999999998</v>
      </c>
      <c r="I156" s="136"/>
      <c r="J156" s="137">
        <v>2.1032215999999999</v>
      </c>
      <c r="K156" s="137"/>
      <c r="L156" s="136"/>
      <c r="M156" s="34"/>
      <c r="P156"/>
      <c r="T156"/>
      <c r="X156"/>
    </row>
    <row r="157" spans="2:24" x14ac:dyDescent="0.2">
      <c r="B157" s="33"/>
      <c r="C157" s="4" t="s">
        <v>407</v>
      </c>
      <c r="D157" s="4" t="s">
        <v>855</v>
      </c>
      <c r="E157" s="4" t="s">
        <v>670</v>
      </c>
      <c r="F157" s="4" t="str">
        <f t="shared" si="7"/>
        <v>Hilti HIT-RE 500-SD + HAS Super ¾" x 14"</v>
      </c>
      <c r="G157" s="136">
        <f>(6/8)*25.4</f>
        <v>19.049999999999997</v>
      </c>
      <c r="H157" s="136">
        <f>(14/16)*25.4</f>
        <v>22.224999999999998</v>
      </c>
      <c r="I157" s="136"/>
      <c r="J157" s="137">
        <v>2.1032215999999999</v>
      </c>
      <c r="K157" s="137"/>
      <c r="L157" s="136"/>
      <c r="M157" s="34"/>
      <c r="P157"/>
      <c r="T157"/>
      <c r="X157"/>
    </row>
    <row r="158" spans="2:24" x14ac:dyDescent="0.2">
      <c r="B158" s="33"/>
      <c r="C158" s="4" t="s">
        <v>407</v>
      </c>
      <c r="D158" s="4" t="s">
        <v>855</v>
      </c>
      <c r="E158" s="4" t="s">
        <v>671</v>
      </c>
      <c r="F158" s="4" t="str">
        <f t="shared" si="7"/>
        <v>Hilti HIT-RE 500-SD + HAS Super ¾" x 19"</v>
      </c>
      <c r="G158" s="136">
        <f>(6/8)*25.4</f>
        <v>19.049999999999997</v>
      </c>
      <c r="H158" s="136">
        <f>(14/16)*25.4</f>
        <v>22.224999999999998</v>
      </c>
      <c r="I158" s="136"/>
      <c r="J158" s="137">
        <v>2.1032215999999999</v>
      </c>
      <c r="K158" s="137"/>
      <c r="L158" s="136"/>
      <c r="M158" s="34"/>
      <c r="P158"/>
      <c r="T158"/>
      <c r="X158"/>
    </row>
    <row r="159" spans="2:24" x14ac:dyDescent="0.2">
      <c r="B159" s="33"/>
      <c r="C159" s="4" t="s">
        <v>407</v>
      </c>
      <c r="D159" s="4" t="s">
        <v>855</v>
      </c>
      <c r="E159" s="4" t="s">
        <v>672</v>
      </c>
      <c r="F159" s="4" t="str">
        <f t="shared" si="7"/>
        <v>Hilti HIT-RE 500-SD + HAS Super ⅞" x 10"</v>
      </c>
      <c r="G159" s="136">
        <f>(7/8)*25.4</f>
        <v>22.224999999999998</v>
      </c>
      <c r="H159" s="136">
        <f>(16/16)*25.4</f>
        <v>25.4</v>
      </c>
      <c r="I159" s="136"/>
      <c r="J159" s="137">
        <v>2.5225756000000001</v>
      </c>
      <c r="K159" s="137"/>
      <c r="L159" s="136"/>
      <c r="M159" s="34"/>
      <c r="P159"/>
      <c r="T159"/>
      <c r="X159"/>
    </row>
    <row r="160" spans="2:24" x14ac:dyDescent="0.2">
      <c r="B160" s="33"/>
      <c r="C160" s="4" t="s">
        <v>407</v>
      </c>
      <c r="D160" s="4" t="s">
        <v>855</v>
      </c>
      <c r="E160" s="4" t="s">
        <v>673</v>
      </c>
      <c r="F160" s="4" t="str">
        <f t="shared" si="7"/>
        <v>Hilti HIT-RE 500-SD + HAS Super ⅞" x 14"</v>
      </c>
      <c r="G160" s="136">
        <f>(7/8)*25.4</f>
        <v>22.224999999999998</v>
      </c>
      <c r="H160" s="136">
        <f>(16/16)*25.4</f>
        <v>25.4</v>
      </c>
      <c r="I160" s="136"/>
      <c r="J160" s="137">
        <v>2.5225756000000001</v>
      </c>
      <c r="K160" s="137"/>
      <c r="L160" s="136"/>
      <c r="M160" s="34"/>
      <c r="P160"/>
      <c r="T160"/>
      <c r="X160"/>
    </row>
    <row r="161" spans="2:24" x14ac:dyDescent="0.2">
      <c r="B161" s="33"/>
      <c r="C161" s="4" t="s">
        <v>407</v>
      </c>
      <c r="D161" s="4" t="s">
        <v>855</v>
      </c>
      <c r="E161" s="4" t="s">
        <v>674</v>
      </c>
      <c r="F161" s="4" t="str">
        <f t="shared" si="7"/>
        <v>Hilti HIT-RE 500-SD + HAS Super ⅞" x 19"</v>
      </c>
      <c r="G161" s="136">
        <f>(7/8)*25.4</f>
        <v>22.224999999999998</v>
      </c>
      <c r="H161" s="136">
        <f>(16/16)*25.4</f>
        <v>25.4</v>
      </c>
      <c r="I161" s="136"/>
      <c r="J161" s="137">
        <v>2.5225756000000001</v>
      </c>
      <c r="K161" s="137"/>
      <c r="L161" s="136"/>
      <c r="M161" s="34"/>
      <c r="P161"/>
      <c r="T161"/>
      <c r="X161"/>
    </row>
    <row r="162" spans="2:24" x14ac:dyDescent="0.2">
      <c r="B162" s="33"/>
      <c r="C162" s="4" t="s">
        <v>407</v>
      </c>
      <c r="D162" s="4" t="s">
        <v>855</v>
      </c>
      <c r="E162" s="4" t="s">
        <v>675</v>
      </c>
      <c r="F162" s="4" t="str">
        <f t="shared" si="7"/>
        <v>Hilti HIT-RE 500-SD + HAS Super 1" x 12"</v>
      </c>
      <c r="G162" s="136">
        <f>(8/8)*25.4</f>
        <v>25.4</v>
      </c>
      <c r="H162" s="136">
        <f>(18/16)*25.4</f>
        <v>28.574999999999999</v>
      </c>
      <c r="I162" s="136"/>
      <c r="J162" s="137">
        <v>3.0838647999999997</v>
      </c>
      <c r="K162" s="137"/>
      <c r="L162" s="136"/>
      <c r="M162" s="34"/>
      <c r="P162"/>
      <c r="T162"/>
      <c r="X162"/>
    </row>
    <row r="163" spans="2:24" x14ac:dyDescent="0.2">
      <c r="B163" s="33"/>
      <c r="C163" s="4" t="s">
        <v>407</v>
      </c>
      <c r="D163" s="4" t="s">
        <v>855</v>
      </c>
      <c r="E163" s="4" t="s">
        <v>676</v>
      </c>
      <c r="F163" s="4" t="str">
        <f t="shared" si="7"/>
        <v>Hilti HIT-RE 500-SD + HAS Super 1" x 16"</v>
      </c>
      <c r="G163" s="136">
        <f>(8/8)*25.4</f>
        <v>25.4</v>
      </c>
      <c r="H163" s="136">
        <f>(18/16)*25.4</f>
        <v>28.574999999999999</v>
      </c>
      <c r="I163" s="136"/>
      <c r="J163" s="137">
        <v>3.0838647999999997</v>
      </c>
      <c r="K163" s="137"/>
      <c r="L163" s="136"/>
      <c r="M163" s="34"/>
      <c r="P163"/>
      <c r="T163"/>
      <c r="X163"/>
    </row>
    <row r="164" spans="2:24" x14ac:dyDescent="0.2">
      <c r="B164" s="33"/>
      <c r="C164" s="4" t="s">
        <v>407</v>
      </c>
      <c r="D164" s="4" t="s">
        <v>855</v>
      </c>
      <c r="E164" s="4" t="s">
        <v>677</v>
      </c>
      <c r="F164" s="4" t="str">
        <f t="shared" si="7"/>
        <v>Hilti HIT-RE 500-SD + HAS Super 1" x 20"</v>
      </c>
      <c r="G164" s="136">
        <f>(8/8)*25.4</f>
        <v>25.4</v>
      </c>
      <c r="H164" s="136">
        <f>(18/16)*25.4</f>
        <v>28.574999999999999</v>
      </c>
      <c r="I164" s="136"/>
      <c r="J164" s="137">
        <v>3.0838647999999997</v>
      </c>
      <c r="K164" s="137"/>
      <c r="L164" s="136"/>
      <c r="M164" s="34"/>
      <c r="P164"/>
      <c r="T164"/>
      <c r="X164"/>
    </row>
    <row r="165" spans="2:24" x14ac:dyDescent="0.2">
      <c r="B165" s="33"/>
      <c r="C165" s="4" t="s">
        <v>407</v>
      </c>
      <c r="D165" s="4" t="s">
        <v>855</v>
      </c>
      <c r="E165" s="4" t="s">
        <v>678</v>
      </c>
      <c r="F165" s="4" t="str">
        <f t="shared" si="7"/>
        <v>Hilti HIT-RE 500-SD + HAS Super 1 ¼" x 16"</v>
      </c>
      <c r="G165" s="136">
        <f>(10/8)*25.4</f>
        <v>31.75</v>
      </c>
      <c r="H165" s="136">
        <f>(22/16)*25.4</f>
        <v>34.924999999999997</v>
      </c>
      <c r="I165" s="136"/>
      <c r="J165" s="137">
        <v>4.0387015999999996</v>
      </c>
      <c r="K165" s="137"/>
      <c r="L165" s="136"/>
      <c r="M165" s="34"/>
      <c r="P165"/>
      <c r="T165"/>
      <c r="X165"/>
    </row>
    <row r="166" spans="2:24" x14ac:dyDescent="0.2">
      <c r="B166" s="33"/>
      <c r="C166" s="4" t="s">
        <v>407</v>
      </c>
      <c r="D166" s="4" t="s">
        <v>855</v>
      </c>
      <c r="E166" s="4" t="s">
        <v>679</v>
      </c>
      <c r="F166" s="4" t="str">
        <f t="shared" si="7"/>
        <v>Hilti HIT-RE 500-SD + HAS Super 1 ¼" x 22"</v>
      </c>
      <c r="G166" s="136">
        <f>(10/8)*25.4</f>
        <v>31.75</v>
      </c>
      <c r="H166" s="136">
        <f>ROUND((22/16)*25.4,0)</f>
        <v>35</v>
      </c>
      <c r="I166" s="136"/>
      <c r="J166" s="137">
        <v>4.0387015999999996</v>
      </c>
      <c r="K166" s="137"/>
      <c r="L166" s="136"/>
      <c r="M166" s="34"/>
      <c r="P166"/>
      <c r="T166"/>
      <c r="X166"/>
    </row>
    <row r="167" spans="2:24" x14ac:dyDescent="0.2">
      <c r="B167" s="33"/>
      <c r="C167" s="4" t="s">
        <v>407</v>
      </c>
      <c r="D167" s="4" t="s">
        <v>855</v>
      </c>
      <c r="E167" s="4" t="s">
        <v>680</v>
      </c>
      <c r="F167" s="4" t="str">
        <f t="shared" si="7"/>
        <v>Hilti HIT-RE 500-SD + HAS Super HDG ½" x 6 ½"</v>
      </c>
      <c r="G167" s="136">
        <f>(4/8)*25.4</f>
        <v>12.7</v>
      </c>
      <c r="H167" s="136">
        <f>(9/16)*25.4</f>
        <v>14.2875</v>
      </c>
      <c r="I167" s="136"/>
      <c r="J167" s="137">
        <v>0.8580627999999999</v>
      </c>
      <c r="K167" s="137"/>
      <c r="L167" s="136"/>
      <c r="M167" s="34"/>
      <c r="P167"/>
      <c r="T167"/>
      <c r="X167"/>
    </row>
    <row r="168" spans="2:24" x14ac:dyDescent="0.2">
      <c r="B168" s="33"/>
      <c r="C168" s="4" t="s">
        <v>407</v>
      </c>
      <c r="D168" s="4" t="s">
        <v>855</v>
      </c>
      <c r="E168" s="4" t="s">
        <v>681</v>
      </c>
      <c r="F168" s="4" t="str">
        <f t="shared" si="7"/>
        <v>Hilti HIT-RE 500-SD + HAS Super HDG ½" x 8"</v>
      </c>
      <c r="G168" s="136">
        <f>(4/8)*25.4</f>
        <v>12.7</v>
      </c>
      <c r="H168" s="136">
        <f>(9/16)*25.4</f>
        <v>14.2875</v>
      </c>
      <c r="I168" s="136"/>
      <c r="J168" s="137">
        <v>0.8580627999999999</v>
      </c>
      <c r="K168" s="137"/>
      <c r="L168" s="136"/>
      <c r="M168" s="34"/>
      <c r="P168"/>
      <c r="T168"/>
      <c r="X168"/>
    </row>
    <row r="169" spans="2:24" x14ac:dyDescent="0.2">
      <c r="B169" s="33"/>
      <c r="C169" s="4" t="s">
        <v>407</v>
      </c>
      <c r="D169" s="4" t="s">
        <v>855</v>
      </c>
      <c r="E169" s="4" t="s">
        <v>682</v>
      </c>
      <c r="F169" s="4" t="str">
        <f t="shared" si="7"/>
        <v>Hilti HIT-RE 500-SD + HAS Super HDG ½" x 12"</v>
      </c>
      <c r="G169" s="136">
        <f>(4/8)*25.4</f>
        <v>12.7</v>
      </c>
      <c r="H169" s="136">
        <f>(9/16)*25.4</f>
        <v>14.2875</v>
      </c>
      <c r="I169" s="136"/>
      <c r="J169" s="137">
        <v>0.8580627999999999</v>
      </c>
      <c r="K169" s="137"/>
      <c r="L169" s="136"/>
      <c r="M169" s="34"/>
      <c r="P169"/>
      <c r="T169"/>
      <c r="X169"/>
    </row>
    <row r="170" spans="2:24" x14ac:dyDescent="0.2">
      <c r="B170" s="33"/>
      <c r="C170" s="4" t="s">
        <v>407</v>
      </c>
      <c r="D170" s="4" t="s">
        <v>855</v>
      </c>
      <c r="E170" s="4" t="s">
        <v>683</v>
      </c>
      <c r="F170" s="4" t="str">
        <f t="shared" si="7"/>
        <v>Hilti HIT-RE 500-SD + HAS Super HDG ⅝" x 8"</v>
      </c>
      <c r="G170" s="136">
        <f>(5/8)*25.4</f>
        <v>15.875</v>
      </c>
      <c r="H170" s="136">
        <f>(11/16)*25.4</f>
        <v>17.462499999999999</v>
      </c>
      <c r="I170" s="136"/>
      <c r="J170" s="137">
        <v>1.6838675999999997</v>
      </c>
      <c r="K170" s="137"/>
      <c r="L170" s="136"/>
      <c r="M170" s="34"/>
      <c r="P170"/>
      <c r="T170"/>
      <c r="X170"/>
    </row>
    <row r="171" spans="2:24" x14ac:dyDescent="0.2">
      <c r="B171" s="33"/>
      <c r="C171" s="4" t="s">
        <v>407</v>
      </c>
      <c r="D171" s="4" t="s">
        <v>855</v>
      </c>
      <c r="E171" s="4" t="s">
        <v>684</v>
      </c>
      <c r="F171" s="4" t="str">
        <f t="shared" si="7"/>
        <v>Hilti HIT-RE 500-SD + HAS Super HDG ⅝" x 9"</v>
      </c>
      <c r="G171" s="136">
        <f>(5/8)*25.4</f>
        <v>15.875</v>
      </c>
      <c r="H171" s="136">
        <f>(11/16)*25.4</f>
        <v>17.462499999999999</v>
      </c>
      <c r="I171" s="136"/>
      <c r="J171" s="137">
        <v>1.6838675999999997</v>
      </c>
      <c r="K171" s="137"/>
      <c r="L171" s="136"/>
      <c r="M171" s="34"/>
      <c r="P171"/>
      <c r="T171"/>
      <c r="X171"/>
    </row>
    <row r="172" spans="2:24" x14ac:dyDescent="0.2">
      <c r="B172" s="33"/>
      <c r="C172" s="4" t="s">
        <v>407</v>
      </c>
      <c r="D172" s="4" t="s">
        <v>855</v>
      </c>
      <c r="E172" s="4" t="s">
        <v>685</v>
      </c>
      <c r="F172" s="4" t="str">
        <f t="shared" si="7"/>
        <v>Hilti HIT-RE 500-SD + HAS Super HDG ⅝" x 12"</v>
      </c>
      <c r="G172" s="136">
        <f>(5/8)*25.4</f>
        <v>15.875</v>
      </c>
      <c r="H172" s="136">
        <f>(11/16)*25.4</f>
        <v>17.462499999999999</v>
      </c>
      <c r="I172" s="136"/>
      <c r="J172" s="137">
        <v>1.6838675999999997</v>
      </c>
      <c r="K172" s="137"/>
      <c r="L172" s="136"/>
      <c r="M172" s="34"/>
      <c r="P172"/>
      <c r="T172"/>
      <c r="X172"/>
    </row>
    <row r="173" spans="2:24" x14ac:dyDescent="0.2">
      <c r="B173" s="33"/>
      <c r="C173" s="4" t="s">
        <v>407</v>
      </c>
      <c r="D173" s="4" t="s">
        <v>855</v>
      </c>
      <c r="E173" s="4" t="s">
        <v>686</v>
      </c>
      <c r="F173" s="4" t="str">
        <f t="shared" si="7"/>
        <v>Hilti HIT-RE 500-SD + HAS Super HDG ¾" x 10"</v>
      </c>
      <c r="G173" s="136">
        <f>(6/8)*25.4</f>
        <v>19.049999999999997</v>
      </c>
      <c r="H173" s="136">
        <f>(14/16)*25.4</f>
        <v>22.224999999999998</v>
      </c>
      <c r="I173" s="136"/>
      <c r="J173" s="137">
        <v>2.1032215999999999</v>
      </c>
      <c r="K173" s="137"/>
      <c r="L173" s="136"/>
      <c r="M173" s="34"/>
      <c r="P173"/>
      <c r="T173"/>
      <c r="X173"/>
    </row>
    <row r="174" spans="2:24" x14ac:dyDescent="0.2">
      <c r="B174" s="33"/>
      <c r="C174" s="4" t="s">
        <v>407</v>
      </c>
      <c r="D174" s="4" t="s">
        <v>855</v>
      </c>
      <c r="E174" s="4" t="s">
        <v>687</v>
      </c>
      <c r="F174" s="4" t="str">
        <f t="shared" ref="F174:F183" si="8">CONCATENATE(C174," + ",E174)</f>
        <v>Hilti HIT-RE 500-SD + HAS Super HDG ¾" x 14"</v>
      </c>
      <c r="G174" s="136">
        <f>(6/8)*25.4</f>
        <v>19.049999999999997</v>
      </c>
      <c r="H174" s="136">
        <f>(14/16)*25.4</f>
        <v>22.224999999999998</v>
      </c>
      <c r="I174" s="136"/>
      <c r="J174" s="137">
        <v>2.1032215999999999</v>
      </c>
      <c r="K174" s="137"/>
      <c r="L174" s="136"/>
      <c r="M174" s="34"/>
      <c r="P174"/>
      <c r="T174"/>
      <c r="X174"/>
    </row>
    <row r="175" spans="2:24" x14ac:dyDescent="0.2">
      <c r="B175" s="33"/>
      <c r="C175" s="4" t="s">
        <v>407</v>
      </c>
      <c r="D175" s="4" t="s">
        <v>855</v>
      </c>
      <c r="E175" s="4" t="s">
        <v>688</v>
      </c>
      <c r="F175" s="4" t="str">
        <f t="shared" si="8"/>
        <v>Hilti HIT-RE 500-SD + HAS Super HDG ¾" x 19"</v>
      </c>
      <c r="G175" s="136">
        <f>(6/8)*25.4</f>
        <v>19.049999999999997</v>
      </c>
      <c r="H175" s="136">
        <f>(14/16)*25.4</f>
        <v>22.224999999999998</v>
      </c>
      <c r="I175" s="136"/>
      <c r="J175" s="137">
        <v>2.1032215999999999</v>
      </c>
      <c r="K175" s="137"/>
      <c r="L175" s="136"/>
      <c r="M175" s="34"/>
      <c r="P175"/>
      <c r="T175"/>
      <c r="X175"/>
    </row>
    <row r="176" spans="2:24" x14ac:dyDescent="0.2">
      <c r="B176" s="33"/>
      <c r="C176" s="4" t="s">
        <v>407</v>
      </c>
      <c r="D176" s="4" t="s">
        <v>855</v>
      </c>
      <c r="E176" s="4" t="s">
        <v>689</v>
      </c>
      <c r="F176" s="4" t="str">
        <f t="shared" si="8"/>
        <v>Hilti HIT-RE 500-SD + HAS Super HDG ⅞" x 10"</v>
      </c>
      <c r="G176" s="136">
        <f>(7/8)*25.4</f>
        <v>22.224999999999998</v>
      </c>
      <c r="H176" s="136">
        <f>(16/16)*25.4</f>
        <v>25.4</v>
      </c>
      <c r="I176" s="136"/>
      <c r="J176" s="137">
        <v>2.5225756000000001</v>
      </c>
      <c r="K176" s="137"/>
      <c r="L176" s="136"/>
      <c r="M176" s="34"/>
      <c r="P176"/>
      <c r="T176"/>
      <c r="X176"/>
    </row>
    <row r="177" spans="2:24" x14ac:dyDescent="0.2">
      <c r="B177" s="33"/>
      <c r="C177" s="4" t="s">
        <v>407</v>
      </c>
      <c r="D177" s="4" t="s">
        <v>855</v>
      </c>
      <c r="E177" s="4" t="s">
        <v>690</v>
      </c>
      <c r="F177" s="4" t="str">
        <f t="shared" si="8"/>
        <v>Hilti HIT-RE 500-SD + HAS Super HDG ⅞" x 14"</v>
      </c>
      <c r="G177" s="136">
        <f>(7/8)*25.4</f>
        <v>22.224999999999998</v>
      </c>
      <c r="H177" s="136">
        <f>(16/16)*25.4</f>
        <v>25.4</v>
      </c>
      <c r="I177" s="136"/>
      <c r="J177" s="137">
        <v>2.5225756000000001</v>
      </c>
      <c r="K177" s="137"/>
      <c r="L177" s="136"/>
      <c r="M177" s="34"/>
      <c r="P177"/>
      <c r="T177"/>
      <c r="X177"/>
    </row>
    <row r="178" spans="2:24" x14ac:dyDescent="0.2">
      <c r="B178" s="33"/>
      <c r="C178" s="4" t="s">
        <v>407</v>
      </c>
      <c r="D178" s="4" t="s">
        <v>855</v>
      </c>
      <c r="E178" s="4" t="s">
        <v>691</v>
      </c>
      <c r="F178" s="4" t="str">
        <f t="shared" si="8"/>
        <v>Hilti HIT-RE 500-SD + HAS Super HDG ⅞" x 19"</v>
      </c>
      <c r="G178" s="136">
        <f>(7/8)*25.4</f>
        <v>22.224999999999998</v>
      </c>
      <c r="H178" s="136">
        <f>(16/16)*25.4</f>
        <v>25.4</v>
      </c>
      <c r="I178" s="136"/>
      <c r="J178" s="137">
        <v>2.5225756000000001</v>
      </c>
      <c r="K178" s="137"/>
      <c r="L178" s="136"/>
      <c r="M178" s="34"/>
      <c r="P178"/>
      <c r="T178"/>
      <c r="X178"/>
    </row>
    <row r="179" spans="2:24" x14ac:dyDescent="0.2">
      <c r="B179" s="33"/>
      <c r="C179" s="4" t="s">
        <v>407</v>
      </c>
      <c r="D179" s="4" t="s">
        <v>855</v>
      </c>
      <c r="E179" s="4" t="s">
        <v>692</v>
      </c>
      <c r="F179" s="4" t="str">
        <f t="shared" si="8"/>
        <v>Hilti HIT-RE 500-SD + HAS Super HDG 1" x 12"</v>
      </c>
      <c r="G179" s="136">
        <f>(8/8)*25.4</f>
        <v>25.4</v>
      </c>
      <c r="H179" s="136">
        <f>(18/16)*25.4</f>
        <v>28.574999999999999</v>
      </c>
      <c r="I179" s="136"/>
      <c r="J179" s="137">
        <v>3.0838647999999997</v>
      </c>
      <c r="K179" s="137"/>
      <c r="L179" s="136"/>
      <c r="M179" s="34"/>
      <c r="P179"/>
      <c r="T179"/>
      <c r="X179"/>
    </row>
    <row r="180" spans="2:24" x14ac:dyDescent="0.2">
      <c r="B180" s="33"/>
      <c r="C180" s="4" t="s">
        <v>407</v>
      </c>
      <c r="D180" s="4" t="s">
        <v>855</v>
      </c>
      <c r="E180" s="4" t="s">
        <v>693</v>
      </c>
      <c r="F180" s="4" t="str">
        <f t="shared" si="8"/>
        <v>Hilti HIT-RE 500-SD + HAS Super HDG 1" x 16"</v>
      </c>
      <c r="G180" s="136">
        <f>(8/8)*25.4</f>
        <v>25.4</v>
      </c>
      <c r="H180" s="136">
        <f>(18/16)*25.4</f>
        <v>28.574999999999999</v>
      </c>
      <c r="I180" s="136"/>
      <c r="J180" s="137">
        <v>3.0838647999999997</v>
      </c>
      <c r="K180" s="137"/>
      <c r="L180" s="136"/>
      <c r="M180" s="34"/>
      <c r="P180"/>
      <c r="T180"/>
      <c r="X180"/>
    </row>
    <row r="181" spans="2:24" x14ac:dyDescent="0.2">
      <c r="B181" s="33"/>
      <c r="C181" s="4" t="s">
        <v>407</v>
      </c>
      <c r="D181" s="4" t="s">
        <v>855</v>
      </c>
      <c r="E181" s="4" t="s">
        <v>694</v>
      </c>
      <c r="F181" s="4" t="str">
        <f t="shared" si="8"/>
        <v>Hilti HIT-RE 500-SD + HAS Super HDG 1" x 20"</v>
      </c>
      <c r="G181" s="136">
        <f>(8/8)*25.4</f>
        <v>25.4</v>
      </c>
      <c r="H181" s="136">
        <f>(18/16)*25.4</f>
        <v>28.574999999999999</v>
      </c>
      <c r="I181" s="136"/>
      <c r="J181" s="137">
        <v>3.0838647999999997</v>
      </c>
      <c r="K181" s="137"/>
      <c r="L181" s="136"/>
      <c r="M181" s="34"/>
      <c r="P181"/>
      <c r="T181"/>
      <c r="X181"/>
    </row>
    <row r="182" spans="2:24" x14ac:dyDescent="0.2">
      <c r="B182" s="33"/>
      <c r="C182" s="4" t="s">
        <v>407</v>
      </c>
      <c r="D182" s="4" t="s">
        <v>855</v>
      </c>
      <c r="E182" s="4" t="s">
        <v>695</v>
      </c>
      <c r="F182" s="4" t="str">
        <f t="shared" si="8"/>
        <v>Hilti HIT-RE 500-SD + HAS Super HDG 1 ¼" x 16"</v>
      </c>
      <c r="G182" s="136">
        <f>(10/8)*25.4</f>
        <v>31.75</v>
      </c>
      <c r="H182" s="136">
        <f>(22/16)*25.4</f>
        <v>34.924999999999997</v>
      </c>
      <c r="I182" s="136"/>
      <c r="J182" s="137">
        <v>4.0387015999999996</v>
      </c>
      <c r="K182" s="137"/>
      <c r="L182" s="136"/>
      <c r="M182" s="34"/>
      <c r="P182"/>
      <c r="T182"/>
      <c r="X182"/>
    </row>
    <row r="183" spans="2:24" x14ac:dyDescent="0.2">
      <c r="B183" s="33"/>
      <c r="C183" s="4" t="s">
        <v>407</v>
      </c>
      <c r="D183" s="4" t="s">
        <v>855</v>
      </c>
      <c r="E183" s="4" t="s">
        <v>696</v>
      </c>
      <c r="F183" s="4" t="str">
        <f t="shared" si="8"/>
        <v>Hilti HIT-RE 500-SD + HAS Super HDG 1 ¼" x 22"</v>
      </c>
      <c r="G183" s="136">
        <f>(10/8)*25.4</f>
        <v>31.75</v>
      </c>
      <c r="H183" s="136">
        <f>(22/16)*25.4</f>
        <v>34.924999999999997</v>
      </c>
      <c r="I183" s="136"/>
      <c r="J183" s="137">
        <v>4.0387015999999996</v>
      </c>
      <c r="K183" s="137"/>
      <c r="L183" s="136"/>
      <c r="M183" s="34"/>
      <c r="P183"/>
      <c r="T183"/>
      <c r="X183"/>
    </row>
    <row r="184" spans="2:24" x14ac:dyDescent="0.2">
      <c r="B184" s="33"/>
      <c r="C184" s="4" t="s">
        <v>407</v>
      </c>
      <c r="D184" s="4"/>
      <c r="E184" s="39" t="s">
        <v>261</v>
      </c>
      <c r="F184" s="4" t="str">
        <f>E184</f>
        <v>--------------------</v>
      </c>
      <c r="G184" s="136"/>
      <c r="H184" s="136"/>
      <c r="I184" s="136"/>
      <c r="J184" s="137"/>
      <c r="K184" s="137"/>
      <c r="L184" s="136"/>
      <c r="M184" s="34"/>
      <c r="P184"/>
      <c r="T184"/>
      <c r="X184"/>
    </row>
    <row r="185" spans="2:24" x14ac:dyDescent="0.2">
      <c r="B185" s="33"/>
      <c r="C185" s="4" t="s">
        <v>407</v>
      </c>
      <c r="D185" s="4" t="s">
        <v>856</v>
      </c>
      <c r="E185" s="4" t="s">
        <v>236</v>
      </c>
      <c r="F185" s="4" t="str">
        <f t="shared" ref="F185:F192" si="9">CONCATENATE(C185," + ",E185)</f>
        <v>Hilti HIT-RE 500-SD + HIS ⅜"</v>
      </c>
      <c r="G185" s="136">
        <f>(3/8)*25.4</f>
        <v>9.5249999999999986</v>
      </c>
      <c r="H185" s="136">
        <f>(11/16)*25.4</f>
        <v>17.462499999999999</v>
      </c>
      <c r="I185" s="136"/>
      <c r="J185" s="137" t="s">
        <v>2</v>
      </c>
      <c r="K185" s="137"/>
      <c r="L185" s="136"/>
      <c r="M185" s="34"/>
      <c r="P185"/>
      <c r="T185"/>
      <c r="X185"/>
    </row>
    <row r="186" spans="2:24" x14ac:dyDescent="0.2">
      <c r="B186" s="33"/>
      <c r="C186" s="4" t="s">
        <v>407</v>
      </c>
      <c r="D186" s="4" t="s">
        <v>856</v>
      </c>
      <c r="E186" s="4" t="s">
        <v>233</v>
      </c>
      <c r="F186" s="4" t="str">
        <f t="shared" si="9"/>
        <v>Hilti HIT-RE 500-SD + HIS ½"</v>
      </c>
      <c r="G186" s="136">
        <f>(4/8)*25.4</f>
        <v>12.7</v>
      </c>
      <c r="H186" s="136">
        <f>(14/16)*25.4</f>
        <v>22.224999999999998</v>
      </c>
      <c r="I186" s="136"/>
      <c r="J186" s="137" t="s">
        <v>2</v>
      </c>
      <c r="K186" s="137"/>
      <c r="L186" s="136"/>
      <c r="M186" s="34"/>
      <c r="P186"/>
      <c r="T186"/>
      <c r="X186"/>
    </row>
    <row r="187" spans="2:24" x14ac:dyDescent="0.2">
      <c r="B187" s="33"/>
      <c r="C187" s="4" t="s">
        <v>407</v>
      </c>
      <c r="D187" s="4" t="s">
        <v>856</v>
      </c>
      <c r="E187" s="4" t="s">
        <v>238</v>
      </c>
      <c r="F187" s="4" t="str">
        <f t="shared" si="9"/>
        <v>Hilti HIT-RE 500-SD + HIS ⅝"</v>
      </c>
      <c r="G187" s="136">
        <f>(5/8)*25.4</f>
        <v>15.875</v>
      </c>
      <c r="H187" s="136">
        <f>(18/16)*25.4</f>
        <v>28.574999999999999</v>
      </c>
      <c r="I187" s="136"/>
      <c r="J187" s="137" t="s">
        <v>2</v>
      </c>
      <c r="K187" s="137"/>
      <c r="L187" s="136"/>
      <c r="M187" s="34"/>
      <c r="P187"/>
      <c r="T187"/>
      <c r="X187"/>
    </row>
    <row r="188" spans="2:24" x14ac:dyDescent="0.2">
      <c r="B188" s="33"/>
      <c r="C188" s="4" t="s">
        <v>407</v>
      </c>
      <c r="D188" s="4" t="s">
        <v>856</v>
      </c>
      <c r="E188" s="4" t="s">
        <v>239</v>
      </c>
      <c r="F188" s="4" t="str">
        <f t="shared" si="9"/>
        <v>Hilti HIT-RE 500-SD + HIS ¾"</v>
      </c>
      <c r="G188" s="136">
        <f>(6/8)*25.4</f>
        <v>19.049999999999997</v>
      </c>
      <c r="H188" s="136">
        <f>(20/16)*25.4</f>
        <v>31.75</v>
      </c>
      <c r="I188" s="136"/>
      <c r="J188" s="137" t="s">
        <v>2</v>
      </c>
      <c r="K188" s="137"/>
      <c r="L188" s="136"/>
      <c r="M188" s="34"/>
      <c r="P188"/>
      <c r="T188"/>
      <c r="X188"/>
    </row>
    <row r="189" spans="2:24" x14ac:dyDescent="0.2">
      <c r="B189" s="33"/>
      <c r="C189" s="4" t="s">
        <v>407</v>
      </c>
      <c r="D189" s="4" t="s">
        <v>856</v>
      </c>
      <c r="E189" s="4" t="s">
        <v>235</v>
      </c>
      <c r="F189" s="4" t="str">
        <f t="shared" si="9"/>
        <v>Hilti HIT-RE 500-SD + HIS-R ⅜" (316SS)</v>
      </c>
      <c r="G189" s="136">
        <f>(3/8)*25.4</f>
        <v>9.5249999999999986</v>
      </c>
      <c r="H189" s="136">
        <f>(11/16)*25.4</f>
        <v>17.462499999999999</v>
      </c>
      <c r="I189" s="136"/>
      <c r="J189" s="137" t="s">
        <v>2</v>
      </c>
      <c r="K189" s="137"/>
      <c r="L189" s="136"/>
      <c r="M189" s="34"/>
      <c r="P189"/>
      <c r="T189"/>
      <c r="X189"/>
    </row>
    <row r="190" spans="2:24" x14ac:dyDescent="0.2">
      <c r="B190" s="33"/>
      <c r="C190" s="4" t="s">
        <v>407</v>
      </c>
      <c r="D190" s="4" t="s">
        <v>856</v>
      </c>
      <c r="E190" s="4" t="s">
        <v>234</v>
      </c>
      <c r="F190" s="4" t="str">
        <f t="shared" si="9"/>
        <v>Hilti HIT-RE 500-SD + HIS-R ½" (316SS)</v>
      </c>
      <c r="G190" s="136">
        <f>(4/8)*25.4</f>
        <v>12.7</v>
      </c>
      <c r="H190" s="136">
        <f>(14/16)*25.4</f>
        <v>22.224999999999998</v>
      </c>
      <c r="I190" s="136"/>
      <c r="J190" s="137" t="s">
        <v>2</v>
      </c>
      <c r="K190" s="137"/>
      <c r="L190" s="136"/>
      <c r="M190" s="34"/>
      <c r="P190"/>
      <c r="T190"/>
      <c r="X190"/>
    </row>
    <row r="191" spans="2:24" x14ac:dyDescent="0.2">
      <c r="B191" s="33"/>
      <c r="C191" s="4" t="s">
        <v>407</v>
      </c>
      <c r="D191" s="4" t="s">
        <v>856</v>
      </c>
      <c r="E191" s="4" t="s">
        <v>237</v>
      </c>
      <c r="F191" s="4" t="str">
        <f t="shared" si="9"/>
        <v>Hilti HIT-RE 500-SD + HIS-R ⅝" (316SS)</v>
      </c>
      <c r="G191" s="136">
        <f>(5/8)*25.4</f>
        <v>15.875</v>
      </c>
      <c r="H191" s="136">
        <f>(18/16)*25.4</f>
        <v>28.574999999999999</v>
      </c>
      <c r="I191" s="136"/>
      <c r="J191" s="137" t="s">
        <v>2</v>
      </c>
      <c r="K191" s="137"/>
      <c r="L191" s="136"/>
      <c r="M191" s="34"/>
      <c r="P191"/>
      <c r="T191"/>
      <c r="X191"/>
    </row>
    <row r="192" spans="2:24" x14ac:dyDescent="0.2">
      <c r="B192" s="33"/>
      <c r="C192" s="4" t="s">
        <v>407</v>
      </c>
      <c r="D192" s="4" t="s">
        <v>856</v>
      </c>
      <c r="E192" s="4" t="s">
        <v>240</v>
      </c>
      <c r="F192" s="4" t="str">
        <f t="shared" si="9"/>
        <v>Hilti HIT-RE 500-SD + HIS-R ¾" (316SS)</v>
      </c>
      <c r="G192" s="136">
        <f>(6/8)*25.4</f>
        <v>19.049999999999997</v>
      </c>
      <c r="H192" s="136">
        <f>(20/16)*25.4</f>
        <v>31.75</v>
      </c>
      <c r="I192" s="136"/>
      <c r="J192" s="137" t="s">
        <v>2</v>
      </c>
      <c r="K192" s="137"/>
      <c r="L192" s="136"/>
      <c r="M192" s="34"/>
      <c r="P192"/>
      <c r="T192"/>
      <c r="X192"/>
    </row>
    <row r="193" spans="2:24" x14ac:dyDescent="0.2">
      <c r="B193" s="33"/>
      <c r="C193" s="4" t="s">
        <v>407</v>
      </c>
      <c r="D193" s="4"/>
      <c r="E193" s="39" t="s">
        <v>261</v>
      </c>
      <c r="F193" s="4" t="str">
        <f>E193</f>
        <v>--------------------</v>
      </c>
      <c r="G193" s="136"/>
      <c r="H193" s="136"/>
      <c r="I193" s="136"/>
      <c r="J193" s="137"/>
      <c r="K193" s="137"/>
      <c r="L193" s="136"/>
      <c r="M193" s="34"/>
      <c r="P193"/>
      <c r="T193"/>
      <c r="X193"/>
    </row>
    <row r="194" spans="2:24" x14ac:dyDescent="0.2">
      <c r="B194" s="33"/>
      <c r="C194" s="4" t="s">
        <v>407</v>
      </c>
      <c r="D194" s="4" t="s">
        <v>857</v>
      </c>
      <c r="E194" s="4" t="s">
        <v>733</v>
      </c>
      <c r="F194" s="4" t="str">
        <f t="shared" ref="F194:F202" si="10">CONCATENATE(C194," + ",E194)</f>
        <v>Hilti HIT-RE 500-SD + Rebar #2</v>
      </c>
      <c r="G194" s="136">
        <f>(2/8)*25.4</f>
        <v>6.35</v>
      </c>
      <c r="H194" s="136">
        <f>(6/16)*25.4</f>
        <v>9.5249999999999986</v>
      </c>
      <c r="I194" s="136"/>
      <c r="J194" s="137">
        <v>0.51749999999999996</v>
      </c>
      <c r="K194" s="137"/>
      <c r="L194" s="136"/>
      <c r="M194" s="34"/>
      <c r="P194"/>
      <c r="T194"/>
      <c r="X194"/>
    </row>
    <row r="195" spans="2:24" x14ac:dyDescent="0.2">
      <c r="B195" s="33"/>
      <c r="C195" s="4" t="s">
        <v>407</v>
      </c>
      <c r="D195" s="4" t="s">
        <v>857</v>
      </c>
      <c r="E195" s="4" t="s">
        <v>262</v>
      </c>
      <c r="F195" s="4" t="str">
        <f t="shared" si="10"/>
        <v>Hilti HIT-RE 500-SD + Rebar #3</v>
      </c>
      <c r="G195" s="136">
        <f>(3/8)*25.4</f>
        <v>9.5249999999999986</v>
      </c>
      <c r="H195" s="136">
        <f>(8/16)*25.4</f>
        <v>12.7</v>
      </c>
      <c r="I195" s="136"/>
      <c r="J195" s="137">
        <v>0.70967599999999997</v>
      </c>
      <c r="K195" s="137"/>
      <c r="L195" s="136"/>
      <c r="M195" s="34"/>
      <c r="P195"/>
      <c r="T195"/>
      <c r="X195"/>
    </row>
    <row r="196" spans="2:24" x14ac:dyDescent="0.2">
      <c r="B196" s="33"/>
      <c r="C196" s="4" t="s">
        <v>407</v>
      </c>
      <c r="D196" s="4" t="s">
        <v>857</v>
      </c>
      <c r="E196" s="4" t="s">
        <v>263</v>
      </c>
      <c r="F196" s="4" t="str">
        <f t="shared" si="10"/>
        <v>Hilti HIT-RE 500-SD + Rebar #4</v>
      </c>
      <c r="G196" s="136">
        <f>(4/8)*25.4</f>
        <v>12.7</v>
      </c>
      <c r="H196" s="136">
        <f>(10/16)*25.4</f>
        <v>15.875</v>
      </c>
      <c r="I196" s="136"/>
      <c r="J196" s="137">
        <v>0.94193359999999993</v>
      </c>
      <c r="K196" s="137"/>
      <c r="L196" s="136"/>
      <c r="M196" s="34"/>
      <c r="P196"/>
      <c r="T196"/>
      <c r="X196"/>
    </row>
    <row r="197" spans="2:24" x14ac:dyDescent="0.2">
      <c r="B197" s="33"/>
      <c r="C197" s="4" t="s">
        <v>407</v>
      </c>
      <c r="D197" s="4" t="s">
        <v>857</v>
      </c>
      <c r="E197" s="4" t="s">
        <v>264</v>
      </c>
      <c r="F197" s="4" t="str">
        <f t="shared" si="10"/>
        <v>Hilti HIT-RE 500-SD + Rebar #5</v>
      </c>
      <c r="G197" s="136">
        <f>(5/8)*25.4</f>
        <v>15.875</v>
      </c>
      <c r="H197" s="136">
        <f>(12/16)*25.4</f>
        <v>19.049999999999997</v>
      </c>
      <c r="I197" s="136"/>
      <c r="J197" s="137">
        <v>1.1354815999999996</v>
      </c>
      <c r="K197" s="137"/>
      <c r="L197" s="136"/>
      <c r="M197" s="34"/>
      <c r="P197"/>
      <c r="T197"/>
      <c r="X197"/>
    </row>
    <row r="198" spans="2:24" x14ac:dyDescent="0.2">
      <c r="B198" s="33"/>
      <c r="C198" s="4" t="s">
        <v>407</v>
      </c>
      <c r="D198" s="4" t="s">
        <v>857</v>
      </c>
      <c r="E198" s="4" t="s">
        <v>265</v>
      </c>
      <c r="F198" s="4" t="str">
        <f t="shared" si="10"/>
        <v>Hilti HIT-RE 500-SD + Rebar #6</v>
      </c>
      <c r="G198" s="136">
        <f>(6/8)*25.4</f>
        <v>19.049999999999997</v>
      </c>
      <c r="H198" s="136">
        <f>(14/16)*25.4</f>
        <v>22.224999999999998</v>
      </c>
      <c r="I198" s="136"/>
      <c r="J198" s="137">
        <v>1.4064487999999999</v>
      </c>
      <c r="K198" s="137"/>
      <c r="L198" s="136"/>
      <c r="M198" s="34"/>
      <c r="P198"/>
      <c r="T198"/>
      <c r="X198"/>
    </row>
    <row r="199" spans="2:24" x14ac:dyDescent="0.2">
      <c r="B199" s="33"/>
      <c r="C199" s="4" t="s">
        <v>407</v>
      </c>
      <c r="D199" s="4" t="s">
        <v>857</v>
      </c>
      <c r="E199" s="4" t="s">
        <v>266</v>
      </c>
      <c r="F199" s="4" t="str">
        <f t="shared" si="10"/>
        <v>Hilti HIT-RE 500-SD + Rebar #7</v>
      </c>
      <c r="G199" s="136">
        <f>(7/8)*25.4</f>
        <v>22.224999999999998</v>
      </c>
      <c r="H199" s="136">
        <f>(16/16)*25.4</f>
        <v>25.4</v>
      </c>
      <c r="I199" s="136"/>
      <c r="J199" s="137">
        <v>1.6258031999999998</v>
      </c>
      <c r="K199" s="137"/>
      <c r="L199" s="136"/>
      <c r="M199" s="34"/>
      <c r="P199"/>
      <c r="T199"/>
      <c r="X199"/>
    </row>
    <row r="200" spans="2:24" x14ac:dyDescent="0.2">
      <c r="B200" s="33"/>
      <c r="C200" s="4" t="s">
        <v>407</v>
      </c>
      <c r="D200" s="4" t="s">
        <v>857</v>
      </c>
      <c r="E200" s="4" t="s">
        <v>267</v>
      </c>
      <c r="F200" s="4" t="str">
        <f t="shared" si="10"/>
        <v>Hilti HIT-RE 500-SD + Rebar #8</v>
      </c>
      <c r="G200" s="136">
        <f>(8/8)*25.4</f>
        <v>25.4</v>
      </c>
      <c r="H200" s="136">
        <f>(18/16)*25.4</f>
        <v>28.574999999999999</v>
      </c>
      <c r="I200" s="136"/>
      <c r="J200" s="137">
        <v>3.4193479999999998</v>
      </c>
      <c r="K200" s="137"/>
      <c r="L200" s="136"/>
      <c r="M200" s="34"/>
      <c r="P200"/>
      <c r="T200"/>
      <c r="X200"/>
    </row>
    <row r="201" spans="2:24" x14ac:dyDescent="0.2">
      <c r="B201" s="33"/>
      <c r="C201" s="4" t="s">
        <v>407</v>
      </c>
      <c r="D201" s="4" t="s">
        <v>857</v>
      </c>
      <c r="E201" s="4" t="s">
        <v>269</v>
      </c>
      <c r="F201" s="4" t="str">
        <f t="shared" si="10"/>
        <v>Hilti HIT-RE 500-SD + Rebar #9</v>
      </c>
      <c r="G201" s="136">
        <f>(9/8)*25.4</f>
        <v>28.574999999999999</v>
      </c>
      <c r="H201" s="136">
        <f>(20/16)*25.4</f>
        <v>31.75</v>
      </c>
      <c r="I201" s="136"/>
      <c r="J201" s="137">
        <v>3.8774115999999998</v>
      </c>
      <c r="K201" s="137"/>
      <c r="L201" s="136"/>
      <c r="M201" s="34"/>
      <c r="P201"/>
      <c r="T201"/>
      <c r="X201"/>
    </row>
    <row r="202" spans="2:24" x14ac:dyDescent="0.2">
      <c r="B202" s="33"/>
      <c r="C202" s="4" t="s">
        <v>407</v>
      </c>
      <c r="D202" s="4" t="s">
        <v>857</v>
      </c>
      <c r="E202" s="4" t="s">
        <v>268</v>
      </c>
      <c r="F202" s="4" t="str">
        <f t="shared" si="10"/>
        <v>Hilti HIT-RE 500-SD + Rebar #10</v>
      </c>
      <c r="G202" s="136">
        <f>(10/8)*25.4</f>
        <v>31.75</v>
      </c>
      <c r="H202" s="136">
        <f>(22/16)*25.4</f>
        <v>34.924999999999997</v>
      </c>
      <c r="I202" s="136"/>
      <c r="J202" s="137">
        <v>4.2516043999999997</v>
      </c>
      <c r="K202" s="137"/>
      <c r="L202" s="136"/>
      <c r="M202" s="34"/>
      <c r="P202"/>
      <c r="T202"/>
      <c r="X202"/>
    </row>
    <row r="203" spans="2:24" x14ac:dyDescent="0.2">
      <c r="B203" s="33"/>
      <c r="C203" s="4"/>
      <c r="D203" s="4"/>
      <c r="E203" s="39" t="s">
        <v>261</v>
      </c>
      <c r="F203" s="4" t="str">
        <f>E203</f>
        <v>--------------------</v>
      </c>
      <c r="G203" s="136"/>
      <c r="H203" s="136"/>
      <c r="I203" s="136"/>
      <c r="J203" s="137"/>
      <c r="K203" s="137"/>
      <c r="L203" s="136"/>
      <c r="M203" s="34"/>
      <c r="P203"/>
      <c r="T203"/>
      <c r="X203"/>
    </row>
    <row r="204" spans="2:24" x14ac:dyDescent="0.2">
      <c r="B204" s="33"/>
      <c r="C204" s="4" t="s">
        <v>743</v>
      </c>
      <c r="D204" s="4" t="s">
        <v>858</v>
      </c>
      <c r="E204" s="4" t="s">
        <v>812</v>
      </c>
      <c r="F204" s="4" t="str">
        <f>E204</f>
        <v>HIT-HY 200-R  (500ml)</v>
      </c>
      <c r="G204" s="136"/>
      <c r="H204" s="136"/>
      <c r="I204" s="136">
        <v>440</v>
      </c>
      <c r="J204" s="137"/>
      <c r="K204" s="137"/>
      <c r="L204" s="136"/>
      <c r="M204" s="34"/>
      <c r="P204"/>
      <c r="T204"/>
      <c r="X204"/>
    </row>
    <row r="205" spans="2:24" x14ac:dyDescent="0.2">
      <c r="B205" s="33"/>
      <c r="C205" s="4" t="s">
        <v>743</v>
      </c>
      <c r="D205" s="4"/>
      <c r="E205" s="39" t="s">
        <v>261</v>
      </c>
      <c r="F205" s="4" t="str">
        <f>E205</f>
        <v>--------------------</v>
      </c>
      <c r="G205" s="136"/>
      <c r="H205" s="136"/>
      <c r="I205" s="136"/>
      <c r="J205" s="137"/>
      <c r="K205" s="137"/>
      <c r="L205" s="136"/>
      <c r="M205" s="34"/>
      <c r="P205"/>
      <c r="T205"/>
      <c r="X205"/>
    </row>
    <row r="206" spans="2:24" x14ac:dyDescent="0.2">
      <c r="B206" s="33"/>
      <c r="C206" s="4" t="s">
        <v>743</v>
      </c>
      <c r="D206" s="4" t="s">
        <v>859</v>
      </c>
      <c r="E206" s="4" t="s">
        <v>360</v>
      </c>
      <c r="F206" s="4" t="str">
        <f t="shared" ref="F206:F227" si="11">CONCATENATE(C206," + ",E206)</f>
        <v>Hilti HIT-HY 200-R + HIT-Z ⅜" x 4 ⅜"</v>
      </c>
      <c r="G206" s="136">
        <f>(3/8)*25.4</f>
        <v>9.5249999999999986</v>
      </c>
      <c r="H206" s="136">
        <f>(7/16)*25.4</f>
        <v>11.112499999999999</v>
      </c>
      <c r="I206" s="136"/>
      <c r="J206" s="137">
        <v>0.91</v>
      </c>
      <c r="K206" s="137"/>
      <c r="L206" s="136"/>
      <c r="M206" s="34"/>
      <c r="P206"/>
      <c r="T206"/>
      <c r="X206"/>
    </row>
    <row r="207" spans="2:24" x14ac:dyDescent="0.2">
      <c r="B207" s="33"/>
      <c r="C207" s="4" t="s">
        <v>743</v>
      </c>
      <c r="D207" s="4" t="s">
        <v>859</v>
      </c>
      <c r="E207" s="4" t="s">
        <v>361</v>
      </c>
      <c r="F207" s="4" t="str">
        <f t="shared" si="11"/>
        <v>Hilti HIT-HY 200-R + HIT-Z ⅜" x 5 ⅛"</v>
      </c>
      <c r="G207" s="136">
        <f>(3/8)*25.4</f>
        <v>9.5249999999999986</v>
      </c>
      <c r="H207" s="136">
        <f>(7/16)*25.4</f>
        <v>11.112499999999999</v>
      </c>
      <c r="I207" s="136"/>
      <c r="J207" s="137">
        <v>0.91</v>
      </c>
      <c r="K207" s="137"/>
      <c r="L207" s="136"/>
      <c r="M207" s="34"/>
      <c r="P207"/>
      <c r="T207"/>
      <c r="X207"/>
    </row>
    <row r="208" spans="2:24" x14ac:dyDescent="0.2">
      <c r="B208" s="33"/>
      <c r="C208" s="4" t="s">
        <v>743</v>
      </c>
      <c r="D208" s="4" t="s">
        <v>859</v>
      </c>
      <c r="E208" s="4" t="s">
        <v>362</v>
      </c>
      <c r="F208" s="4" t="str">
        <f t="shared" si="11"/>
        <v>Hilti HIT-HY 200-R + HIT-Z ⅜" x 6 ⅜"</v>
      </c>
      <c r="G208" s="136">
        <f>(3/8)*25.4</f>
        <v>9.5249999999999986</v>
      </c>
      <c r="H208" s="136">
        <f>(7/16)*25.4</f>
        <v>11.112499999999999</v>
      </c>
      <c r="I208" s="136"/>
      <c r="J208" s="137">
        <v>0.91</v>
      </c>
      <c r="K208" s="137"/>
      <c r="L208" s="136"/>
      <c r="M208" s="34"/>
      <c r="P208"/>
      <c r="T208"/>
      <c r="X208"/>
    </row>
    <row r="209" spans="2:24" x14ac:dyDescent="0.2">
      <c r="B209" s="33"/>
      <c r="C209" s="4" t="s">
        <v>743</v>
      </c>
      <c r="D209" s="4" t="s">
        <v>859</v>
      </c>
      <c r="E209" s="4" t="s">
        <v>363</v>
      </c>
      <c r="F209" s="4" t="str">
        <f t="shared" si="11"/>
        <v>Hilti HIT-HY 200-R + HIT-Z ½" x 4 ½"</v>
      </c>
      <c r="G209" s="136">
        <f>(4/8)*25.4</f>
        <v>12.7</v>
      </c>
      <c r="H209" s="136">
        <f>(9/16)*25.4</f>
        <v>14.2875</v>
      </c>
      <c r="I209" s="136"/>
      <c r="J209" s="137">
        <v>1.29</v>
      </c>
      <c r="K209" s="137"/>
      <c r="L209" s="136"/>
      <c r="M209" s="34"/>
      <c r="P209"/>
      <c r="T209"/>
      <c r="X209"/>
    </row>
    <row r="210" spans="2:24" x14ac:dyDescent="0.2">
      <c r="B210" s="33"/>
      <c r="C210" s="4" t="s">
        <v>743</v>
      </c>
      <c r="D210" s="4" t="s">
        <v>859</v>
      </c>
      <c r="E210" s="4" t="s">
        <v>364</v>
      </c>
      <c r="F210" s="4" t="str">
        <f t="shared" si="11"/>
        <v>Hilti HIT-HY 200-R + HIT-Z ½" x 6 ½"</v>
      </c>
      <c r="G210" s="136">
        <f>(4/8)*25.4</f>
        <v>12.7</v>
      </c>
      <c r="H210" s="136">
        <f>(9/16)*25.4</f>
        <v>14.2875</v>
      </c>
      <c r="I210" s="136"/>
      <c r="J210" s="137">
        <v>1.29</v>
      </c>
      <c r="K210" s="137"/>
      <c r="L210" s="136"/>
      <c r="M210" s="34"/>
      <c r="P210"/>
      <c r="T210"/>
      <c r="X210"/>
    </row>
    <row r="211" spans="2:24" x14ac:dyDescent="0.2">
      <c r="B211" s="33"/>
      <c r="C211" s="4" t="s">
        <v>743</v>
      </c>
      <c r="D211" s="4" t="s">
        <v>859</v>
      </c>
      <c r="E211" s="4" t="s">
        <v>365</v>
      </c>
      <c r="F211" s="4" t="str">
        <f t="shared" si="11"/>
        <v>Hilti HIT-HY 200-R + HIT-Z ½" x 7 ¾"</v>
      </c>
      <c r="G211" s="136">
        <f>(4/8)*25.4</f>
        <v>12.7</v>
      </c>
      <c r="H211" s="136">
        <f>(9/16)*25.4</f>
        <v>14.2875</v>
      </c>
      <c r="I211" s="136"/>
      <c r="J211" s="137">
        <v>1.29</v>
      </c>
      <c r="K211" s="137"/>
      <c r="L211" s="136"/>
      <c r="M211" s="34"/>
      <c r="P211"/>
      <c r="T211"/>
      <c r="X211"/>
    </row>
    <row r="212" spans="2:24" x14ac:dyDescent="0.2">
      <c r="B212" s="33"/>
      <c r="C212" s="4" t="s">
        <v>743</v>
      </c>
      <c r="D212" s="4" t="s">
        <v>859</v>
      </c>
      <c r="E212" s="4" t="s">
        <v>366</v>
      </c>
      <c r="F212" s="4" t="str">
        <f t="shared" si="11"/>
        <v>Hilti HIT-HY 200-R + HIT-Z ⅝" x 6"</v>
      </c>
      <c r="G212" s="136">
        <f>(5/8)*25.4</f>
        <v>15.875</v>
      </c>
      <c r="H212" s="136">
        <f>(12/16)*25.4</f>
        <v>19.049999999999997</v>
      </c>
      <c r="I212" s="136"/>
      <c r="J212" s="137">
        <v>2.4700000000000002</v>
      </c>
      <c r="K212" s="137"/>
      <c r="L212" s="136"/>
      <c r="M212" s="34"/>
      <c r="P212"/>
      <c r="T212"/>
      <c r="X212"/>
    </row>
    <row r="213" spans="2:24" x14ac:dyDescent="0.2">
      <c r="B213" s="33"/>
      <c r="C213" s="4" t="s">
        <v>743</v>
      </c>
      <c r="D213" s="4" t="s">
        <v>859</v>
      </c>
      <c r="E213" s="4" t="s">
        <v>367</v>
      </c>
      <c r="F213" s="4" t="str">
        <f t="shared" si="11"/>
        <v>Hilti HIT-HY 200-R + HIT-Z ⅝" x 8"</v>
      </c>
      <c r="G213" s="136">
        <f>(5/8)*25.4</f>
        <v>15.875</v>
      </c>
      <c r="H213" s="136">
        <f>(12/16)*25.4</f>
        <v>19.049999999999997</v>
      </c>
      <c r="I213" s="136"/>
      <c r="J213" s="137">
        <v>2.4700000000000002</v>
      </c>
      <c r="K213" s="137"/>
      <c r="L213" s="136"/>
      <c r="M213" s="34"/>
      <c r="P213"/>
      <c r="T213"/>
      <c r="X213"/>
    </row>
    <row r="214" spans="2:24" x14ac:dyDescent="0.2">
      <c r="B214" s="33"/>
      <c r="C214" s="4" t="s">
        <v>743</v>
      </c>
      <c r="D214" s="4" t="s">
        <v>859</v>
      </c>
      <c r="E214" s="4" t="s">
        <v>368</v>
      </c>
      <c r="F214" s="4" t="str">
        <f t="shared" si="11"/>
        <v>Hilti HIT-HY 200-R + HIT-Z ⅝" x 9 ½"</v>
      </c>
      <c r="G214" s="136">
        <f>(5/8)*25.4</f>
        <v>15.875</v>
      </c>
      <c r="H214" s="136">
        <f>(12/16)*25.4</f>
        <v>19.049999999999997</v>
      </c>
      <c r="I214" s="136"/>
      <c r="J214" s="137">
        <v>2.4700000000000002</v>
      </c>
      <c r="K214" s="137"/>
      <c r="L214" s="136"/>
      <c r="M214" s="34"/>
      <c r="P214"/>
      <c r="T214"/>
      <c r="X214"/>
    </row>
    <row r="215" spans="2:24" x14ac:dyDescent="0.2">
      <c r="B215" s="33"/>
      <c r="C215" s="4" t="s">
        <v>743</v>
      </c>
      <c r="D215" s="4" t="s">
        <v>859</v>
      </c>
      <c r="E215" s="4" t="s">
        <v>369</v>
      </c>
      <c r="F215" s="4" t="str">
        <f t="shared" si="11"/>
        <v>Hilti HIT-HY 200-R + HIT-Z ¾" x 8 ½"</v>
      </c>
      <c r="G215" s="136">
        <f>(6/8)*25.4</f>
        <v>19.049999999999997</v>
      </c>
      <c r="H215" s="136">
        <f>(14/16)*25.4</f>
        <v>22.224999999999998</v>
      </c>
      <c r="I215" s="136"/>
      <c r="J215" s="137">
        <v>3.11</v>
      </c>
      <c r="K215" s="137"/>
      <c r="L215" s="136"/>
      <c r="M215" s="34"/>
      <c r="P215"/>
      <c r="T215"/>
      <c r="X215"/>
    </row>
    <row r="216" spans="2:24" x14ac:dyDescent="0.2">
      <c r="B216" s="33"/>
      <c r="C216" s="4" t="s">
        <v>743</v>
      </c>
      <c r="D216" s="4" t="s">
        <v>859</v>
      </c>
      <c r="E216" s="4" t="s">
        <v>370</v>
      </c>
      <c r="F216" s="4" t="str">
        <f t="shared" si="11"/>
        <v>Hilti HIT-HY 200-R + HIT-Z ¾" x 9 ¾"</v>
      </c>
      <c r="G216" s="136">
        <f>(6/8)*25.4</f>
        <v>19.049999999999997</v>
      </c>
      <c r="H216" s="136">
        <f>(14/16)*25.4</f>
        <v>22.224999999999998</v>
      </c>
      <c r="I216" s="136"/>
      <c r="J216" s="137">
        <v>3.11</v>
      </c>
      <c r="K216" s="137"/>
      <c r="L216" s="136"/>
      <c r="M216" s="34"/>
      <c r="P216"/>
      <c r="T216"/>
      <c r="X216"/>
    </row>
    <row r="217" spans="2:24" x14ac:dyDescent="0.2">
      <c r="B217" s="33"/>
      <c r="C217" s="4" t="s">
        <v>743</v>
      </c>
      <c r="D217" s="4" t="s">
        <v>859</v>
      </c>
      <c r="E217" s="4" t="s">
        <v>747</v>
      </c>
      <c r="F217" s="4" t="str">
        <f t="shared" si="11"/>
        <v>Hilti HIT-HY 200-R + HIT-Z-R ⅜" x 4 ⅜"</v>
      </c>
      <c r="G217" s="136">
        <f>(3/8)*25.4</f>
        <v>9.5249999999999986</v>
      </c>
      <c r="H217" s="136">
        <f>(7/16)*25.4</f>
        <v>11.112499999999999</v>
      </c>
      <c r="I217" s="136"/>
      <c r="J217" s="137">
        <v>0.91</v>
      </c>
      <c r="K217" s="137"/>
      <c r="L217" s="136"/>
      <c r="M217" s="34"/>
      <c r="P217"/>
      <c r="T217"/>
      <c r="X217"/>
    </row>
    <row r="218" spans="2:24" x14ac:dyDescent="0.2">
      <c r="B218" s="33"/>
      <c r="C218" s="4" t="s">
        <v>743</v>
      </c>
      <c r="D218" s="4" t="s">
        <v>859</v>
      </c>
      <c r="E218" s="4" t="s">
        <v>748</v>
      </c>
      <c r="F218" s="4" t="str">
        <f t="shared" si="11"/>
        <v>Hilti HIT-HY 200-R + HIT-Z-R ⅜" x 5 ⅛"</v>
      </c>
      <c r="G218" s="136">
        <f>(3/8)*25.4</f>
        <v>9.5249999999999986</v>
      </c>
      <c r="H218" s="136">
        <f>(7/16)*25.4</f>
        <v>11.112499999999999</v>
      </c>
      <c r="I218" s="136"/>
      <c r="J218" s="137">
        <v>0.91</v>
      </c>
      <c r="K218" s="137"/>
      <c r="L218" s="136"/>
      <c r="M218" s="34"/>
      <c r="P218"/>
      <c r="T218"/>
      <c r="X218"/>
    </row>
    <row r="219" spans="2:24" x14ac:dyDescent="0.2">
      <c r="B219" s="33"/>
      <c r="C219" s="4" t="s">
        <v>743</v>
      </c>
      <c r="D219" s="4" t="s">
        <v>859</v>
      </c>
      <c r="E219" s="4" t="s">
        <v>749</v>
      </c>
      <c r="F219" s="4" t="str">
        <f t="shared" si="11"/>
        <v>Hilti HIT-HY 200-R + HIT-Z-R ⅜" x 6 ⅜"</v>
      </c>
      <c r="G219" s="136">
        <f>(3/8)*25.4</f>
        <v>9.5249999999999986</v>
      </c>
      <c r="H219" s="136">
        <f>(7/16)*25.4</f>
        <v>11.112499999999999</v>
      </c>
      <c r="I219" s="136"/>
      <c r="J219" s="137">
        <v>0.91</v>
      </c>
      <c r="K219" s="137"/>
      <c r="L219" s="136"/>
      <c r="M219" s="34"/>
      <c r="P219"/>
      <c r="T219"/>
      <c r="X219"/>
    </row>
    <row r="220" spans="2:24" x14ac:dyDescent="0.2">
      <c r="B220" s="33"/>
      <c r="C220" s="4" t="s">
        <v>743</v>
      </c>
      <c r="D220" s="4" t="s">
        <v>859</v>
      </c>
      <c r="E220" s="4" t="s">
        <v>750</v>
      </c>
      <c r="F220" s="4" t="str">
        <f t="shared" si="11"/>
        <v>Hilti HIT-HY 200-R + HIT-Z-R ½" x 4 ½"</v>
      </c>
      <c r="G220" s="136">
        <f>(4/8)*25.4</f>
        <v>12.7</v>
      </c>
      <c r="H220" s="136">
        <f>(9/16)*25.4</f>
        <v>14.2875</v>
      </c>
      <c r="I220" s="136"/>
      <c r="J220" s="137">
        <v>1.29</v>
      </c>
      <c r="K220" s="137"/>
      <c r="L220" s="136"/>
      <c r="M220" s="34"/>
      <c r="P220"/>
      <c r="T220"/>
      <c r="X220"/>
    </row>
    <row r="221" spans="2:24" x14ac:dyDescent="0.2">
      <c r="B221" s="33"/>
      <c r="C221" s="4" t="s">
        <v>743</v>
      </c>
      <c r="D221" s="4" t="s">
        <v>859</v>
      </c>
      <c r="E221" s="4" t="s">
        <v>751</v>
      </c>
      <c r="F221" s="4" t="str">
        <f t="shared" si="11"/>
        <v>Hilti HIT-HY 200-R + HIT-Z-R ½" x 6 ½"</v>
      </c>
      <c r="G221" s="136">
        <f>(4/8)*25.4</f>
        <v>12.7</v>
      </c>
      <c r="H221" s="136">
        <f>(9/16)*25.4</f>
        <v>14.2875</v>
      </c>
      <c r="I221" s="136"/>
      <c r="J221" s="137">
        <v>1.29</v>
      </c>
      <c r="K221" s="137"/>
      <c r="L221" s="136"/>
      <c r="M221" s="34"/>
      <c r="P221"/>
      <c r="T221"/>
      <c r="X221"/>
    </row>
    <row r="222" spans="2:24" x14ac:dyDescent="0.2">
      <c r="B222" s="33"/>
      <c r="C222" s="4" t="s">
        <v>743</v>
      </c>
      <c r="D222" s="4" t="s">
        <v>859</v>
      </c>
      <c r="E222" s="4" t="s">
        <v>752</v>
      </c>
      <c r="F222" s="4" t="str">
        <f t="shared" si="11"/>
        <v>Hilti HIT-HY 200-R + HIT-Z-R ½" x 7 ¾"</v>
      </c>
      <c r="G222" s="136">
        <f>(4/8)*25.4</f>
        <v>12.7</v>
      </c>
      <c r="H222" s="136">
        <f>(9/16)*25.4</f>
        <v>14.2875</v>
      </c>
      <c r="I222" s="136"/>
      <c r="J222" s="137">
        <v>1.29</v>
      </c>
      <c r="K222" s="137"/>
      <c r="L222" s="136"/>
      <c r="M222" s="34"/>
      <c r="P222"/>
      <c r="T222"/>
      <c r="X222"/>
    </row>
    <row r="223" spans="2:24" x14ac:dyDescent="0.2">
      <c r="B223" s="33"/>
      <c r="C223" s="4" t="s">
        <v>743</v>
      </c>
      <c r="D223" s="4" t="s">
        <v>859</v>
      </c>
      <c r="E223" s="4" t="s">
        <v>753</v>
      </c>
      <c r="F223" s="4" t="str">
        <f t="shared" si="11"/>
        <v>Hilti HIT-HY 200-R + HIT-Z-R ⅝" x 6"</v>
      </c>
      <c r="G223" s="136">
        <f>(5/8)*25.4</f>
        <v>15.875</v>
      </c>
      <c r="H223" s="136">
        <f>(12/16)*25.4</f>
        <v>19.049999999999997</v>
      </c>
      <c r="I223" s="136"/>
      <c r="J223" s="137">
        <v>2.4700000000000002</v>
      </c>
      <c r="K223" s="137"/>
      <c r="L223" s="136"/>
      <c r="M223" s="34"/>
      <c r="P223"/>
      <c r="T223"/>
      <c r="X223"/>
    </row>
    <row r="224" spans="2:24" x14ac:dyDescent="0.2">
      <c r="B224" s="33"/>
      <c r="C224" s="4" t="s">
        <v>743</v>
      </c>
      <c r="D224" s="4" t="s">
        <v>859</v>
      </c>
      <c r="E224" s="4" t="s">
        <v>754</v>
      </c>
      <c r="F224" s="4" t="str">
        <f t="shared" si="11"/>
        <v>Hilti HIT-HY 200-R + HIT-Z-R ⅝" x 8"</v>
      </c>
      <c r="G224" s="136">
        <f>(5/8)*25.4</f>
        <v>15.875</v>
      </c>
      <c r="H224" s="136">
        <f>(12/16)*25.4</f>
        <v>19.049999999999997</v>
      </c>
      <c r="I224" s="136"/>
      <c r="J224" s="137">
        <v>2.4700000000000002</v>
      </c>
      <c r="K224" s="137"/>
      <c r="L224" s="136"/>
      <c r="M224" s="34"/>
      <c r="P224"/>
      <c r="T224"/>
      <c r="X224"/>
    </row>
    <row r="225" spans="2:24" x14ac:dyDescent="0.2">
      <c r="B225" s="33"/>
      <c r="C225" s="4" t="s">
        <v>743</v>
      </c>
      <c r="D225" s="4" t="s">
        <v>859</v>
      </c>
      <c r="E225" s="4" t="s">
        <v>755</v>
      </c>
      <c r="F225" s="4" t="str">
        <f t="shared" si="11"/>
        <v>Hilti HIT-HY 200-R + HIT-Z-R ⅝" x 9 ½"</v>
      </c>
      <c r="G225" s="136">
        <f>(5/8)*25.4</f>
        <v>15.875</v>
      </c>
      <c r="H225" s="136">
        <f>(12/16)*25.4</f>
        <v>19.049999999999997</v>
      </c>
      <c r="I225" s="136"/>
      <c r="J225" s="137">
        <v>2.4700000000000002</v>
      </c>
      <c r="K225" s="137"/>
      <c r="L225" s="136"/>
      <c r="M225" s="34"/>
      <c r="P225"/>
      <c r="T225"/>
      <c r="X225"/>
    </row>
    <row r="226" spans="2:24" x14ac:dyDescent="0.2">
      <c r="B226" s="33"/>
      <c r="C226" s="4" t="s">
        <v>743</v>
      </c>
      <c r="D226" s="4" t="s">
        <v>859</v>
      </c>
      <c r="E226" s="4" t="s">
        <v>756</v>
      </c>
      <c r="F226" s="4" t="str">
        <f t="shared" si="11"/>
        <v>Hilti HIT-HY 200-R + HIT-Z-R ¾" x 8 ½"</v>
      </c>
      <c r="G226" s="136">
        <f>(6/8)*25.4</f>
        <v>19.049999999999997</v>
      </c>
      <c r="H226" s="136">
        <f>(14/16)*25.4</f>
        <v>22.224999999999998</v>
      </c>
      <c r="I226" s="136"/>
      <c r="J226" s="137">
        <v>3.11</v>
      </c>
      <c r="K226" s="137"/>
      <c r="L226" s="136"/>
      <c r="M226" s="34"/>
      <c r="P226"/>
      <c r="T226"/>
      <c r="X226"/>
    </row>
    <row r="227" spans="2:24" x14ac:dyDescent="0.2">
      <c r="B227" s="33"/>
      <c r="C227" s="4" t="s">
        <v>743</v>
      </c>
      <c r="D227" s="4" t="s">
        <v>859</v>
      </c>
      <c r="E227" s="4" t="s">
        <v>757</v>
      </c>
      <c r="F227" s="4" t="str">
        <f t="shared" si="11"/>
        <v>Hilti HIT-HY 200-R + HIT-Z-R ¾" x 9 ¾"</v>
      </c>
      <c r="G227" s="136">
        <f>(6/8)*25.4</f>
        <v>19.049999999999997</v>
      </c>
      <c r="H227" s="136">
        <f>(14/16)*25.4</f>
        <v>22.224999999999998</v>
      </c>
      <c r="I227" s="136"/>
      <c r="J227" s="137">
        <v>3.11</v>
      </c>
      <c r="K227" s="137"/>
      <c r="L227" s="136"/>
      <c r="M227" s="34"/>
      <c r="P227"/>
      <c r="T227"/>
      <c r="X227"/>
    </row>
    <row r="228" spans="2:24" x14ac:dyDescent="0.2">
      <c r="B228" s="33"/>
      <c r="C228" s="4" t="s">
        <v>743</v>
      </c>
      <c r="D228" s="4"/>
      <c r="E228" s="39" t="s">
        <v>261</v>
      </c>
      <c r="F228" s="4" t="str">
        <f>E228</f>
        <v>--------------------</v>
      </c>
      <c r="G228" s="136"/>
      <c r="H228" s="136"/>
      <c r="I228" s="136"/>
      <c r="J228" s="137"/>
      <c r="K228" s="137"/>
      <c r="L228" s="136"/>
      <c r="M228" s="34"/>
      <c r="P228"/>
      <c r="T228"/>
      <c r="X228"/>
    </row>
    <row r="229" spans="2:24" x14ac:dyDescent="0.2">
      <c r="B229" s="33"/>
      <c r="C229" s="4" t="s">
        <v>743</v>
      </c>
      <c r="D229" s="4" t="s">
        <v>855</v>
      </c>
      <c r="E229" s="4" t="s">
        <v>170</v>
      </c>
      <c r="F229" s="4" t="str">
        <f t="shared" ref="F229:F260" si="12">CONCATENATE(C229," + ",E229)</f>
        <v>Hilti HIT-HY 200-R + HAS ⅜" x 5 ⅛"</v>
      </c>
      <c r="G229" s="136">
        <f>(3/8)*25.4</f>
        <v>9.5249999999999986</v>
      </c>
      <c r="H229" s="136">
        <f>(7/16)*25.4</f>
        <v>11.112499999999999</v>
      </c>
      <c r="I229" s="136"/>
      <c r="J229" s="137">
        <v>0.61290199999999995</v>
      </c>
      <c r="K229" s="137"/>
      <c r="L229" s="136"/>
      <c r="M229" s="34"/>
      <c r="P229"/>
      <c r="T229"/>
      <c r="X229"/>
    </row>
    <row r="230" spans="2:24" x14ac:dyDescent="0.2">
      <c r="B230" s="33"/>
      <c r="C230" s="4" t="s">
        <v>743</v>
      </c>
      <c r="D230" s="4" t="s">
        <v>855</v>
      </c>
      <c r="E230" s="4" t="s">
        <v>171</v>
      </c>
      <c r="F230" s="4" t="str">
        <f t="shared" si="12"/>
        <v>Hilti HIT-HY 200-R + HAS ⅜" x 8"</v>
      </c>
      <c r="G230" s="136">
        <f>(3/8)*25.4</f>
        <v>9.5249999999999986</v>
      </c>
      <c r="H230" s="136">
        <f>(7/16)*25.4</f>
        <v>11.112499999999999</v>
      </c>
      <c r="I230" s="136"/>
      <c r="J230" s="137">
        <v>0.61290199999999995</v>
      </c>
      <c r="K230" s="137"/>
      <c r="L230" s="136"/>
      <c r="M230" s="34"/>
      <c r="P230"/>
      <c r="T230"/>
      <c r="X230"/>
    </row>
    <row r="231" spans="2:24" x14ac:dyDescent="0.2">
      <c r="B231" s="33"/>
      <c r="C231" s="4" t="s">
        <v>743</v>
      </c>
      <c r="D231" s="4" t="s">
        <v>855</v>
      </c>
      <c r="E231" s="4" t="s">
        <v>172</v>
      </c>
      <c r="F231" s="4" t="str">
        <f t="shared" si="12"/>
        <v>Hilti HIT-HY 200-R + HAS ⅜" x 12"</v>
      </c>
      <c r="G231" s="136">
        <f>(3/8)*25.4</f>
        <v>9.5249999999999986</v>
      </c>
      <c r="H231" s="136">
        <f>(7/16)*25.4</f>
        <v>11.112499999999999</v>
      </c>
      <c r="I231" s="136"/>
      <c r="J231" s="137">
        <v>0.61290199999999995</v>
      </c>
      <c r="K231" s="137"/>
      <c r="L231" s="136"/>
      <c r="M231" s="34"/>
      <c r="P231"/>
      <c r="T231"/>
      <c r="X231"/>
    </row>
    <row r="232" spans="2:24" x14ac:dyDescent="0.2">
      <c r="B232" s="33"/>
      <c r="C232" s="4" t="s">
        <v>743</v>
      </c>
      <c r="D232" s="4" t="s">
        <v>855</v>
      </c>
      <c r="E232" s="4" t="s">
        <v>173</v>
      </c>
      <c r="F232" s="4" t="str">
        <f t="shared" si="12"/>
        <v>Hilti HIT-HY 200-R + HAS ½" x 6 ½"</v>
      </c>
      <c r="G232" s="136">
        <f>(4/8)*25.4</f>
        <v>12.7</v>
      </c>
      <c r="H232" s="136">
        <f>(9/16)*25.4</f>
        <v>14.2875</v>
      </c>
      <c r="I232" s="136"/>
      <c r="J232" s="137">
        <v>0.8580627999999999</v>
      </c>
      <c r="K232" s="137"/>
      <c r="L232" s="136"/>
      <c r="M232" s="34"/>
      <c r="P232"/>
      <c r="T232"/>
      <c r="X232"/>
    </row>
    <row r="233" spans="2:24" x14ac:dyDescent="0.2">
      <c r="B233" s="33"/>
      <c r="C233" s="4" t="s">
        <v>743</v>
      </c>
      <c r="D233" s="4" t="s">
        <v>855</v>
      </c>
      <c r="E233" s="4" t="s">
        <v>174</v>
      </c>
      <c r="F233" s="4" t="str">
        <f t="shared" si="12"/>
        <v>Hilti HIT-HY 200-R + HAS ½" x 8"</v>
      </c>
      <c r="G233" s="136">
        <f>(4/8)*25.4</f>
        <v>12.7</v>
      </c>
      <c r="H233" s="136">
        <f>(9/16)*25.4</f>
        <v>14.2875</v>
      </c>
      <c r="I233" s="136"/>
      <c r="J233" s="137">
        <v>0.8580627999999999</v>
      </c>
      <c r="K233" s="137"/>
      <c r="L233" s="136"/>
      <c r="M233" s="34"/>
      <c r="P233"/>
      <c r="T233"/>
      <c r="X233"/>
    </row>
    <row r="234" spans="2:24" x14ac:dyDescent="0.2">
      <c r="B234" s="33"/>
      <c r="C234" s="4" t="s">
        <v>743</v>
      </c>
      <c r="D234" s="4" t="s">
        <v>855</v>
      </c>
      <c r="E234" s="4" t="s">
        <v>175</v>
      </c>
      <c r="F234" s="4" t="str">
        <f t="shared" si="12"/>
        <v>Hilti HIT-HY 200-R + HAS ½" x 12"</v>
      </c>
      <c r="G234" s="136">
        <f>(4/8)*25.4</f>
        <v>12.7</v>
      </c>
      <c r="H234" s="136">
        <f>(9/16)*25.4</f>
        <v>14.2875</v>
      </c>
      <c r="I234" s="136"/>
      <c r="J234" s="137">
        <v>0.8580627999999999</v>
      </c>
      <c r="K234" s="137"/>
      <c r="L234" s="136"/>
      <c r="M234" s="34"/>
      <c r="P234"/>
      <c r="T234"/>
      <c r="X234"/>
    </row>
    <row r="235" spans="2:24" x14ac:dyDescent="0.2">
      <c r="B235" s="33"/>
      <c r="C235" s="4" t="s">
        <v>743</v>
      </c>
      <c r="D235" s="4" t="s">
        <v>855</v>
      </c>
      <c r="E235" s="4" t="s">
        <v>178</v>
      </c>
      <c r="F235" s="4" t="str">
        <f t="shared" si="12"/>
        <v>Hilti HIT-HY 200-R + HAS ⅝" x 8"</v>
      </c>
      <c r="G235" s="136">
        <f>(5/8)*25.4</f>
        <v>15.875</v>
      </c>
      <c r="H235" s="136">
        <f>(11/16)*25.4</f>
        <v>17.462499999999999</v>
      </c>
      <c r="I235" s="136"/>
      <c r="J235" s="137">
        <v>1.6838675999999997</v>
      </c>
      <c r="K235" s="137"/>
      <c r="L235" s="136"/>
      <c r="M235" s="34"/>
      <c r="P235"/>
      <c r="T235"/>
      <c r="X235"/>
    </row>
    <row r="236" spans="2:24" x14ac:dyDescent="0.2">
      <c r="B236" s="33"/>
      <c r="C236" s="4" t="s">
        <v>743</v>
      </c>
      <c r="D236" s="4" t="s">
        <v>855</v>
      </c>
      <c r="E236" s="4" t="s">
        <v>179</v>
      </c>
      <c r="F236" s="4" t="str">
        <f t="shared" si="12"/>
        <v>Hilti HIT-HY 200-R + HAS ⅝" x 9"</v>
      </c>
      <c r="G236" s="136">
        <f>(5/8)*25.4</f>
        <v>15.875</v>
      </c>
      <c r="H236" s="136">
        <f>(11/16)*25.4</f>
        <v>17.462499999999999</v>
      </c>
      <c r="I236" s="136"/>
      <c r="J236" s="137">
        <v>1.6838675999999997</v>
      </c>
      <c r="K236" s="137"/>
      <c r="L236" s="136"/>
      <c r="M236" s="34"/>
      <c r="P236"/>
      <c r="T236"/>
      <c r="X236"/>
    </row>
    <row r="237" spans="2:24" x14ac:dyDescent="0.2">
      <c r="B237" s="33"/>
      <c r="C237" s="4" t="s">
        <v>743</v>
      </c>
      <c r="D237" s="4" t="s">
        <v>855</v>
      </c>
      <c r="E237" s="4" t="s">
        <v>180</v>
      </c>
      <c r="F237" s="4" t="str">
        <f t="shared" si="12"/>
        <v>Hilti HIT-HY 200-R + HAS ⅝" x 12"</v>
      </c>
      <c r="G237" s="136">
        <f>(5/8)*25.4</f>
        <v>15.875</v>
      </c>
      <c r="H237" s="136">
        <f>(11/16)*25.4</f>
        <v>17.462499999999999</v>
      </c>
      <c r="I237" s="136"/>
      <c r="J237" s="137">
        <v>1.6838675999999997</v>
      </c>
      <c r="K237" s="137"/>
      <c r="L237" s="136"/>
      <c r="M237" s="34"/>
      <c r="P237"/>
      <c r="T237"/>
      <c r="X237"/>
    </row>
    <row r="238" spans="2:24" x14ac:dyDescent="0.2">
      <c r="B238" s="33"/>
      <c r="C238" s="4" t="s">
        <v>743</v>
      </c>
      <c r="D238" s="4" t="s">
        <v>855</v>
      </c>
      <c r="E238" s="4" t="s">
        <v>181</v>
      </c>
      <c r="F238" s="4" t="str">
        <f t="shared" si="12"/>
        <v>Hilti HIT-HY 200-R + HAS ¾" x 10"</v>
      </c>
      <c r="G238" s="136">
        <f>(6/8)*25.4</f>
        <v>19.049999999999997</v>
      </c>
      <c r="H238" s="136">
        <f>(14/16)*25.4</f>
        <v>22.224999999999998</v>
      </c>
      <c r="I238" s="136"/>
      <c r="J238" s="137">
        <v>2.1032215999999999</v>
      </c>
      <c r="K238" s="137"/>
      <c r="L238" s="136"/>
      <c r="M238" s="34"/>
      <c r="P238"/>
      <c r="T238"/>
      <c r="X238"/>
    </row>
    <row r="239" spans="2:24" x14ac:dyDescent="0.2">
      <c r="B239" s="33"/>
      <c r="C239" s="4" t="s">
        <v>743</v>
      </c>
      <c r="D239" s="4" t="s">
        <v>855</v>
      </c>
      <c r="E239" s="4" t="s">
        <v>182</v>
      </c>
      <c r="F239" s="4" t="str">
        <f t="shared" si="12"/>
        <v>Hilti HIT-HY 200-R + HAS ¾" x 14"</v>
      </c>
      <c r="G239" s="136">
        <f>(6/8)*25.4</f>
        <v>19.049999999999997</v>
      </c>
      <c r="H239" s="136">
        <f>(14/16)*25.4</f>
        <v>22.224999999999998</v>
      </c>
      <c r="I239" s="136"/>
      <c r="J239" s="137">
        <v>2.1032215999999999</v>
      </c>
      <c r="K239" s="137"/>
      <c r="L239" s="136"/>
      <c r="M239" s="34"/>
      <c r="P239"/>
      <c r="T239"/>
      <c r="X239"/>
    </row>
    <row r="240" spans="2:24" x14ac:dyDescent="0.2">
      <c r="B240" s="33"/>
      <c r="C240" s="4" t="s">
        <v>743</v>
      </c>
      <c r="D240" s="4" t="s">
        <v>855</v>
      </c>
      <c r="E240" s="4" t="s">
        <v>183</v>
      </c>
      <c r="F240" s="4" t="str">
        <f t="shared" si="12"/>
        <v>Hilti HIT-HY 200-R + HAS ¾" x 19"</v>
      </c>
      <c r="G240" s="136">
        <f>(6/8)*25.4</f>
        <v>19.049999999999997</v>
      </c>
      <c r="H240" s="136">
        <f>(14/16)*25.4</f>
        <v>22.224999999999998</v>
      </c>
      <c r="I240" s="136"/>
      <c r="J240" s="137">
        <v>2.1032215999999999</v>
      </c>
      <c r="K240" s="137"/>
      <c r="L240" s="136"/>
      <c r="M240" s="34"/>
      <c r="P240"/>
      <c r="T240"/>
      <c r="X240"/>
    </row>
    <row r="241" spans="2:24" x14ac:dyDescent="0.2">
      <c r="B241" s="33"/>
      <c r="C241" s="4" t="s">
        <v>743</v>
      </c>
      <c r="D241" s="4" t="s">
        <v>855</v>
      </c>
      <c r="E241" s="4" t="s">
        <v>184</v>
      </c>
      <c r="F241" s="4" t="str">
        <f t="shared" si="12"/>
        <v>Hilti HIT-HY 200-R + HAS ⅞" x 10"</v>
      </c>
      <c r="G241" s="136">
        <f>(7/8)*25.4</f>
        <v>22.224999999999998</v>
      </c>
      <c r="H241" s="136">
        <f>(16/16)*25.4</f>
        <v>25.4</v>
      </c>
      <c r="I241" s="136"/>
      <c r="J241" s="137">
        <v>2.5225756000000001</v>
      </c>
      <c r="K241" s="137"/>
      <c r="L241" s="136"/>
      <c r="M241" s="34"/>
      <c r="P241"/>
      <c r="T241"/>
      <c r="X241"/>
    </row>
    <row r="242" spans="2:24" x14ac:dyDescent="0.2">
      <c r="B242" s="33"/>
      <c r="C242" s="4" t="s">
        <v>743</v>
      </c>
      <c r="D242" s="4" t="s">
        <v>855</v>
      </c>
      <c r="E242" s="4" t="s">
        <v>185</v>
      </c>
      <c r="F242" s="4" t="str">
        <f t="shared" si="12"/>
        <v>Hilti HIT-HY 200-R + HAS ⅞" x 14"</v>
      </c>
      <c r="G242" s="136">
        <f>(7/8)*25.4</f>
        <v>22.224999999999998</v>
      </c>
      <c r="H242" s="136">
        <f>(16/16)*25.4</f>
        <v>25.4</v>
      </c>
      <c r="I242" s="136"/>
      <c r="J242" s="137">
        <v>2.5225756000000001</v>
      </c>
      <c r="K242" s="137"/>
      <c r="L242" s="136"/>
      <c r="M242" s="34"/>
      <c r="P242"/>
      <c r="T242"/>
      <c r="X242"/>
    </row>
    <row r="243" spans="2:24" x14ac:dyDescent="0.2">
      <c r="B243" s="33"/>
      <c r="C243" s="4" t="s">
        <v>743</v>
      </c>
      <c r="D243" s="4" t="s">
        <v>855</v>
      </c>
      <c r="E243" s="4" t="s">
        <v>177</v>
      </c>
      <c r="F243" s="4" t="str">
        <f t="shared" si="12"/>
        <v>Hilti HIT-HY 200-R + HAS ⅞" x 19"</v>
      </c>
      <c r="G243" s="136">
        <f>(7/8)*25.4</f>
        <v>22.224999999999998</v>
      </c>
      <c r="H243" s="136">
        <f>(16/16)*25.4</f>
        <v>25.4</v>
      </c>
      <c r="I243" s="136"/>
      <c r="J243" s="137">
        <v>2.5225756000000001</v>
      </c>
      <c r="K243" s="137"/>
      <c r="L243" s="136"/>
      <c r="M243" s="34"/>
      <c r="P243"/>
      <c r="T243"/>
      <c r="X243"/>
    </row>
    <row r="244" spans="2:24" x14ac:dyDescent="0.2">
      <c r="B244" s="33"/>
      <c r="C244" s="4" t="s">
        <v>743</v>
      </c>
      <c r="D244" s="4" t="s">
        <v>855</v>
      </c>
      <c r="E244" s="4" t="s">
        <v>176</v>
      </c>
      <c r="F244" s="4" t="str">
        <f t="shared" si="12"/>
        <v>Hilti HIT-HY 200-R + HAS 1" x 12"</v>
      </c>
      <c r="G244" s="136">
        <f>(8/8)*25.4</f>
        <v>25.4</v>
      </c>
      <c r="H244" s="136">
        <f>(18/16)*25.4</f>
        <v>28.574999999999999</v>
      </c>
      <c r="I244" s="136"/>
      <c r="J244" s="137">
        <v>3.0838647999999997</v>
      </c>
      <c r="K244" s="137"/>
      <c r="L244" s="136"/>
      <c r="M244" s="34"/>
      <c r="P244"/>
      <c r="T244"/>
      <c r="X244"/>
    </row>
    <row r="245" spans="2:24" x14ac:dyDescent="0.2">
      <c r="B245" s="33"/>
      <c r="C245" s="4" t="s">
        <v>743</v>
      </c>
      <c r="D245" s="4" t="s">
        <v>855</v>
      </c>
      <c r="E245" s="4" t="s">
        <v>186</v>
      </c>
      <c r="F245" s="4" t="str">
        <f t="shared" si="12"/>
        <v>Hilti HIT-HY 200-R + HAS 1" x 16"</v>
      </c>
      <c r="G245" s="136">
        <f>(8/8)*25.4</f>
        <v>25.4</v>
      </c>
      <c r="H245" s="136">
        <f>(18/16)*25.4</f>
        <v>28.574999999999999</v>
      </c>
      <c r="I245" s="136"/>
      <c r="J245" s="137">
        <v>3.0838647999999997</v>
      </c>
      <c r="K245" s="137"/>
      <c r="L245" s="136"/>
      <c r="M245" s="34"/>
      <c r="P245"/>
      <c r="T245"/>
      <c r="X245"/>
    </row>
    <row r="246" spans="2:24" x14ac:dyDescent="0.2">
      <c r="B246" s="33"/>
      <c r="C246" s="4" t="s">
        <v>743</v>
      </c>
      <c r="D246" s="4" t="s">
        <v>855</v>
      </c>
      <c r="E246" s="4" t="s">
        <v>187</v>
      </c>
      <c r="F246" s="4" t="str">
        <f t="shared" si="12"/>
        <v>Hilti HIT-HY 200-R + HAS 1" x 20"</v>
      </c>
      <c r="G246" s="136">
        <f>(8/8)*25.4</f>
        <v>25.4</v>
      </c>
      <c r="H246" s="136">
        <f>(18/16)*25.4</f>
        <v>28.574999999999999</v>
      </c>
      <c r="I246" s="136"/>
      <c r="J246" s="137">
        <v>3.0838647999999997</v>
      </c>
      <c r="K246" s="137"/>
      <c r="L246" s="136"/>
      <c r="M246" s="34"/>
      <c r="P246"/>
      <c r="T246"/>
      <c r="X246"/>
    </row>
    <row r="247" spans="2:24" x14ac:dyDescent="0.2">
      <c r="B247" s="33"/>
      <c r="C247" s="4" t="s">
        <v>743</v>
      </c>
      <c r="D247" s="4" t="s">
        <v>855</v>
      </c>
      <c r="E247" s="4" t="s">
        <v>188</v>
      </c>
      <c r="F247" s="4" t="str">
        <f t="shared" si="12"/>
        <v>Hilti HIT-HY 200-R + HAS 1 ¼" x 16"</v>
      </c>
      <c r="G247" s="136">
        <f>(10/8)*25.4</f>
        <v>31.75</v>
      </c>
      <c r="H247" s="136">
        <f>(22/16)*25.4</f>
        <v>34.924999999999997</v>
      </c>
      <c r="I247" s="136"/>
      <c r="J247" s="137">
        <v>4.0387015999999996</v>
      </c>
      <c r="K247" s="137"/>
      <c r="L247" s="136"/>
      <c r="M247" s="34"/>
      <c r="P247"/>
      <c r="T247"/>
      <c r="X247"/>
    </row>
    <row r="248" spans="2:24" x14ac:dyDescent="0.2">
      <c r="B248" s="33"/>
      <c r="C248" s="4" t="s">
        <v>743</v>
      </c>
      <c r="D248" s="4" t="s">
        <v>855</v>
      </c>
      <c r="E248" s="4" t="s">
        <v>189</v>
      </c>
      <c r="F248" s="4" t="str">
        <f t="shared" si="12"/>
        <v>Hilti HIT-HY 200-R + HAS 1 ¼" x 22"</v>
      </c>
      <c r="G248" s="136">
        <f>(10/8)*25.4</f>
        <v>31.75</v>
      </c>
      <c r="H248" s="136">
        <f>ROUND((22/16)*25.4,0)</f>
        <v>35</v>
      </c>
      <c r="I248" s="136"/>
      <c r="J248" s="137">
        <v>4.0387015999999996</v>
      </c>
      <c r="K248" s="137"/>
      <c r="L248" s="136"/>
      <c r="M248" s="34"/>
      <c r="P248"/>
      <c r="T248"/>
      <c r="X248"/>
    </row>
    <row r="249" spans="2:24" x14ac:dyDescent="0.2">
      <c r="B249" s="33"/>
      <c r="C249" s="4" t="s">
        <v>743</v>
      </c>
      <c r="D249" s="4" t="s">
        <v>855</v>
      </c>
      <c r="E249" s="4" t="s">
        <v>190</v>
      </c>
      <c r="F249" s="4" t="str">
        <f t="shared" si="12"/>
        <v xml:space="preserve">Hilti HIT-HY 200-R + HAS HDG ⅜" x 5 ⅛" </v>
      </c>
      <c r="G249" s="136">
        <f>(3/8)*25.4</f>
        <v>9.5249999999999986</v>
      </c>
      <c r="H249" s="136">
        <f>(7/16)*25.4</f>
        <v>11.112499999999999</v>
      </c>
      <c r="I249" s="136"/>
      <c r="J249" s="137">
        <v>0.61290199999999995</v>
      </c>
      <c r="K249" s="137"/>
      <c r="L249" s="136"/>
      <c r="M249" s="34"/>
      <c r="P249"/>
      <c r="T249"/>
      <c r="X249"/>
    </row>
    <row r="250" spans="2:24" x14ac:dyDescent="0.2">
      <c r="B250" s="33"/>
      <c r="C250" s="4" t="s">
        <v>743</v>
      </c>
      <c r="D250" s="4" t="s">
        <v>855</v>
      </c>
      <c r="E250" s="4" t="s">
        <v>191</v>
      </c>
      <c r="F250" s="4" t="str">
        <f t="shared" si="12"/>
        <v>Hilti HIT-HY 200-R + HAS HDG ⅜" x 8"</v>
      </c>
      <c r="G250" s="136">
        <f>(3/8)*25.4</f>
        <v>9.5249999999999986</v>
      </c>
      <c r="H250" s="136">
        <f>(7/16)*25.4</f>
        <v>11.112499999999999</v>
      </c>
      <c r="I250" s="136"/>
      <c r="J250" s="137">
        <v>0.61290199999999995</v>
      </c>
      <c r="K250" s="137"/>
      <c r="L250" s="136"/>
      <c r="M250" s="34"/>
      <c r="P250"/>
      <c r="T250"/>
      <c r="X250"/>
    </row>
    <row r="251" spans="2:24" x14ac:dyDescent="0.2">
      <c r="B251" s="33"/>
      <c r="C251" s="4" t="s">
        <v>743</v>
      </c>
      <c r="D251" s="4" t="s">
        <v>855</v>
      </c>
      <c r="E251" s="4" t="s">
        <v>192</v>
      </c>
      <c r="F251" s="4" t="str">
        <f t="shared" si="12"/>
        <v>Hilti HIT-HY 200-R + HAS HDG ⅜" x 12"</v>
      </c>
      <c r="G251" s="136">
        <f>(3/8)*25.4</f>
        <v>9.5249999999999986</v>
      </c>
      <c r="H251" s="136">
        <f>(7/16)*25.4</f>
        <v>11.112499999999999</v>
      </c>
      <c r="I251" s="136"/>
      <c r="J251" s="137">
        <v>0.61290199999999995</v>
      </c>
      <c r="K251" s="137"/>
      <c r="L251" s="136"/>
      <c r="M251" s="34"/>
      <c r="P251"/>
      <c r="T251"/>
      <c r="X251"/>
    </row>
    <row r="252" spans="2:24" x14ac:dyDescent="0.2">
      <c r="B252" s="33"/>
      <c r="C252" s="4" t="s">
        <v>743</v>
      </c>
      <c r="D252" s="4" t="s">
        <v>855</v>
      </c>
      <c r="E252" s="4" t="s">
        <v>193</v>
      </c>
      <c r="F252" s="4" t="str">
        <f t="shared" si="12"/>
        <v xml:space="preserve">Hilti HIT-HY 200-R + HAS HDG ½" x 6 ½" </v>
      </c>
      <c r="G252" s="136">
        <f>(4/8)*25.4</f>
        <v>12.7</v>
      </c>
      <c r="H252" s="136">
        <f>(9/16)*25.4</f>
        <v>14.2875</v>
      </c>
      <c r="I252" s="136"/>
      <c r="J252" s="137">
        <v>0.8580627999999999</v>
      </c>
      <c r="K252" s="137"/>
      <c r="L252" s="136"/>
      <c r="M252" s="34"/>
      <c r="P252"/>
      <c r="T252"/>
      <c r="X252"/>
    </row>
    <row r="253" spans="2:24" x14ac:dyDescent="0.2">
      <c r="B253" s="33"/>
      <c r="C253" s="4" t="s">
        <v>743</v>
      </c>
      <c r="D253" s="4" t="s">
        <v>855</v>
      </c>
      <c r="E253" s="4" t="s">
        <v>194</v>
      </c>
      <c r="F253" s="4" t="str">
        <f t="shared" si="12"/>
        <v>Hilti HIT-HY 200-R + HAS HDG ½" x 8"</v>
      </c>
      <c r="G253" s="136">
        <f>(4/8)*25.4</f>
        <v>12.7</v>
      </c>
      <c r="H253" s="136">
        <f>(9/16)*25.4</f>
        <v>14.2875</v>
      </c>
      <c r="I253" s="136"/>
      <c r="J253" s="137">
        <v>0.8580627999999999</v>
      </c>
      <c r="K253" s="137"/>
      <c r="L253" s="136"/>
      <c r="M253" s="34"/>
      <c r="P253"/>
      <c r="T253"/>
      <c r="X253"/>
    </row>
    <row r="254" spans="2:24" x14ac:dyDescent="0.2">
      <c r="B254" s="33"/>
      <c r="C254" s="4" t="s">
        <v>743</v>
      </c>
      <c r="D254" s="4" t="s">
        <v>855</v>
      </c>
      <c r="E254" s="4" t="s">
        <v>195</v>
      </c>
      <c r="F254" s="4" t="str">
        <f t="shared" si="12"/>
        <v>Hilti HIT-HY 200-R + HAS HDG ½" x 12"</v>
      </c>
      <c r="G254" s="136">
        <f>(4/8)*25.4</f>
        <v>12.7</v>
      </c>
      <c r="H254" s="136">
        <f>(9/16)*25.4</f>
        <v>14.2875</v>
      </c>
      <c r="I254" s="136"/>
      <c r="J254" s="137">
        <v>0.8580627999999999</v>
      </c>
      <c r="K254" s="137"/>
      <c r="L254" s="136"/>
      <c r="M254" s="34"/>
      <c r="P254"/>
      <c r="T254"/>
      <c r="X254"/>
    </row>
    <row r="255" spans="2:24" x14ac:dyDescent="0.2">
      <c r="B255" s="33"/>
      <c r="C255" s="4" t="s">
        <v>743</v>
      </c>
      <c r="D255" s="4" t="s">
        <v>855</v>
      </c>
      <c r="E255" s="4" t="s">
        <v>196</v>
      </c>
      <c r="F255" s="4" t="str">
        <f t="shared" si="12"/>
        <v>Hilti HIT-HY 200-R + HAS HDG ⅝" x 8"</v>
      </c>
      <c r="G255" s="136">
        <f>(5/8)*25.4</f>
        <v>15.875</v>
      </c>
      <c r="H255" s="136">
        <f>(11/16)*25.4</f>
        <v>17.462499999999999</v>
      </c>
      <c r="I255" s="136"/>
      <c r="J255" s="137">
        <v>1.6838675999999997</v>
      </c>
      <c r="K255" s="137"/>
      <c r="L255" s="136"/>
      <c r="M255" s="34"/>
      <c r="P255"/>
      <c r="T255"/>
      <c r="X255"/>
    </row>
    <row r="256" spans="2:24" x14ac:dyDescent="0.2">
      <c r="B256" s="33"/>
      <c r="C256" s="4" t="s">
        <v>743</v>
      </c>
      <c r="D256" s="4" t="s">
        <v>855</v>
      </c>
      <c r="E256" s="4" t="s">
        <v>197</v>
      </c>
      <c r="F256" s="4" t="str">
        <f t="shared" si="12"/>
        <v>Hilti HIT-HY 200-R + HAS HDG ⅝" x 9"</v>
      </c>
      <c r="G256" s="136">
        <f>(5/8)*25.4</f>
        <v>15.875</v>
      </c>
      <c r="H256" s="136">
        <f>(11/16)*25.4</f>
        <v>17.462499999999999</v>
      </c>
      <c r="I256" s="136"/>
      <c r="J256" s="137">
        <v>1.6838675999999997</v>
      </c>
      <c r="K256" s="137"/>
      <c r="L256" s="136"/>
      <c r="M256" s="34"/>
      <c r="P256"/>
      <c r="T256"/>
      <c r="X256"/>
    </row>
    <row r="257" spans="2:24" x14ac:dyDescent="0.2">
      <c r="B257" s="33"/>
      <c r="C257" s="4" t="s">
        <v>743</v>
      </c>
      <c r="D257" s="4" t="s">
        <v>855</v>
      </c>
      <c r="E257" s="4" t="s">
        <v>198</v>
      </c>
      <c r="F257" s="4" t="str">
        <f t="shared" si="12"/>
        <v>Hilti HIT-HY 200-R + HAS HDG ⅝" x 12"</v>
      </c>
      <c r="G257" s="136">
        <f>(5/8)*25.4</f>
        <v>15.875</v>
      </c>
      <c r="H257" s="136">
        <f>(11/16)*25.4</f>
        <v>17.462499999999999</v>
      </c>
      <c r="I257" s="136"/>
      <c r="J257" s="137">
        <v>1.6838675999999997</v>
      </c>
      <c r="K257" s="137"/>
      <c r="L257" s="136"/>
      <c r="M257" s="34"/>
      <c r="P257"/>
      <c r="T257"/>
      <c r="X257"/>
    </row>
    <row r="258" spans="2:24" x14ac:dyDescent="0.2">
      <c r="B258" s="33"/>
      <c r="C258" s="4" t="s">
        <v>743</v>
      </c>
      <c r="D258" s="4" t="s">
        <v>855</v>
      </c>
      <c r="E258" s="4" t="s">
        <v>199</v>
      </c>
      <c r="F258" s="4" t="str">
        <f t="shared" si="12"/>
        <v>Hilti HIT-HY 200-R + HAS HDG ¾" x 10"</v>
      </c>
      <c r="G258" s="136">
        <f>(6/8)*25.4</f>
        <v>19.049999999999997</v>
      </c>
      <c r="H258" s="136">
        <f>(14/16)*25.4</f>
        <v>22.224999999999998</v>
      </c>
      <c r="I258" s="136"/>
      <c r="J258" s="137">
        <v>2.1032215999999999</v>
      </c>
      <c r="K258" s="137"/>
      <c r="L258" s="136"/>
      <c r="M258" s="34"/>
      <c r="P258"/>
      <c r="T258"/>
      <c r="X258"/>
    </row>
    <row r="259" spans="2:24" x14ac:dyDescent="0.2">
      <c r="B259" s="33"/>
      <c r="C259" s="4" t="s">
        <v>743</v>
      </c>
      <c r="D259" s="4" t="s">
        <v>855</v>
      </c>
      <c r="E259" s="4" t="s">
        <v>200</v>
      </c>
      <c r="F259" s="4" t="str">
        <f t="shared" si="12"/>
        <v>Hilti HIT-HY 200-R + HAS HDG ¾" x 14"</v>
      </c>
      <c r="G259" s="136">
        <f>(6/8)*25.4</f>
        <v>19.049999999999997</v>
      </c>
      <c r="H259" s="136">
        <f>(14/16)*25.4</f>
        <v>22.224999999999998</v>
      </c>
      <c r="I259" s="136"/>
      <c r="J259" s="137">
        <v>2.1032215999999999</v>
      </c>
      <c r="K259" s="137"/>
      <c r="L259" s="136"/>
      <c r="M259" s="34"/>
      <c r="P259"/>
      <c r="T259"/>
      <c r="X259"/>
    </row>
    <row r="260" spans="2:24" x14ac:dyDescent="0.2">
      <c r="B260" s="33"/>
      <c r="C260" s="4" t="s">
        <v>743</v>
      </c>
      <c r="D260" s="4" t="s">
        <v>855</v>
      </c>
      <c r="E260" s="4" t="s">
        <v>201</v>
      </c>
      <c r="F260" s="4" t="str">
        <f t="shared" si="12"/>
        <v>Hilti HIT-HY 200-R + HAS HDG ¾" x 19"</v>
      </c>
      <c r="G260" s="136">
        <f>(6/8)*25.4</f>
        <v>19.049999999999997</v>
      </c>
      <c r="H260" s="136">
        <f>(14/16)*25.4</f>
        <v>22.224999999999998</v>
      </c>
      <c r="I260" s="136"/>
      <c r="J260" s="137">
        <v>2.1032215999999999</v>
      </c>
      <c r="K260" s="137"/>
      <c r="L260" s="136"/>
      <c r="M260" s="34"/>
      <c r="P260"/>
      <c r="T260"/>
      <c r="X260"/>
    </row>
    <row r="261" spans="2:24" x14ac:dyDescent="0.2">
      <c r="B261" s="33"/>
      <c r="C261" s="4" t="s">
        <v>743</v>
      </c>
      <c r="D261" s="4" t="s">
        <v>855</v>
      </c>
      <c r="E261" s="4" t="s">
        <v>202</v>
      </c>
      <c r="F261" s="4" t="str">
        <f t="shared" ref="F261:F292" si="13">CONCATENATE(C261," + ",E261)</f>
        <v>Hilti HIT-HY 200-R + HAS HDG ⅞" x 10"</v>
      </c>
      <c r="G261" s="136">
        <f>(7/8)*25.4</f>
        <v>22.224999999999998</v>
      </c>
      <c r="H261" s="136">
        <f>(16/16)*25.4</f>
        <v>25.4</v>
      </c>
      <c r="I261" s="136"/>
      <c r="J261" s="137">
        <v>2.5225756000000001</v>
      </c>
      <c r="K261" s="137"/>
      <c r="L261" s="136"/>
      <c r="M261" s="34"/>
      <c r="P261"/>
      <c r="T261"/>
      <c r="X261"/>
    </row>
    <row r="262" spans="2:24" x14ac:dyDescent="0.2">
      <c r="B262" s="33"/>
      <c r="C262" s="4" t="s">
        <v>743</v>
      </c>
      <c r="D262" s="4" t="s">
        <v>855</v>
      </c>
      <c r="E262" s="4" t="s">
        <v>203</v>
      </c>
      <c r="F262" s="4" t="str">
        <f t="shared" si="13"/>
        <v>Hilti HIT-HY 200-R + HAS HDG ⅞" x 14"</v>
      </c>
      <c r="G262" s="136">
        <f>(7/8)*25.4</f>
        <v>22.224999999999998</v>
      </c>
      <c r="H262" s="136">
        <f>(16/16)*25.4</f>
        <v>25.4</v>
      </c>
      <c r="I262" s="136"/>
      <c r="J262" s="137">
        <v>2.5225756000000001</v>
      </c>
      <c r="K262" s="137"/>
      <c r="L262" s="136"/>
      <c r="M262" s="34"/>
      <c r="P262"/>
      <c r="T262"/>
      <c r="X262"/>
    </row>
    <row r="263" spans="2:24" x14ac:dyDescent="0.2">
      <c r="B263" s="33"/>
      <c r="C263" s="4" t="s">
        <v>743</v>
      </c>
      <c r="D263" s="4" t="s">
        <v>855</v>
      </c>
      <c r="E263" s="4" t="s">
        <v>204</v>
      </c>
      <c r="F263" s="4" t="str">
        <f t="shared" si="13"/>
        <v>Hilti HIT-HY 200-R + HAS HDG ⅞" x 19"</v>
      </c>
      <c r="G263" s="136">
        <f>(7/8)*25.4</f>
        <v>22.224999999999998</v>
      </c>
      <c r="H263" s="136">
        <f>(16/16)*25.4</f>
        <v>25.4</v>
      </c>
      <c r="I263" s="136"/>
      <c r="J263" s="137">
        <v>2.5225756000000001</v>
      </c>
      <c r="K263" s="137"/>
      <c r="L263" s="136"/>
      <c r="M263" s="34"/>
      <c r="P263"/>
      <c r="T263"/>
      <c r="X263"/>
    </row>
    <row r="264" spans="2:24" x14ac:dyDescent="0.2">
      <c r="B264" s="33"/>
      <c r="C264" s="4" t="s">
        <v>743</v>
      </c>
      <c r="D264" s="4" t="s">
        <v>855</v>
      </c>
      <c r="E264" s="4" t="s">
        <v>205</v>
      </c>
      <c r="F264" s="4" t="str">
        <f t="shared" si="13"/>
        <v>Hilti HIT-HY 200-R + HAS HDG 1" x 12"</v>
      </c>
      <c r="G264" s="136">
        <f>(8/8)*25.4</f>
        <v>25.4</v>
      </c>
      <c r="H264" s="136">
        <f>(18/16)*25.4</f>
        <v>28.574999999999999</v>
      </c>
      <c r="I264" s="136"/>
      <c r="J264" s="137">
        <v>3.0838647999999997</v>
      </c>
      <c r="K264" s="137"/>
      <c r="L264" s="136"/>
      <c r="M264" s="34"/>
      <c r="P264"/>
      <c r="T264"/>
      <c r="X264"/>
    </row>
    <row r="265" spans="2:24" x14ac:dyDescent="0.2">
      <c r="B265" s="33"/>
      <c r="C265" s="4" t="s">
        <v>743</v>
      </c>
      <c r="D265" s="4" t="s">
        <v>855</v>
      </c>
      <c r="E265" s="4" t="s">
        <v>206</v>
      </c>
      <c r="F265" s="4" t="str">
        <f t="shared" si="13"/>
        <v>Hilti HIT-HY 200-R + HAS HDG 1" x 16"</v>
      </c>
      <c r="G265" s="136">
        <f>(8/8)*25.4</f>
        <v>25.4</v>
      </c>
      <c r="H265" s="136">
        <f>(18/16)*25.4</f>
        <v>28.574999999999999</v>
      </c>
      <c r="I265" s="136"/>
      <c r="J265" s="137">
        <v>3.0838647999999997</v>
      </c>
      <c r="K265" s="137"/>
      <c r="L265" s="136"/>
      <c r="M265" s="34"/>
      <c r="P265"/>
      <c r="T265"/>
      <c r="X265"/>
    </row>
    <row r="266" spans="2:24" x14ac:dyDescent="0.2">
      <c r="B266" s="33"/>
      <c r="C266" s="4" t="s">
        <v>743</v>
      </c>
      <c r="D266" s="4" t="s">
        <v>855</v>
      </c>
      <c r="E266" s="4" t="s">
        <v>207</v>
      </c>
      <c r="F266" s="4" t="str">
        <f t="shared" si="13"/>
        <v>Hilti HIT-HY 200-R + HAS HDG 1" x 20"</v>
      </c>
      <c r="G266" s="136">
        <f>(8/8)*25.4</f>
        <v>25.4</v>
      </c>
      <c r="H266" s="136">
        <f>(18/16)*25.4</f>
        <v>28.574999999999999</v>
      </c>
      <c r="I266" s="136"/>
      <c r="J266" s="137">
        <v>3.0838647999999997</v>
      </c>
      <c r="K266" s="137"/>
      <c r="L266" s="136"/>
      <c r="M266" s="34"/>
      <c r="P266"/>
      <c r="T266"/>
      <c r="X266"/>
    </row>
    <row r="267" spans="2:24" x14ac:dyDescent="0.2">
      <c r="B267" s="33"/>
      <c r="C267" s="4" t="s">
        <v>743</v>
      </c>
      <c r="D267" s="4" t="s">
        <v>855</v>
      </c>
      <c r="E267" s="4" t="s">
        <v>208</v>
      </c>
      <c r="F267" s="4" t="str">
        <f t="shared" si="13"/>
        <v>Hilti HIT-HY 200-R + HAS HDG 1 ¼" x 16"</v>
      </c>
      <c r="G267" s="136">
        <f>(10/8)*25.4</f>
        <v>31.75</v>
      </c>
      <c r="H267" s="136">
        <f>(22/16)*25.4</f>
        <v>34.924999999999997</v>
      </c>
      <c r="I267" s="136"/>
      <c r="J267" s="137">
        <v>4.0387015999999996</v>
      </c>
      <c r="K267" s="137"/>
      <c r="L267" s="136"/>
      <c r="M267" s="34"/>
      <c r="P267"/>
      <c r="T267"/>
      <c r="X267"/>
    </row>
    <row r="268" spans="2:24" x14ac:dyDescent="0.2">
      <c r="B268" s="33"/>
      <c r="C268" s="4" t="s">
        <v>743</v>
      </c>
      <c r="D268" s="4" t="s">
        <v>855</v>
      </c>
      <c r="E268" s="4" t="s">
        <v>209</v>
      </c>
      <c r="F268" s="4" t="str">
        <f t="shared" si="13"/>
        <v>Hilti HIT-HY 200-R + HAS HDG 1 ¼" x 22"</v>
      </c>
      <c r="G268" s="136">
        <f>(10/8)*25.4</f>
        <v>31.75</v>
      </c>
      <c r="H268" s="136">
        <f>ROUND((22/16)*25.4,0)</f>
        <v>35</v>
      </c>
      <c r="I268" s="136"/>
      <c r="J268" s="137">
        <v>4.0387015999999996</v>
      </c>
      <c r="K268" s="137"/>
      <c r="L268" s="136"/>
      <c r="M268" s="34"/>
      <c r="P268"/>
      <c r="T268"/>
      <c r="X268"/>
    </row>
    <row r="269" spans="2:24" x14ac:dyDescent="0.2">
      <c r="B269" s="33"/>
      <c r="C269" s="4" t="s">
        <v>743</v>
      </c>
      <c r="D269" s="4" t="s">
        <v>855</v>
      </c>
      <c r="E269" s="4" t="s">
        <v>663</v>
      </c>
      <c r="F269" s="4" t="str">
        <f t="shared" si="13"/>
        <v xml:space="preserve">Hilti HIT-HY 200-R + HAS Super ½" x 6 ½" </v>
      </c>
      <c r="G269" s="136">
        <f>(4/8)*25.4</f>
        <v>12.7</v>
      </c>
      <c r="H269" s="136">
        <f>(9/16)*25.4</f>
        <v>14.2875</v>
      </c>
      <c r="I269" s="136"/>
      <c r="J269" s="137">
        <v>0.8580627999999999</v>
      </c>
      <c r="K269" s="137"/>
      <c r="L269" s="136"/>
      <c r="M269" s="34"/>
      <c r="P269"/>
      <c r="T269"/>
      <c r="X269"/>
    </row>
    <row r="270" spans="2:24" x14ac:dyDescent="0.2">
      <c r="B270" s="33"/>
      <c r="C270" s="4" t="s">
        <v>743</v>
      </c>
      <c r="D270" s="4" t="s">
        <v>855</v>
      </c>
      <c r="E270" s="4" t="s">
        <v>664</v>
      </c>
      <c r="F270" s="4" t="str">
        <f t="shared" si="13"/>
        <v>Hilti HIT-HY 200-R + HAS Super ½" x 8"</v>
      </c>
      <c r="G270" s="136">
        <f>(4/8)*25.4</f>
        <v>12.7</v>
      </c>
      <c r="H270" s="136">
        <f>(9/16)*25.4</f>
        <v>14.2875</v>
      </c>
      <c r="I270" s="136"/>
      <c r="J270" s="137">
        <v>0.8580627999999999</v>
      </c>
      <c r="K270" s="137"/>
      <c r="L270" s="136"/>
      <c r="M270" s="34"/>
      <c r="P270"/>
      <c r="T270"/>
      <c r="X270"/>
    </row>
    <row r="271" spans="2:24" x14ac:dyDescent="0.2">
      <c r="B271" s="33"/>
      <c r="C271" s="4" t="s">
        <v>743</v>
      </c>
      <c r="D271" s="4" t="s">
        <v>855</v>
      </c>
      <c r="E271" s="4" t="s">
        <v>665</v>
      </c>
      <c r="F271" s="4" t="str">
        <f t="shared" si="13"/>
        <v>Hilti HIT-HY 200-R + HAS Super ½" x 12"</v>
      </c>
      <c r="G271" s="136">
        <f>(4/8)*25.4</f>
        <v>12.7</v>
      </c>
      <c r="H271" s="136">
        <f>(9/16)*25.4</f>
        <v>14.2875</v>
      </c>
      <c r="I271" s="136"/>
      <c r="J271" s="137">
        <v>0.8580627999999999</v>
      </c>
      <c r="K271" s="137"/>
      <c r="L271" s="136"/>
      <c r="M271" s="34"/>
      <c r="P271"/>
      <c r="T271"/>
      <c r="X271"/>
    </row>
    <row r="272" spans="2:24" x14ac:dyDescent="0.2">
      <c r="B272" s="33"/>
      <c r="C272" s="4" t="s">
        <v>743</v>
      </c>
      <c r="D272" s="4" t="s">
        <v>855</v>
      </c>
      <c r="E272" s="4" t="s">
        <v>666</v>
      </c>
      <c r="F272" s="4" t="str">
        <f t="shared" si="13"/>
        <v>Hilti HIT-HY 200-R + HAS Super ⅝" x 8"</v>
      </c>
      <c r="G272" s="136">
        <f>(5/8)*25.4</f>
        <v>15.875</v>
      </c>
      <c r="H272" s="136">
        <f>(11/16)*25.4</f>
        <v>17.462499999999999</v>
      </c>
      <c r="I272" s="136"/>
      <c r="J272" s="137">
        <v>1.6838675999999997</v>
      </c>
      <c r="K272" s="137"/>
      <c r="L272" s="136"/>
      <c r="M272" s="34"/>
      <c r="P272"/>
      <c r="T272"/>
      <c r="X272"/>
    </row>
    <row r="273" spans="2:24" x14ac:dyDescent="0.2">
      <c r="B273" s="33"/>
      <c r="C273" s="4" t="s">
        <v>743</v>
      </c>
      <c r="D273" s="4" t="s">
        <v>855</v>
      </c>
      <c r="E273" s="4" t="s">
        <v>667</v>
      </c>
      <c r="F273" s="4" t="str">
        <f t="shared" si="13"/>
        <v>Hilti HIT-HY 200-R + HAS Super ⅝" x 9"</v>
      </c>
      <c r="G273" s="136">
        <f>(5/8)*25.4</f>
        <v>15.875</v>
      </c>
      <c r="H273" s="136">
        <f>(11/16)*25.4</f>
        <v>17.462499999999999</v>
      </c>
      <c r="I273" s="136"/>
      <c r="J273" s="137">
        <v>1.6838675999999997</v>
      </c>
      <c r="K273" s="137"/>
      <c r="L273" s="136"/>
      <c r="M273" s="34"/>
      <c r="P273"/>
      <c r="T273"/>
      <c r="X273"/>
    </row>
    <row r="274" spans="2:24" x14ac:dyDescent="0.2">
      <c r="B274" s="33"/>
      <c r="C274" s="4" t="s">
        <v>743</v>
      </c>
      <c r="D274" s="4" t="s">
        <v>855</v>
      </c>
      <c r="E274" s="4" t="s">
        <v>668</v>
      </c>
      <c r="F274" s="4" t="str">
        <f t="shared" si="13"/>
        <v>Hilti HIT-HY 200-R + HAS Super ⅝" x 12"</v>
      </c>
      <c r="G274" s="136">
        <f>(5/8)*25.4</f>
        <v>15.875</v>
      </c>
      <c r="H274" s="136">
        <f>(11/16)*25.4</f>
        <v>17.462499999999999</v>
      </c>
      <c r="I274" s="136"/>
      <c r="J274" s="137">
        <v>1.6838675999999997</v>
      </c>
      <c r="K274" s="137"/>
      <c r="L274" s="136"/>
      <c r="M274" s="34"/>
      <c r="P274"/>
      <c r="T274"/>
      <c r="X274"/>
    </row>
    <row r="275" spans="2:24" x14ac:dyDescent="0.2">
      <c r="B275" s="33"/>
      <c r="C275" s="4" t="s">
        <v>743</v>
      </c>
      <c r="D275" s="4" t="s">
        <v>855</v>
      </c>
      <c r="E275" s="4" t="s">
        <v>669</v>
      </c>
      <c r="F275" s="4" t="str">
        <f t="shared" si="13"/>
        <v>Hilti HIT-HY 200-R + HAS Super ¾" x 10"</v>
      </c>
      <c r="G275" s="136">
        <f>(6/8)*25.4</f>
        <v>19.049999999999997</v>
      </c>
      <c r="H275" s="136">
        <f>(14/16)*25.4</f>
        <v>22.224999999999998</v>
      </c>
      <c r="I275" s="136"/>
      <c r="J275" s="137">
        <v>2.1032215999999999</v>
      </c>
      <c r="K275" s="137"/>
      <c r="L275" s="136"/>
      <c r="M275" s="34"/>
      <c r="P275"/>
      <c r="T275"/>
      <c r="X275"/>
    </row>
    <row r="276" spans="2:24" x14ac:dyDescent="0.2">
      <c r="B276" s="33"/>
      <c r="C276" s="4" t="s">
        <v>743</v>
      </c>
      <c r="D276" s="4" t="s">
        <v>855</v>
      </c>
      <c r="E276" s="4" t="s">
        <v>670</v>
      </c>
      <c r="F276" s="4" t="str">
        <f t="shared" si="13"/>
        <v>Hilti HIT-HY 200-R + HAS Super ¾" x 14"</v>
      </c>
      <c r="G276" s="136">
        <f>(6/8)*25.4</f>
        <v>19.049999999999997</v>
      </c>
      <c r="H276" s="136">
        <f>(14/16)*25.4</f>
        <v>22.224999999999998</v>
      </c>
      <c r="I276" s="136"/>
      <c r="J276" s="137">
        <v>2.1032215999999999</v>
      </c>
      <c r="K276" s="137"/>
      <c r="L276" s="136"/>
      <c r="M276" s="34"/>
      <c r="P276"/>
      <c r="T276"/>
      <c r="X276"/>
    </row>
    <row r="277" spans="2:24" x14ac:dyDescent="0.2">
      <c r="B277" s="33"/>
      <c r="C277" s="4" t="s">
        <v>743</v>
      </c>
      <c r="D277" s="4" t="s">
        <v>855</v>
      </c>
      <c r="E277" s="4" t="s">
        <v>671</v>
      </c>
      <c r="F277" s="4" t="str">
        <f t="shared" si="13"/>
        <v>Hilti HIT-HY 200-R + HAS Super ¾" x 19"</v>
      </c>
      <c r="G277" s="136">
        <f>(6/8)*25.4</f>
        <v>19.049999999999997</v>
      </c>
      <c r="H277" s="136">
        <f>(14/16)*25.4</f>
        <v>22.224999999999998</v>
      </c>
      <c r="I277" s="136"/>
      <c r="J277" s="137">
        <v>2.1032215999999999</v>
      </c>
      <c r="K277" s="137"/>
      <c r="L277" s="136"/>
      <c r="M277" s="34"/>
      <c r="P277"/>
      <c r="T277"/>
      <c r="X277"/>
    </row>
    <row r="278" spans="2:24" x14ac:dyDescent="0.2">
      <c r="B278" s="33"/>
      <c r="C278" s="4" t="s">
        <v>743</v>
      </c>
      <c r="D278" s="4" t="s">
        <v>855</v>
      </c>
      <c r="E278" s="4" t="s">
        <v>672</v>
      </c>
      <c r="F278" s="4" t="str">
        <f t="shared" si="13"/>
        <v>Hilti HIT-HY 200-R + HAS Super ⅞" x 10"</v>
      </c>
      <c r="G278" s="136">
        <f>(7/8)*25.4</f>
        <v>22.224999999999998</v>
      </c>
      <c r="H278" s="136">
        <f>(16/16)*25.4</f>
        <v>25.4</v>
      </c>
      <c r="I278" s="136"/>
      <c r="J278" s="137">
        <v>2.5225756000000001</v>
      </c>
      <c r="K278" s="137"/>
      <c r="L278" s="136"/>
      <c r="M278" s="34"/>
      <c r="P278"/>
      <c r="T278"/>
      <c r="X278"/>
    </row>
    <row r="279" spans="2:24" x14ac:dyDescent="0.2">
      <c r="B279" s="33"/>
      <c r="C279" s="4" t="s">
        <v>743</v>
      </c>
      <c r="D279" s="4" t="s">
        <v>855</v>
      </c>
      <c r="E279" s="4" t="s">
        <v>673</v>
      </c>
      <c r="F279" s="4" t="str">
        <f t="shared" si="13"/>
        <v>Hilti HIT-HY 200-R + HAS Super ⅞" x 14"</v>
      </c>
      <c r="G279" s="136">
        <f>(7/8)*25.4</f>
        <v>22.224999999999998</v>
      </c>
      <c r="H279" s="136">
        <f>(16/16)*25.4</f>
        <v>25.4</v>
      </c>
      <c r="I279" s="136"/>
      <c r="J279" s="137">
        <v>2.5225756000000001</v>
      </c>
      <c r="K279" s="137"/>
      <c r="L279" s="136"/>
      <c r="M279" s="34"/>
      <c r="P279"/>
      <c r="T279"/>
      <c r="X279"/>
    </row>
    <row r="280" spans="2:24" x14ac:dyDescent="0.2">
      <c r="B280" s="33"/>
      <c r="C280" s="4" t="s">
        <v>743</v>
      </c>
      <c r="D280" s="4" t="s">
        <v>855</v>
      </c>
      <c r="E280" s="4" t="s">
        <v>674</v>
      </c>
      <c r="F280" s="4" t="str">
        <f t="shared" si="13"/>
        <v>Hilti HIT-HY 200-R + HAS Super ⅞" x 19"</v>
      </c>
      <c r="G280" s="136">
        <f>(7/8)*25.4</f>
        <v>22.224999999999998</v>
      </c>
      <c r="H280" s="136">
        <f>(16/16)*25.4</f>
        <v>25.4</v>
      </c>
      <c r="I280" s="136"/>
      <c r="J280" s="137">
        <v>2.5225756000000001</v>
      </c>
      <c r="K280" s="137"/>
      <c r="L280" s="136"/>
      <c r="M280" s="34"/>
      <c r="P280"/>
      <c r="T280"/>
      <c r="X280"/>
    </row>
    <row r="281" spans="2:24" x14ac:dyDescent="0.2">
      <c r="B281" s="33"/>
      <c r="C281" s="4" t="s">
        <v>743</v>
      </c>
      <c r="D281" s="4" t="s">
        <v>855</v>
      </c>
      <c r="E281" s="4" t="s">
        <v>675</v>
      </c>
      <c r="F281" s="4" t="str">
        <f t="shared" si="13"/>
        <v>Hilti HIT-HY 200-R + HAS Super 1" x 12"</v>
      </c>
      <c r="G281" s="136">
        <f>(8/8)*25.4</f>
        <v>25.4</v>
      </c>
      <c r="H281" s="136">
        <f>(18/16)*25.4</f>
        <v>28.574999999999999</v>
      </c>
      <c r="I281" s="136"/>
      <c r="J281" s="137">
        <v>3.0838647999999997</v>
      </c>
      <c r="K281" s="137"/>
      <c r="L281" s="136"/>
      <c r="M281" s="34"/>
      <c r="P281"/>
      <c r="T281"/>
      <c r="X281"/>
    </row>
    <row r="282" spans="2:24" x14ac:dyDescent="0.2">
      <c r="B282" s="33"/>
      <c r="C282" s="4" t="s">
        <v>743</v>
      </c>
      <c r="D282" s="4" t="s">
        <v>855</v>
      </c>
      <c r="E282" s="4" t="s">
        <v>676</v>
      </c>
      <c r="F282" s="4" t="str">
        <f t="shared" si="13"/>
        <v>Hilti HIT-HY 200-R + HAS Super 1" x 16"</v>
      </c>
      <c r="G282" s="136">
        <f>(8/8)*25.4</f>
        <v>25.4</v>
      </c>
      <c r="H282" s="136">
        <f>(18/16)*25.4</f>
        <v>28.574999999999999</v>
      </c>
      <c r="I282" s="136"/>
      <c r="J282" s="137">
        <v>3.0838647999999997</v>
      </c>
      <c r="K282" s="137"/>
      <c r="L282" s="136"/>
      <c r="M282" s="34"/>
      <c r="P282"/>
      <c r="T282"/>
      <c r="X282"/>
    </row>
    <row r="283" spans="2:24" x14ac:dyDescent="0.2">
      <c r="B283" s="33"/>
      <c r="C283" s="4" t="s">
        <v>743</v>
      </c>
      <c r="D283" s="4" t="s">
        <v>855</v>
      </c>
      <c r="E283" s="4" t="s">
        <v>677</v>
      </c>
      <c r="F283" s="4" t="str">
        <f t="shared" si="13"/>
        <v>Hilti HIT-HY 200-R + HAS Super 1" x 20"</v>
      </c>
      <c r="G283" s="136">
        <f>(8/8)*25.4</f>
        <v>25.4</v>
      </c>
      <c r="H283" s="136">
        <f>(18/16)*25.4</f>
        <v>28.574999999999999</v>
      </c>
      <c r="I283" s="136"/>
      <c r="J283" s="137">
        <v>3.0838647999999997</v>
      </c>
      <c r="K283" s="137"/>
      <c r="L283" s="136"/>
      <c r="M283" s="34"/>
      <c r="P283"/>
      <c r="T283"/>
      <c r="X283"/>
    </row>
    <row r="284" spans="2:24" x14ac:dyDescent="0.2">
      <c r="B284" s="33"/>
      <c r="C284" s="4" t="s">
        <v>743</v>
      </c>
      <c r="D284" s="4" t="s">
        <v>855</v>
      </c>
      <c r="E284" s="4" t="s">
        <v>678</v>
      </c>
      <c r="F284" s="4" t="str">
        <f t="shared" si="13"/>
        <v>Hilti HIT-HY 200-R + HAS Super 1 ¼" x 16"</v>
      </c>
      <c r="G284" s="136">
        <f>(10/8)*25.4</f>
        <v>31.75</v>
      </c>
      <c r="H284" s="136">
        <f>(22/16)*25.4</f>
        <v>34.924999999999997</v>
      </c>
      <c r="I284" s="136"/>
      <c r="J284" s="137">
        <v>4.0387015999999996</v>
      </c>
      <c r="K284" s="137"/>
      <c r="L284" s="136"/>
      <c r="M284" s="34"/>
      <c r="P284"/>
      <c r="T284"/>
      <c r="X284"/>
    </row>
    <row r="285" spans="2:24" x14ac:dyDescent="0.2">
      <c r="B285" s="33"/>
      <c r="C285" s="4" t="s">
        <v>743</v>
      </c>
      <c r="D285" s="4" t="s">
        <v>855</v>
      </c>
      <c r="E285" s="4" t="s">
        <v>679</v>
      </c>
      <c r="F285" s="4" t="str">
        <f t="shared" si="13"/>
        <v>Hilti HIT-HY 200-R + HAS Super 1 ¼" x 22"</v>
      </c>
      <c r="G285" s="136">
        <f>(10/8)*25.4</f>
        <v>31.75</v>
      </c>
      <c r="H285" s="136">
        <f>ROUND((22/16)*25.4,0)</f>
        <v>35</v>
      </c>
      <c r="I285" s="136"/>
      <c r="J285" s="137">
        <v>4.0387015999999996</v>
      </c>
      <c r="K285" s="137"/>
      <c r="L285" s="136"/>
      <c r="M285" s="34"/>
      <c r="P285"/>
      <c r="T285"/>
      <c r="X285"/>
    </row>
    <row r="286" spans="2:24" x14ac:dyDescent="0.2">
      <c r="B286" s="33"/>
      <c r="C286" s="4" t="s">
        <v>743</v>
      </c>
      <c r="D286" s="4" t="s">
        <v>855</v>
      </c>
      <c r="E286" s="4" t="s">
        <v>680</v>
      </c>
      <c r="F286" s="4" t="str">
        <f t="shared" si="13"/>
        <v>Hilti HIT-HY 200-R + HAS Super HDG ½" x 6 ½"</v>
      </c>
      <c r="G286" s="136">
        <f>(4/8)*25.4</f>
        <v>12.7</v>
      </c>
      <c r="H286" s="136">
        <f>(9/16)*25.4</f>
        <v>14.2875</v>
      </c>
      <c r="I286" s="136"/>
      <c r="J286" s="137">
        <v>0.8580627999999999</v>
      </c>
      <c r="K286" s="137"/>
      <c r="L286" s="136"/>
      <c r="M286" s="34"/>
      <c r="P286"/>
      <c r="T286"/>
      <c r="X286"/>
    </row>
    <row r="287" spans="2:24" x14ac:dyDescent="0.2">
      <c r="B287" s="33"/>
      <c r="C287" s="4" t="s">
        <v>743</v>
      </c>
      <c r="D287" s="4" t="s">
        <v>855</v>
      </c>
      <c r="E287" s="4" t="s">
        <v>681</v>
      </c>
      <c r="F287" s="4" t="str">
        <f t="shared" si="13"/>
        <v>Hilti HIT-HY 200-R + HAS Super HDG ½" x 8"</v>
      </c>
      <c r="G287" s="136">
        <f>(4/8)*25.4</f>
        <v>12.7</v>
      </c>
      <c r="H287" s="136">
        <f>(9/16)*25.4</f>
        <v>14.2875</v>
      </c>
      <c r="I287" s="136"/>
      <c r="J287" s="137">
        <v>0.8580627999999999</v>
      </c>
      <c r="K287" s="137"/>
      <c r="L287" s="136"/>
      <c r="M287" s="34"/>
      <c r="P287"/>
      <c r="T287"/>
      <c r="X287"/>
    </row>
    <row r="288" spans="2:24" x14ac:dyDescent="0.2">
      <c r="B288" s="33"/>
      <c r="C288" s="4" t="s">
        <v>743</v>
      </c>
      <c r="D288" s="4" t="s">
        <v>855</v>
      </c>
      <c r="E288" s="4" t="s">
        <v>682</v>
      </c>
      <c r="F288" s="4" t="str">
        <f t="shared" si="13"/>
        <v>Hilti HIT-HY 200-R + HAS Super HDG ½" x 12"</v>
      </c>
      <c r="G288" s="136">
        <f>(4/8)*25.4</f>
        <v>12.7</v>
      </c>
      <c r="H288" s="136">
        <f>(9/16)*25.4</f>
        <v>14.2875</v>
      </c>
      <c r="I288" s="136"/>
      <c r="J288" s="137">
        <v>0.8580627999999999</v>
      </c>
      <c r="K288" s="137"/>
      <c r="L288" s="136"/>
      <c r="M288" s="34"/>
      <c r="P288"/>
      <c r="T288"/>
      <c r="X288"/>
    </row>
    <row r="289" spans="2:24" x14ac:dyDescent="0.2">
      <c r="B289" s="33"/>
      <c r="C289" s="4" t="s">
        <v>743</v>
      </c>
      <c r="D289" s="4" t="s">
        <v>855</v>
      </c>
      <c r="E289" s="4" t="s">
        <v>683</v>
      </c>
      <c r="F289" s="4" t="str">
        <f t="shared" si="13"/>
        <v>Hilti HIT-HY 200-R + HAS Super HDG ⅝" x 8"</v>
      </c>
      <c r="G289" s="136">
        <f>(5/8)*25.4</f>
        <v>15.875</v>
      </c>
      <c r="H289" s="136">
        <f>(11/16)*25.4</f>
        <v>17.462499999999999</v>
      </c>
      <c r="I289" s="136"/>
      <c r="J289" s="137">
        <v>1.6838675999999997</v>
      </c>
      <c r="K289" s="137"/>
      <c r="L289" s="136"/>
      <c r="M289" s="34"/>
      <c r="P289"/>
      <c r="T289"/>
      <c r="X289"/>
    </row>
    <row r="290" spans="2:24" x14ac:dyDescent="0.2">
      <c r="B290" s="33"/>
      <c r="C290" s="4" t="s">
        <v>743</v>
      </c>
      <c r="D290" s="4" t="s">
        <v>855</v>
      </c>
      <c r="E290" s="4" t="s">
        <v>684</v>
      </c>
      <c r="F290" s="4" t="str">
        <f t="shared" si="13"/>
        <v>Hilti HIT-HY 200-R + HAS Super HDG ⅝" x 9"</v>
      </c>
      <c r="G290" s="136">
        <f>(5/8)*25.4</f>
        <v>15.875</v>
      </c>
      <c r="H290" s="136">
        <f>(11/16)*25.4</f>
        <v>17.462499999999999</v>
      </c>
      <c r="I290" s="136"/>
      <c r="J290" s="137">
        <v>1.6838675999999997</v>
      </c>
      <c r="K290" s="137"/>
      <c r="L290" s="136"/>
      <c r="M290" s="34"/>
      <c r="P290"/>
      <c r="T290"/>
      <c r="X290"/>
    </row>
    <row r="291" spans="2:24" x14ac:dyDescent="0.2">
      <c r="B291" s="33"/>
      <c r="C291" s="4" t="s">
        <v>743</v>
      </c>
      <c r="D291" s="4" t="s">
        <v>855</v>
      </c>
      <c r="E291" s="4" t="s">
        <v>685</v>
      </c>
      <c r="F291" s="4" t="str">
        <f t="shared" si="13"/>
        <v>Hilti HIT-HY 200-R + HAS Super HDG ⅝" x 12"</v>
      </c>
      <c r="G291" s="136">
        <f>(5/8)*25.4</f>
        <v>15.875</v>
      </c>
      <c r="H291" s="136">
        <f>(11/16)*25.4</f>
        <v>17.462499999999999</v>
      </c>
      <c r="I291" s="136"/>
      <c r="J291" s="137">
        <v>1.6838675999999997</v>
      </c>
      <c r="K291" s="137"/>
      <c r="L291" s="136"/>
      <c r="M291" s="34"/>
      <c r="P291"/>
      <c r="T291"/>
      <c r="X291"/>
    </row>
    <row r="292" spans="2:24" x14ac:dyDescent="0.2">
      <c r="B292" s="33"/>
      <c r="C292" s="4" t="s">
        <v>743</v>
      </c>
      <c r="D292" s="4" t="s">
        <v>855</v>
      </c>
      <c r="E292" s="4" t="s">
        <v>686</v>
      </c>
      <c r="F292" s="4" t="str">
        <f t="shared" si="13"/>
        <v>Hilti HIT-HY 200-R + HAS Super HDG ¾" x 10"</v>
      </c>
      <c r="G292" s="136">
        <f>(6/8)*25.4</f>
        <v>19.049999999999997</v>
      </c>
      <c r="H292" s="136">
        <f>(14/16)*25.4</f>
        <v>22.224999999999998</v>
      </c>
      <c r="I292" s="136"/>
      <c r="J292" s="137">
        <v>2.1032215999999999</v>
      </c>
      <c r="K292" s="137"/>
      <c r="L292" s="136"/>
      <c r="M292" s="34"/>
      <c r="P292"/>
      <c r="T292"/>
      <c r="X292"/>
    </row>
    <row r="293" spans="2:24" x14ac:dyDescent="0.2">
      <c r="B293" s="33"/>
      <c r="C293" s="4" t="s">
        <v>743</v>
      </c>
      <c r="D293" s="4" t="s">
        <v>855</v>
      </c>
      <c r="E293" s="4" t="s">
        <v>687</v>
      </c>
      <c r="F293" s="4" t="str">
        <f t="shared" ref="F293:F302" si="14">CONCATENATE(C293," + ",E293)</f>
        <v>Hilti HIT-HY 200-R + HAS Super HDG ¾" x 14"</v>
      </c>
      <c r="G293" s="136">
        <f>(6/8)*25.4</f>
        <v>19.049999999999997</v>
      </c>
      <c r="H293" s="136">
        <f>(14/16)*25.4</f>
        <v>22.224999999999998</v>
      </c>
      <c r="I293" s="136"/>
      <c r="J293" s="137">
        <v>2.1032215999999999</v>
      </c>
      <c r="K293" s="137"/>
      <c r="L293" s="136"/>
      <c r="M293" s="34"/>
      <c r="P293"/>
      <c r="T293"/>
      <c r="X293"/>
    </row>
    <row r="294" spans="2:24" x14ac:dyDescent="0.2">
      <c r="B294" s="33"/>
      <c r="C294" s="4" t="s">
        <v>743</v>
      </c>
      <c r="D294" s="4" t="s">
        <v>855</v>
      </c>
      <c r="E294" s="4" t="s">
        <v>688</v>
      </c>
      <c r="F294" s="4" t="str">
        <f t="shared" si="14"/>
        <v>Hilti HIT-HY 200-R + HAS Super HDG ¾" x 19"</v>
      </c>
      <c r="G294" s="136">
        <f>(6/8)*25.4</f>
        <v>19.049999999999997</v>
      </c>
      <c r="H294" s="136">
        <f>(14/16)*25.4</f>
        <v>22.224999999999998</v>
      </c>
      <c r="I294" s="136"/>
      <c r="J294" s="137">
        <v>2.1032215999999999</v>
      </c>
      <c r="K294" s="137"/>
      <c r="L294" s="136"/>
      <c r="M294" s="34"/>
      <c r="P294"/>
      <c r="T294"/>
      <c r="X294"/>
    </row>
    <row r="295" spans="2:24" x14ac:dyDescent="0.2">
      <c r="B295" s="33"/>
      <c r="C295" s="4" t="s">
        <v>743</v>
      </c>
      <c r="D295" s="4" t="s">
        <v>855</v>
      </c>
      <c r="E295" s="4" t="s">
        <v>689</v>
      </c>
      <c r="F295" s="4" t="str">
        <f t="shared" si="14"/>
        <v>Hilti HIT-HY 200-R + HAS Super HDG ⅞" x 10"</v>
      </c>
      <c r="G295" s="136">
        <f>(7/8)*25.4</f>
        <v>22.224999999999998</v>
      </c>
      <c r="H295" s="136">
        <f>(16/16)*25.4</f>
        <v>25.4</v>
      </c>
      <c r="I295" s="136"/>
      <c r="J295" s="137">
        <v>2.5225756000000001</v>
      </c>
      <c r="K295" s="137"/>
      <c r="L295" s="136"/>
      <c r="M295" s="34"/>
      <c r="P295"/>
      <c r="T295"/>
      <c r="X295"/>
    </row>
    <row r="296" spans="2:24" x14ac:dyDescent="0.2">
      <c r="B296" s="33"/>
      <c r="C296" s="4" t="s">
        <v>743</v>
      </c>
      <c r="D296" s="4" t="s">
        <v>855</v>
      </c>
      <c r="E296" s="4" t="s">
        <v>690</v>
      </c>
      <c r="F296" s="4" t="str">
        <f t="shared" si="14"/>
        <v>Hilti HIT-HY 200-R + HAS Super HDG ⅞" x 14"</v>
      </c>
      <c r="G296" s="136">
        <f>(7/8)*25.4</f>
        <v>22.224999999999998</v>
      </c>
      <c r="H296" s="136">
        <f>(16/16)*25.4</f>
        <v>25.4</v>
      </c>
      <c r="I296" s="136"/>
      <c r="J296" s="137">
        <v>2.5225756000000001</v>
      </c>
      <c r="K296" s="137"/>
      <c r="L296" s="136"/>
      <c r="M296" s="34"/>
      <c r="P296"/>
      <c r="T296"/>
      <c r="X296"/>
    </row>
    <row r="297" spans="2:24" x14ac:dyDescent="0.2">
      <c r="B297" s="33"/>
      <c r="C297" s="4" t="s">
        <v>743</v>
      </c>
      <c r="D297" s="4" t="s">
        <v>855</v>
      </c>
      <c r="E297" s="4" t="s">
        <v>691</v>
      </c>
      <c r="F297" s="4" t="str">
        <f t="shared" si="14"/>
        <v>Hilti HIT-HY 200-R + HAS Super HDG ⅞" x 19"</v>
      </c>
      <c r="G297" s="136">
        <f>(7/8)*25.4</f>
        <v>22.224999999999998</v>
      </c>
      <c r="H297" s="136">
        <f>(16/16)*25.4</f>
        <v>25.4</v>
      </c>
      <c r="I297" s="136"/>
      <c r="J297" s="137">
        <v>2.5225756000000001</v>
      </c>
      <c r="K297" s="137"/>
      <c r="L297" s="136"/>
      <c r="M297" s="34"/>
      <c r="P297"/>
      <c r="T297"/>
      <c r="X297"/>
    </row>
    <row r="298" spans="2:24" x14ac:dyDescent="0.2">
      <c r="B298" s="33"/>
      <c r="C298" s="4" t="s">
        <v>743</v>
      </c>
      <c r="D298" s="4" t="s">
        <v>855</v>
      </c>
      <c r="E298" s="4" t="s">
        <v>692</v>
      </c>
      <c r="F298" s="4" t="str">
        <f t="shared" si="14"/>
        <v>Hilti HIT-HY 200-R + HAS Super HDG 1" x 12"</v>
      </c>
      <c r="G298" s="136">
        <f>(8/8)*25.4</f>
        <v>25.4</v>
      </c>
      <c r="H298" s="136">
        <f>(18/16)*25.4</f>
        <v>28.574999999999999</v>
      </c>
      <c r="I298" s="136"/>
      <c r="J298" s="137">
        <v>3.0838647999999997</v>
      </c>
      <c r="K298" s="137"/>
      <c r="L298" s="136"/>
      <c r="M298" s="34"/>
      <c r="P298"/>
      <c r="T298"/>
      <c r="X298"/>
    </row>
    <row r="299" spans="2:24" x14ac:dyDescent="0.2">
      <c r="B299" s="33"/>
      <c r="C299" s="4" t="s">
        <v>743</v>
      </c>
      <c r="D299" s="4" t="s">
        <v>855</v>
      </c>
      <c r="E299" s="4" t="s">
        <v>693</v>
      </c>
      <c r="F299" s="4" t="str">
        <f t="shared" si="14"/>
        <v>Hilti HIT-HY 200-R + HAS Super HDG 1" x 16"</v>
      </c>
      <c r="G299" s="136">
        <f>(8/8)*25.4</f>
        <v>25.4</v>
      </c>
      <c r="H299" s="136">
        <f>(18/16)*25.4</f>
        <v>28.574999999999999</v>
      </c>
      <c r="I299" s="136"/>
      <c r="J299" s="137">
        <v>3.0838647999999997</v>
      </c>
      <c r="K299" s="137"/>
      <c r="L299" s="136"/>
      <c r="M299" s="34"/>
      <c r="P299"/>
      <c r="T299"/>
      <c r="X299"/>
    </row>
    <row r="300" spans="2:24" x14ac:dyDescent="0.2">
      <c r="B300" s="33"/>
      <c r="C300" s="4" t="s">
        <v>743</v>
      </c>
      <c r="D300" s="4" t="s">
        <v>855</v>
      </c>
      <c r="E300" s="4" t="s">
        <v>694</v>
      </c>
      <c r="F300" s="4" t="str">
        <f t="shared" si="14"/>
        <v>Hilti HIT-HY 200-R + HAS Super HDG 1" x 20"</v>
      </c>
      <c r="G300" s="136">
        <f>(8/8)*25.4</f>
        <v>25.4</v>
      </c>
      <c r="H300" s="136">
        <f>(18/16)*25.4</f>
        <v>28.574999999999999</v>
      </c>
      <c r="I300" s="136"/>
      <c r="J300" s="137">
        <v>3.0838647999999997</v>
      </c>
      <c r="K300" s="137"/>
      <c r="L300" s="136"/>
      <c r="M300" s="34"/>
      <c r="P300"/>
      <c r="T300"/>
      <c r="X300"/>
    </row>
    <row r="301" spans="2:24" x14ac:dyDescent="0.2">
      <c r="B301" s="33"/>
      <c r="C301" s="4" t="s">
        <v>743</v>
      </c>
      <c r="D301" s="4" t="s">
        <v>855</v>
      </c>
      <c r="E301" s="4" t="s">
        <v>695</v>
      </c>
      <c r="F301" s="4" t="str">
        <f t="shared" si="14"/>
        <v>Hilti HIT-HY 200-R + HAS Super HDG 1 ¼" x 16"</v>
      </c>
      <c r="G301" s="136">
        <f>(10/8)*25.4</f>
        <v>31.75</v>
      </c>
      <c r="H301" s="136">
        <f>(22/16)*25.4</f>
        <v>34.924999999999997</v>
      </c>
      <c r="I301" s="136"/>
      <c r="J301" s="137">
        <v>4.0387015999999996</v>
      </c>
      <c r="K301" s="137"/>
      <c r="L301" s="136"/>
      <c r="M301" s="34"/>
      <c r="P301"/>
      <c r="T301"/>
      <c r="X301"/>
    </row>
    <row r="302" spans="2:24" x14ac:dyDescent="0.2">
      <c r="B302" s="33"/>
      <c r="C302" s="4" t="s">
        <v>743</v>
      </c>
      <c r="D302" s="4" t="s">
        <v>855</v>
      </c>
      <c r="E302" s="4" t="s">
        <v>696</v>
      </c>
      <c r="F302" s="4" t="str">
        <f t="shared" si="14"/>
        <v>Hilti HIT-HY 200-R + HAS Super HDG 1 ¼" x 22"</v>
      </c>
      <c r="G302" s="136">
        <f>(10/8)*25.4</f>
        <v>31.75</v>
      </c>
      <c r="H302" s="136">
        <f>ROUND((22/16)*25.4,0)</f>
        <v>35</v>
      </c>
      <c r="I302" s="136"/>
      <c r="J302" s="137">
        <v>4.0387015999999996</v>
      </c>
      <c r="K302" s="137"/>
      <c r="L302" s="136"/>
      <c r="M302" s="34"/>
      <c r="P302"/>
      <c r="T302"/>
      <c r="X302"/>
    </row>
    <row r="303" spans="2:24" x14ac:dyDescent="0.2">
      <c r="B303" s="33"/>
      <c r="C303" s="4" t="s">
        <v>743</v>
      </c>
      <c r="D303" s="4"/>
      <c r="E303" s="39" t="s">
        <v>261</v>
      </c>
      <c r="F303" s="4" t="str">
        <f>E303</f>
        <v>--------------------</v>
      </c>
      <c r="G303" s="136"/>
      <c r="H303" s="136"/>
      <c r="I303" s="136"/>
      <c r="J303" s="137"/>
      <c r="K303" s="137"/>
      <c r="L303" s="136"/>
      <c r="M303" s="34"/>
      <c r="P303"/>
      <c r="T303"/>
      <c r="X303"/>
    </row>
    <row r="304" spans="2:24" x14ac:dyDescent="0.2">
      <c r="B304" s="33"/>
      <c r="C304" s="4" t="s">
        <v>743</v>
      </c>
      <c r="D304" s="4" t="s">
        <v>856</v>
      </c>
      <c r="E304" s="4" t="s">
        <v>236</v>
      </c>
      <c r="F304" s="4" t="str">
        <f t="shared" ref="F304:F311" si="15">CONCATENATE(C304," + ",E304)</f>
        <v>Hilti HIT-HY 200-R + HIS ⅜"</v>
      </c>
      <c r="G304" s="136">
        <f>(3/8)*25.4</f>
        <v>9.5249999999999986</v>
      </c>
      <c r="H304" s="136">
        <f>(11/16)*25.4</f>
        <v>17.462499999999999</v>
      </c>
      <c r="I304" s="136"/>
      <c r="J304" s="137" t="s">
        <v>2</v>
      </c>
      <c r="K304" s="137"/>
      <c r="L304" s="136"/>
      <c r="M304" s="34"/>
      <c r="P304"/>
      <c r="T304"/>
      <c r="X304"/>
    </row>
    <row r="305" spans="2:24" x14ac:dyDescent="0.2">
      <c r="B305" s="33"/>
      <c r="C305" s="4" t="s">
        <v>743</v>
      </c>
      <c r="D305" s="4" t="s">
        <v>856</v>
      </c>
      <c r="E305" s="4" t="s">
        <v>233</v>
      </c>
      <c r="F305" s="4" t="str">
        <f t="shared" si="15"/>
        <v>Hilti HIT-HY 200-R + HIS ½"</v>
      </c>
      <c r="G305" s="136">
        <f>(4/8)*25.4</f>
        <v>12.7</v>
      </c>
      <c r="H305" s="136">
        <f>(14/16)*25.4</f>
        <v>22.224999999999998</v>
      </c>
      <c r="I305" s="136"/>
      <c r="J305" s="137" t="s">
        <v>2</v>
      </c>
      <c r="K305" s="137"/>
      <c r="L305" s="136"/>
      <c r="M305" s="34"/>
      <c r="P305"/>
      <c r="T305"/>
      <c r="X305"/>
    </row>
    <row r="306" spans="2:24" x14ac:dyDescent="0.2">
      <c r="B306" s="33"/>
      <c r="C306" s="4" t="s">
        <v>743</v>
      </c>
      <c r="D306" s="4" t="s">
        <v>856</v>
      </c>
      <c r="E306" s="4" t="s">
        <v>238</v>
      </c>
      <c r="F306" s="4" t="str">
        <f t="shared" si="15"/>
        <v>Hilti HIT-HY 200-R + HIS ⅝"</v>
      </c>
      <c r="G306" s="136">
        <f>(5/8)*25.4</f>
        <v>15.875</v>
      </c>
      <c r="H306" s="136">
        <f>(18/16)*25.4</f>
        <v>28.574999999999999</v>
      </c>
      <c r="I306" s="136"/>
      <c r="J306" s="137" t="s">
        <v>2</v>
      </c>
      <c r="K306" s="137"/>
      <c r="L306" s="136"/>
      <c r="M306" s="34"/>
      <c r="P306"/>
      <c r="T306"/>
      <c r="X306"/>
    </row>
    <row r="307" spans="2:24" x14ac:dyDescent="0.2">
      <c r="B307" s="33"/>
      <c r="C307" s="4" t="s">
        <v>743</v>
      </c>
      <c r="D307" s="4" t="s">
        <v>856</v>
      </c>
      <c r="E307" s="4" t="s">
        <v>239</v>
      </c>
      <c r="F307" s="4" t="str">
        <f t="shared" si="15"/>
        <v>Hilti HIT-HY 200-R + HIS ¾"</v>
      </c>
      <c r="G307" s="136">
        <f>(6/8)*25.4</f>
        <v>19.049999999999997</v>
      </c>
      <c r="H307" s="136">
        <f>(20/16)*25.4</f>
        <v>31.75</v>
      </c>
      <c r="I307" s="136"/>
      <c r="J307" s="137" t="s">
        <v>2</v>
      </c>
      <c r="K307" s="137"/>
      <c r="L307" s="136"/>
      <c r="M307" s="34"/>
      <c r="P307"/>
      <c r="T307"/>
      <c r="X307"/>
    </row>
    <row r="308" spans="2:24" x14ac:dyDescent="0.2">
      <c r="B308" s="33"/>
      <c r="C308" s="4" t="s">
        <v>743</v>
      </c>
      <c r="D308" s="4" t="s">
        <v>856</v>
      </c>
      <c r="E308" s="4" t="s">
        <v>235</v>
      </c>
      <c r="F308" s="4" t="str">
        <f t="shared" si="15"/>
        <v>Hilti HIT-HY 200-R + HIS-R ⅜" (316SS)</v>
      </c>
      <c r="G308" s="136">
        <f>(3/8)*25.4</f>
        <v>9.5249999999999986</v>
      </c>
      <c r="H308" s="136">
        <f>(11/16)*25.4</f>
        <v>17.462499999999999</v>
      </c>
      <c r="I308" s="136"/>
      <c r="J308" s="137" t="s">
        <v>2</v>
      </c>
      <c r="K308" s="137"/>
      <c r="L308" s="136"/>
      <c r="M308" s="34"/>
      <c r="P308"/>
      <c r="T308"/>
      <c r="X308"/>
    </row>
    <row r="309" spans="2:24" x14ac:dyDescent="0.2">
      <c r="B309" s="33"/>
      <c r="C309" s="4" t="s">
        <v>743</v>
      </c>
      <c r="D309" s="4" t="s">
        <v>856</v>
      </c>
      <c r="E309" s="4" t="s">
        <v>234</v>
      </c>
      <c r="F309" s="4" t="str">
        <f t="shared" si="15"/>
        <v>Hilti HIT-HY 200-R + HIS-R ½" (316SS)</v>
      </c>
      <c r="G309" s="136">
        <f>(4/8)*25.4</f>
        <v>12.7</v>
      </c>
      <c r="H309" s="136">
        <f>(14/16)*25.4</f>
        <v>22.224999999999998</v>
      </c>
      <c r="I309" s="136"/>
      <c r="J309" s="137" t="s">
        <v>2</v>
      </c>
      <c r="K309" s="137"/>
      <c r="L309" s="136"/>
      <c r="M309" s="34"/>
      <c r="P309"/>
      <c r="T309"/>
      <c r="X309"/>
    </row>
    <row r="310" spans="2:24" x14ac:dyDescent="0.2">
      <c r="B310" s="33"/>
      <c r="C310" s="4" t="s">
        <v>743</v>
      </c>
      <c r="D310" s="4" t="s">
        <v>856</v>
      </c>
      <c r="E310" s="4" t="s">
        <v>237</v>
      </c>
      <c r="F310" s="4" t="str">
        <f t="shared" si="15"/>
        <v>Hilti HIT-HY 200-R + HIS-R ⅝" (316SS)</v>
      </c>
      <c r="G310" s="136">
        <f>(5/8)*25.4</f>
        <v>15.875</v>
      </c>
      <c r="H310" s="136">
        <f>(18/16)*25.4</f>
        <v>28.574999999999999</v>
      </c>
      <c r="I310" s="136"/>
      <c r="J310" s="137" t="s">
        <v>2</v>
      </c>
      <c r="K310" s="137"/>
      <c r="L310" s="136"/>
      <c r="M310" s="34"/>
      <c r="P310"/>
      <c r="T310"/>
      <c r="X310"/>
    </row>
    <row r="311" spans="2:24" x14ac:dyDescent="0.2">
      <c r="B311" s="33"/>
      <c r="C311" s="4" t="s">
        <v>743</v>
      </c>
      <c r="D311" s="4" t="s">
        <v>856</v>
      </c>
      <c r="E311" s="4" t="s">
        <v>240</v>
      </c>
      <c r="F311" s="4" t="str">
        <f t="shared" si="15"/>
        <v>Hilti HIT-HY 200-R + HIS-R ¾" (316SS)</v>
      </c>
      <c r="G311" s="136">
        <f>(6/8)*25.4</f>
        <v>19.049999999999997</v>
      </c>
      <c r="H311" s="136">
        <f>(20/16)*25.4</f>
        <v>31.75</v>
      </c>
      <c r="I311" s="136"/>
      <c r="J311" s="137" t="s">
        <v>2</v>
      </c>
      <c r="K311" s="137"/>
      <c r="L311" s="136"/>
      <c r="M311" s="34"/>
      <c r="P311"/>
      <c r="T311"/>
      <c r="X311"/>
    </row>
    <row r="312" spans="2:24" x14ac:dyDescent="0.2">
      <c r="B312" s="33"/>
      <c r="C312" s="4" t="s">
        <v>743</v>
      </c>
      <c r="D312" s="4"/>
      <c r="E312" s="39" t="s">
        <v>261</v>
      </c>
      <c r="F312" s="4" t="str">
        <f>E312</f>
        <v>--------------------</v>
      </c>
      <c r="G312" s="136"/>
      <c r="H312" s="136"/>
      <c r="I312" s="136"/>
      <c r="J312" s="137"/>
      <c r="K312" s="137"/>
      <c r="L312" s="136"/>
      <c r="M312" s="34"/>
      <c r="P312"/>
      <c r="T312"/>
      <c r="X312"/>
    </row>
    <row r="313" spans="2:24" x14ac:dyDescent="0.2">
      <c r="B313" s="33"/>
      <c r="C313" s="4" t="s">
        <v>743</v>
      </c>
      <c r="D313" s="4" t="s">
        <v>857</v>
      </c>
      <c r="E313" s="4" t="s">
        <v>733</v>
      </c>
      <c r="F313" s="4" t="str">
        <f t="shared" ref="F313:F321" si="16">CONCATENATE(C313," + ",E313)</f>
        <v>Hilti HIT-HY 200-R + Rebar #2</v>
      </c>
      <c r="G313" s="136">
        <f>(2/8)*25.4</f>
        <v>6.35</v>
      </c>
      <c r="H313" s="136">
        <f>(6/16)*25.4</f>
        <v>9.5249999999999986</v>
      </c>
      <c r="I313" s="136"/>
      <c r="J313" s="137">
        <v>0.51749999999999996</v>
      </c>
      <c r="K313" s="137"/>
      <c r="L313" s="136"/>
      <c r="M313" s="34"/>
      <c r="P313"/>
      <c r="T313"/>
      <c r="X313"/>
    </row>
    <row r="314" spans="2:24" x14ac:dyDescent="0.2">
      <c r="B314" s="33"/>
      <c r="C314" s="4" t="s">
        <v>743</v>
      </c>
      <c r="D314" s="4" t="s">
        <v>857</v>
      </c>
      <c r="E314" s="4" t="s">
        <v>262</v>
      </c>
      <c r="F314" s="4" t="str">
        <f t="shared" si="16"/>
        <v>Hilti HIT-HY 200-R + Rebar #3</v>
      </c>
      <c r="G314" s="136">
        <f>(3/8)*25.4</f>
        <v>9.5249999999999986</v>
      </c>
      <c r="H314" s="136">
        <f>(8/16)*25.4</f>
        <v>12.7</v>
      </c>
      <c r="I314" s="136"/>
      <c r="J314" s="137">
        <v>0.70967599999999997</v>
      </c>
      <c r="K314" s="137"/>
      <c r="L314" s="136"/>
      <c r="M314" s="34"/>
      <c r="P314"/>
      <c r="T314"/>
      <c r="X314"/>
    </row>
    <row r="315" spans="2:24" x14ac:dyDescent="0.2">
      <c r="B315" s="33"/>
      <c r="C315" s="4" t="s">
        <v>743</v>
      </c>
      <c r="D315" s="4" t="s">
        <v>857</v>
      </c>
      <c r="E315" s="4" t="s">
        <v>263</v>
      </c>
      <c r="F315" s="4" t="str">
        <f t="shared" si="16"/>
        <v>Hilti HIT-HY 200-R + Rebar #4</v>
      </c>
      <c r="G315" s="136">
        <f>(4/8)*25.4</f>
        <v>12.7</v>
      </c>
      <c r="H315" s="136">
        <f>(10/16)*25.4</f>
        <v>15.875</v>
      </c>
      <c r="I315" s="136"/>
      <c r="J315" s="137">
        <v>0.94193359999999993</v>
      </c>
      <c r="K315" s="137"/>
      <c r="L315" s="136"/>
      <c r="M315" s="34"/>
      <c r="P315"/>
      <c r="T315"/>
      <c r="X315"/>
    </row>
    <row r="316" spans="2:24" x14ac:dyDescent="0.2">
      <c r="B316" s="33"/>
      <c r="C316" s="4" t="s">
        <v>743</v>
      </c>
      <c r="D316" s="4" t="s">
        <v>857</v>
      </c>
      <c r="E316" s="4" t="s">
        <v>264</v>
      </c>
      <c r="F316" s="4" t="str">
        <f t="shared" si="16"/>
        <v>Hilti HIT-HY 200-R + Rebar #5</v>
      </c>
      <c r="G316" s="136">
        <f>(5/8)*25.4</f>
        <v>15.875</v>
      </c>
      <c r="H316" s="136">
        <f>(12/16)*25.4</f>
        <v>19.049999999999997</v>
      </c>
      <c r="I316" s="136"/>
      <c r="J316" s="137">
        <v>1.1354815999999996</v>
      </c>
      <c r="K316" s="137"/>
      <c r="L316" s="136"/>
      <c r="M316" s="34"/>
      <c r="P316"/>
      <c r="T316"/>
      <c r="X316"/>
    </row>
    <row r="317" spans="2:24" x14ac:dyDescent="0.2">
      <c r="B317" s="33"/>
      <c r="C317" s="4" t="s">
        <v>743</v>
      </c>
      <c r="D317" s="4" t="s">
        <v>857</v>
      </c>
      <c r="E317" s="4" t="s">
        <v>265</v>
      </c>
      <c r="F317" s="4" t="str">
        <f t="shared" si="16"/>
        <v>Hilti HIT-HY 200-R + Rebar #6</v>
      </c>
      <c r="G317" s="136">
        <f>(6/8)*25.4</f>
        <v>19.049999999999997</v>
      </c>
      <c r="H317" s="136">
        <f>(14/16)*25.4</f>
        <v>22.224999999999998</v>
      </c>
      <c r="I317" s="136"/>
      <c r="J317" s="137">
        <v>1.4064487999999999</v>
      </c>
      <c r="K317" s="137"/>
      <c r="L317" s="136"/>
      <c r="M317" s="34"/>
      <c r="P317"/>
      <c r="T317"/>
      <c r="X317"/>
    </row>
    <row r="318" spans="2:24" x14ac:dyDescent="0.2">
      <c r="B318" s="33"/>
      <c r="C318" s="4" t="s">
        <v>743</v>
      </c>
      <c r="D318" s="4" t="s">
        <v>857</v>
      </c>
      <c r="E318" s="4" t="s">
        <v>266</v>
      </c>
      <c r="F318" s="4" t="str">
        <f t="shared" si="16"/>
        <v>Hilti HIT-HY 200-R + Rebar #7</v>
      </c>
      <c r="G318" s="136">
        <f>(7/8)*25.4</f>
        <v>22.224999999999998</v>
      </c>
      <c r="H318" s="136">
        <f>(16/16)*25.4</f>
        <v>25.4</v>
      </c>
      <c r="I318" s="136"/>
      <c r="J318" s="137">
        <v>1.6258031999999998</v>
      </c>
      <c r="K318" s="137"/>
      <c r="L318" s="136"/>
      <c r="M318" s="34"/>
      <c r="P318"/>
      <c r="T318"/>
      <c r="X318"/>
    </row>
    <row r="319" spans="2:24" x14ac:dyDescent="0.2">
      <c r="B319" s="33"/>
      <c r="C319" s="4" t="s">
        <v>743</v>
      </c>
      <c r="D319" s="4" t="s">
        <v>857</v>
      </c>
      <c r="E319" s="4" t="s">
        <v>267</v>
      </c>
      <c r="F319" s="4" t="str">
        <f t="shared" si="16"/>
        <v>Hilti HIT-HY 200-R + Rebar #8</v>
      </c>
      <c r="G319" s="136">
        <f>(8/8)*25.4</f>
        <v>25.4</v>
      </c>
      <c r="H319" s="136">
        <f>(18/16)*25.4</f>
        <v>28.574999999999999</v>
      </c>
      <c r="I319" s="136"/>
      <c r="J319" s="137">
        <v>3.4193479999999998</v>
      </c>
      <c r="K319" s="137"/>
      <c r="L319" s="136"/>
      <c r="M319" s="34"/>
      <c r="P319"/>
      <c r="T319"/>
      <c r="X319"/>
    </row>
    <row r="320" spans="2:24" x14ac:dyDescent="0.2">
      <c r="B320" s="33"/>
      <c r="C320" s="4" t="s">
        <v>743</v>
      </c>
      <c r="D320" s="4" t="s">
        <v>857</v>
      </c>
      <c r="E320" s="4" t="s">
        <v>269</v>
      </c>
      <c r="F320" s="4" t="str">
        <f t="shared" si="16"/>
        <v>Hilti HIT-HY 200-R + Rebar #9</v>
      </c>
      <c r="G320" s="136">
        <f>(9/8)*25.4</f>
        <v>28.574999999999999</v>
      </c>
      <c r="H320" s="136">
        <f>(20/16)*25.4</f>
        <v>31.75</v>
      </c>
      <c r="I320" s="136"/>
      <c r="J320" s="137">
        <v>3.8774115999999998</v>
      </c>
      <c r="K320" s="137"/>
      <c r="L320" s="136"/>
      <c r="M320" s="34"/>
      <c r="P320"/>
      <c r="T320"/>
      <c r="X320"/>
    </row>
    <row r="321" spans="2:24" x14ac:dyDescent="0.2">
      <c r="B321" s="33"/>
      <c r="C321" s="4" t="s">
        <v>743</v>
      </c>
      <c r="D321" s="4" t="s">
        <v>857</v>
      </c>
      <c r="E321" s="4" t="s">
        <v>268</v>
      </c>
      <c r="F321" s="4" t="str">
        <f t="shared" si="16"/>
        <v>Hilti HIT-HY 200-R + Rebar #10</v>
      </c>
      <c r="G321" s="136">
        <f>(10/8)*25.4</f>
        <v>31.75</v>
      </c>
      <c r="H321" s="136">
        <f>(22/16)*25.4</f>
        <v>34.924999999999997</v>
      </c>
      <c r="I321" s="136"/>
      <c r="J321" s="137">
        <v>4.2516043999999997</v>
      </c>
      <c r="K321" s="137"/>
      <c r="L321" s="136"/>
      <c r="M321" s="34"/>
      <c r="P321"/>
      <c r="T321"/>
      <c r="X321"/>
    </row>
    <row r="322" spans="2:24" x14ac:dyDescent="0.2">
      <c r="B322" s="33"/>
      <c r="C322" s="4"/>
      <c r="D322" s="4"/>
      <c r="E322" s="39" t="s">
        <v>261</v>
      </c>
      <c r="F322" s="4" t="str">
        <f>E322</f>
        <v>--------------------</v>
      </c>
      <c r="G322" s="136"/>
      <c r="H322" s="136"/>
      <c r="I322" s="136"/>
      <c r="J322" s="137"/>
      <c r="K322" s="137"/>
      <c r="L322" s="136"/>
      <c r="M322" s="34"/>
      <c r="P322"/>
      <c r="T322"/>
      <c r="X322"/>
    </row>
    <row r="323" spans="2:24" x14ac:dyDescent="0.2">
      <c r="B323" s="33"/>
      <c r="C323" s="4" t="s">
        <v>744</v>
      </c>
      <c r="D323" s="4" t="s">
        <v>858</v>
      </c>
      <c r="E323" s="4" t="s">
        <v>813</v>
      </c>
      <c r="F323" s="4" t="str">
        <f>E323</f>
        <v>HIT-MM Plus  (500ml)</v>
      </c>
      <c r="G323" s="136">
        <f>ROUND((3/8)*25.4,0)</f>
        <v>10</v>
      </c>
      <c r="H323" s="136">
        <f>ROUND((6/16)*25.4,0)</f>
        <v>10</v>
      </c>
      <c r="I323" s="136">
        <v>440</v>
      </c>
      <c r="J323" s="137"/>
      <c r="K323" s="137"/>
      <c r="L323" s="136"/>
      <c r="M323" s="34"/>
      <c r="P323"/>
      <c r="T323"/>
      <c r="X323"/>
    </row>
    <row r="324" spans="2:24" x14ac:dyDescent="0.2">
      <c r="B324" s="33"/>
      <c r="C324" s="4" t="s">
        <v>744</v>
      </c>
      <c r="D324" s="4"/>
      <c r="E324" s="39" t="s">
        <v>261</v>
      </c>
      <c r="F324" s="4" t="str">
        <f>E324</f>
        <v>--------------------</v>
      </c>
      <c r="G324" s="136"/>
      <c r="H324" s="136"/>
      <c r="I324" s="136"/>
      <c r="J324" s="137"/>
      <c r="K324" s="137"/>
      <c r="L324" s="136"/>
      <c r="M324" s="34"/>
      <c r="P324"/>
      <c r="T324"/>
      <c r="X324"/>
    </row>
    <row r="325" spans="2:24" x14ac:dyDescent="0.2">
      <c r="B325" s="33"/>
      <c r="C325" s="4" t="s">
        <v>744</v>
      </c>
      <c r="D325" s="4" t="s">
        <v>855</v>
      </c>
      <c r="E325" s="4" t="s">
        <v>170</v>
      </c>
      <c r="F325" s="4" t="str">
        <f>CONCATENATE(C325," + ",E325)</f>
        <v>Hilti HIT-MM Plus + HAS ⅜" x 5 ⅛"</v>
      </c>
      <c r="G325" s="136">
        <f>(3/8)*25.4</f>
        <v>9.5249999999999986</v>
      </c>
      <c r="H325" s="136">
        <f>(7/16)*25.4</f>
        <v>11.112499999999999</v>
      </c>
      <c r="I325" s="136"/>
      <c r="J325" s="137">
        <v>0.61290199999999995</v>
      </c>
      <c r="K325" s="137"/>
      <c r="L325" s="136"/>
      <c r="M325" s="34"/>
      <c r="P325"/>
      <c r="T325"/>
      <c r="X325"/>
    </row>
    <row r="326" spans="2:24" x14ac:dyDescent="0.2">
      <c r="B326" s="33"/>
      <c r="C326" s="4" t="s">
        <v>744</v>
      </c>
      <c r="D326" s="4" t="s">
        <v>855</v>
      </c>
      <c r="E326" s="4" t="s">
        <v>171</v>
      </c>
      <c r="F326" s="4" t="str">
        <f>CONCATENATE(C326," + ",E326)</f>
        <v>Hilti HIT-MM Plus + HAS ⅜" x 8"</v>
      </c>
      <c r="G326" s="136">
        <f>(3/8)*25.4</f>
        <v>9.5249999999999986</v>
      </c>
      <c r="H326" s="136">
        <f>(7/16)*25.4</f>
        <v>11.112499999999999</v>
      </c>
      <c r="I326" s="136"/>
      <c r="J326" s="137">
        <v>0.61290199999999995</v>
      </c>
      <c r="K326" s="137"/>
      <c r="L326" s="136"/>
      <c r="M326" s="34"/>
      <c r="P326"/>
      <c r="T326"/>
      <c r="X326"/>
    </row>
    <row r="327" spans="2:24" x14ac:dyDescent="0.2">
      <c r="B327" s="33"/>
      <c r="C327" s="4" t="s">
        <v>744</v>
      </c>
      <c r="D327" s="4" t="s">
        <v>855</v>
      </c>
      <c r="E327" s="4" t="s">
        <v>172</v>
      </c>
      <c r="F327" s="4" t="str">
        <f t="shared" ref="F327:F390" si="17">CONCATENATE(C327," + ",E327)</f>
        <v>Hilti HIT-MM Plus + HAS ⅜" x 12"</v>
      </c>
      <c r="G327" s="136">
        <f>(3/8)*25.4</f>
        <v>9.5249999999999986</v>
      </c>
      <c r="H327" s="136">
        <f>(7/16)*25.4</f>
        <v>11.112499999999999</v>
      </c>
      <c r="I327" s="136"/>
      <c r="J327" s="137">
        <v>0.61290199999999995</v>
      </c>
      <c r="K327" s="137"/>
      <c r="L327" s="136"/>
      <c r="M327" s="34"/>
      <c r="P327"/>
      <c r="T327"/>
      <c r="X327"/>
    </row>
    <row r="328" spans="2:24" x14ac:dyDescent="0.2">
      <c r="B328" s="33"/>
      <c r="C328" s="4" t="s">
        <v>744</v>
      </c>
      <c r="D328" s="4" t="s">
        <v>855</v>
      </c>
      <c r="E328" s="4" t="s">
        <v>173</v>
      </c>
      <c r="F328" s="4" t="str">
        <f t="shared" si="17"/>
        <v>Hilti HIT-MM Plus + HAS ½" x 6 ½"</v>
      </c>
      <c r="G328" s="136">
        <f>(4/8)*25.4</f>
        <v>12.7</v>
      </c>
      <c r="H328" s="136">
        <f>(9/16)*25.4</f>
        <v>14.2875</v>
      </c>
      <c r="I328" s="136"/>
      <c r="J328" s="137">
        <v>0.8580627999999999</v>
      </c>
      <c r="K328" s="137"/>
      <c r="L328" s="136"/>
      <c r="M328" s="34"/>
      <c r="P328"/>
      <c r="T328"/>
      <c r="X328"/>
    </row>
    <row r="329" spans="2:24" x14ac:dyDescent="0.2">
      <c r="B329" s="33"/>
      <c r="C329" s="4" t="s">
        <v>744</v>
      </c>
      <c r="D329" s="4" t="s">
        <v>855</v>
      </c>
      <c r="E329" s="4" t="s">
        <v>174</v>
      </c>
      <c r="F329" s="4" t="str">
        <f t="shared" si="17"/>
        <v>Hilti HIT-MM Plus + HAS ½" x 8"</v>
      </c>
      <c r="G329" s="136">
        <f>(4/8)*25.4</f>
        <v>12.7</v>
      </c>
      <c r="H329" s="136">
        <f>(9/16)*25.4</f>
        <v>14.2875</v>
      </c>
      <c r="I329" s="136"/>
      <c r="J329" s="137">
        <v>0.8580627999999999</v>
      </c>
      <c r="K329" s="137"/>
      <c r="L329" s="136"/>
      <c r="M329" s="34"/>
      <c r="P329"/>
      <c r="T329"/>
      <c r="X329"/>
    </row>
    <row r="330" spans="2:24" x14ac:dyDescent="0.2">
      <c r="B330" s="33"/>
      <c r="C330" s="4" t="s">
        <v>744</v>
      </c>
      <c r="D330" s="4" t="s">
        <v>855</v>
      </c>
      <c r="E330" s="4" t="s">
        <v>175</v>
      </c>
      <c r="F330" s="4" t="str">
        <f t="shared" si="17"/>
        <v>Hilti HIT-MM Plus + HAS ½" x 12"</v>
      </c>
      <c r="G330" s="136">
        <f>(4/8)*25.4</f>
        <v>12.7</v>
      </c>
      <c r="H330" s="136">
        <f>(9/16)*25.4</f>
        <v>14.2875</v>
      </c>
      <c r="I330" s="136"/>
      <c r="J330" s="137">
        <v>0.8580627999999999</v>
      </c>
      <c r="K330" s="137"/>
      <c r="L330" s="136"/>
      <c r="M330" s="34"/>
      <c r="P330"/>
      <c r="T330"/>
      <c r="X330"/>
    </row>
    <row r="331" spans="2:24" x14ac:dyDescent="0.2">
      <c r="B331" s="33"/>
      <c r="C331" s="4" t="s">
        <v>744</v>
      </c>
      <c r="D331" s="4" t="s">
        <v>855</v>
      </c>
      <c r="E331" s="4" t="s">
        <v>178</v>
      </c>
      <c r="F331" s="4" t="str">
        <f t="shared" si="17"/>
        <v>Hilti HIT-MM Plus + HAS ⅝" x 8"</v>
      </c>
      <c r="G331" s="136">
        <f>(5/8)*25.4</f>
        <v>15.875</v>
      </c>
      <c r="H331" s="136">
        <f>(11/16)*25.4</f>
        <v>17.462499999999999</v>
      </c>
      <c r="I331" s="136"/>
      <c r="J331" s="137">
        <v>1.6838675999999997</v>
      </c>
      <c r="K331" s="137"/>
      <c r="L331" s="136"/>
      <c r="M331" s="34"/>
      <c r="P331"/>
      <c r="T331"/>
      <c r="X331"/>
    </row>
    <row r="332" spans="2:24" x14ac:dyDescent="0.2">
      <c r="B332" s="33"/>
      <c r="C332" s="4" t="s">
        <v>744</v>
      </c>
      <c r="D332" s="4" t="s">
        <v>855</v>
      </c>
      <c r="E332" s="4" t="s">
        <v>179</v>
      </c>
      <c r="F332" s="4" t="str">
        <f t="shared" si="17"/>
        <v>Hilti HIT-MM Plus + HAS ⅝" x 9"</v>
      </c>
      <c r="G332" s="136">
        <f>(5/8)*25.4</f>
        <v>15.875</v>
      </c>
      <c r="H332" s="136">
        <f>(11/16)*25.4</f>
        <v>17.462499999999999</v>
      </c>
      <c r="I332" s="136"/>
      <c r="J332" s="137">
        <v>1.6838675999999997</v>
      </c>
      <c r="K332" s="137"/>
      <c r="L332" s="136"/>
      <c r="M332" s="34"/>
      <c r="P332"/>
      <c r="T332"/>
      <c r="X332"/>
    </row>
    <row r="333" spans="2:24" x14ac:dyDescent="0.2">
      <c r="B333" s="33"/>
      <c r="C333" s="4" t="s">
        <v>744</v>
      </c>
      <c r="D333" s="4" t="s">
        <v>855</v>
      </c>
      <c r="E333" s="4" t="s">
        <v>180</v>
      </c>
      <c r="F333" s="4" t="str">
        <f t="shared" si="17"/>
        <v>Hilti HIT-MM Plus + HAS ⅝" x 12"</v>
      </c>
      <c r="G333" s="136">
        <f>(5/8)*25.4</f>
        <v>15.875</v>
      </c>
      <c r="H333" s="136">
        <f>(11/16)*25.4</f>
        <v>17.462499999999999</v>
      </c>
      <c r="I333" s="136"/>
      <c r="J333" s="137">
        <v>1.6838675999999997</v>
      </c>
      <c r="K333" s="137"/>
      <c r="L333" s="136"/>
      <c r="M333" s="34"/>
      <c r="P333"/>
      <c r="T333"/>
      <c r="X333"/>
    </row>
    <row r="334" spans="2:24" x14ac:dyDescent="0.2">
      <c r="B334" s="33"/>
      <c r="C334" s="4" t="s">
        <v>744</v>
      </c>
      <c r="D334" s="4" t="s">
        <v>855</v>
      </c>
      <c r="E334" s="4" t="s">
        <v>181</v>
      </c>
      <c r="F334" s="4" t="str">
        <f t="shared" si="17"/>
        <v>Hilti HIT-MM Plus + HAS ¾" x 10"</v>
      </c>
      <c r="G334" s="136">
        <f>(6/8)*25.4</f>
        <v>19.049999999999997</v>
      </c>
      <c r="H334" s="136">
        <f>(14/16)*25.4</f>
        <v>22.224999999999998</v>
      </c>
      <c r="I334" s="136"/>
      <c r="J334" s="137">
        <v>2.1032215999999999</v>
      </c>
      <c r="K334" s="137"/>
      <c r="L334" s="136"/>
      <c r="M334" s="34"/>
      <c r="P334"/>
      <c r="T334"/>
      <c r="X334"/>
    </row>
    <row r="335" spans="2:24" x14ac:dyDescent="0.2">
      <c r="B335" s="33"/>
      <c r="C335" s="4" t="s">
        <v>744</v>
      </c>
      <c r="D335" s="4" t="s">
        <v>855</v>
      </c>
      <c r="E335" s="4" t="s">
        <v>182</v>
      </c>
      <c r="F335" s="4" t="str">
        <f t="shared" si="17"/>
        <v>Hilti HIT-MM Plus + HAS ¾" x 14"</v>
      </c>
      <c r="G335" s="136">
        <f>(6/8)*25.4</f>
        <v>19.049999999999997</v>
      </c>
      <c r="H335" s="136">
        <f>(14/16)*25.4</f>
        <v>22.224999999999998</v>
      </c>
      <c r="I335" s="136"/>
      <c r="J335" s="137">
        <v>2.1032215999999999</v>
      </c>
      <c r="K335" s="137"/>
      <c r="L335" s="136"/>
      <c r="M335" s="34"/>
      <c r="P335"/>
      <c r="T335"/>
      <c r="X335"/>
    </row>
    <row r="336" spans="2:24" x14ac:dyDescent="0.2">
      <c r="B336" s="33"/>
      <c r="C336" s="4" t="s">
        <v>744</v>
      </c>
      <c r="D336" s="4" t="s">
        <v>855</v>
      </c>
      <c r="E336" s="4" t="s">
        <v>183</v>
      </c>
      <c r="F336" s="4" t="str">
        <f t="shared" si="17"/>
        <v>Hilti HIT-MM Plus + HAS ¾" x 19"</v>
      </c>
      <c r="G336" s="136">
        <f>(6/8)*25.4</f>
        <v>19.049999999999997</v>
      </c>
      <c r="H336" s="136">
        <f>(14/16)*25.4</f>
        <v>22.224999999999998</v>
      </c>
      <c r="I336" s="136"/>
      <c r="J336" s="137">
        <v>2.1032215999999999</v>
      </c>
      <c r="K336" s="137"/>
      <c r="L336" s="136"/>
      <c r="M336" s="34"/>
      <c r="P336"/>
      <c r="T336"/>
      <c r="X336"/>
    </row>
    <row r="337" spans="2:24" x14ac:dyDescent="0.2">
      <c r="B337" s="33"/>
      <c r="C337" s="4" t="s">
        <v>744</v>
      </c>
      <c r="D337" s="4" t="s">
        <v>855</v>
      </c>
      <c r="E337" s="4" t="s">
        <v>184</v>
      </c>
      <c r="F337" s="4" t="str">
        <f t="shared" si="17"/>
        <v>Hilti HIT-MM Plus + HAS ⅞" x 10"</v>
      </c>
      <c r="G337" s="136">
        <f>(7/8)*25.4</f>
        <v>22.224999999999998</v>
      </c>
      <c r="H337" s="136">
        <f>(16/16)*25.4</f>
        <v>25.4</v>
      </c>
      <c r="I337" s="136"/>
      <c r="J337" s="137">
        <v>2.5225756000000001</v>
      </c>
      <c r="K337" s="137"/>
      <c r="L337" s="136"/>
      <c r="M337" s="34"/>
      <c r="P337"/>
      <c r="T337"/>
      <c r="X337"/>
    </row>
    <row r="338" spans="2:24" x14ac:dyDescent="0.2">
      <c r="B338" s="33"/>
      <c r="C338" s="4" t="s">
        <v>744</v>
      </c>
      <c r="D338" s="4" t="s">
        <v>855</v>
      </c>
      <c r="E338" s="4" t="s">
        <v>185</v>
      </c>
      <c r="F338" s="4" t="str">
        <f t="shared" si="17"/>
        <v>Hilti HIT-MM Plus + HAS ⅞" x 14"</v>
      </c>
      <c r="G338" s="136">
        <f>(7/8)*25.4</f>
        <v>22.224999999999998</v>
      </c>
      <c r="H338" s="136">
        <f>(16/16)*25.4</f>
        <v>25.4</v>
      </c>
      <c r="I338" s="136"/>
      <c r="J338" s="137">
        <v>2.5225756000000001</v>
      </c>
      <c r="K338" s="137"/>
      <c r="L338" s="136"/>
      <c r="M338" s="34"/>
      <c r="P338"/>
      <c r="T338"/>
      <c r="X338"/>
    </row>
    <row r="339" spans="2:24" x14ac:dyDescent="0.2">
      <c r="B339" s="33"/>
      <c r="C339" s="4" t="s">
        <v>744</v>
      </c>
      <c r="D339" s="4" t="s">
        <v>855</v>
      </c>
      <c r="E339" s="4" t="s">
        <v>177</v>
      </c>
      <c r="F339" s="4" t="str">
        <f t="shared" si="17"/>
        <v>Hilti HIT-MM Plus + HAS ⅞" x 19"</v>
      </c>
      <c r="G339" s="136">
        <f>(7/8)*25.4</f>
        <v>22.224999999999998</v>
      </c>
      <c r="H339" s="136">
        <f>(16/16)*25.4</f>
        <v>25.4</v>
      </c>
      <c r="I339" s="136"/>
      <c r="J339" s="137">
        <v>2.5225756000000001</v>
      </c>
      <c r="K339" s="137"/>
      <c r="L339" s="136"/>
      <c r="M339" s="34"/>
      <c r="P339"/>
      <c r="T339"/>
      <c r="X339"/>
    </row>
    <row r="340" spans="2:24" x14ac:dyDescent="0.2">
      <c r="B340" s="33"/>
      <c r="C340" s="4" t="s">
        <v>744</v>
      </c>
      <c r="D340" s="4" t="s">
        <v>855</v>
      </c>
      <c r="E340" s="4" t="s">
        <v>176</v>
      </c>
      <c r="F340" s="4" t="str">
        <f t="shared" si="17"/>
        <v>Hilti HIT-MM Plus + HAS 1" x 12"</v>
      </c>
      <c r="G340" s="136">
        <f>(8/8)*25.4</f>
        <v>25.4</v>
      </c>
      <c r="H340" s="136">
        <f>(18/16)*25.4</f>
        <v>28.574999999999999</v>
      </c>
      <c r="I340" s="136"/>
      <c r="J340" s="137">
        <v>3.0838647999999997</v>
      </c>
      <c r="K340" s="137"/>
      <c r="L340" s="136"/>
      <c r="M340" s="34"/>
      <c r="P340"/>
      <c r="T340"/>
      <c r="X340"/>
    </row>
    <row r="341" spans="2:24" x14ac:dyDescent="0.2">
      <c r="B341" s="33"/>
      <c r="C341" s="4" t="s">
        <v>744</v>
      </c>
      <c r="D341" s="4" t="s">
        <v>855</v>
      </c>
      <c r="E341" s="4" t="s">
        <v>186</v>
      </c>
      <c r="F341" s="4" t="str">
        <f t="shared" si="17"/>
        <v>Hilti HIT-MM Plus + HAS 1" x 16"</v>
      </c>
      <c r="G341" s="136">
        <f>(8/8)*25.4</f>
        <v>25.4</v>
      </c>
      <c r="H341" s="136">
        <f>(18/16)*25.4</f>
        <v>28.574999999999999</v>
      </c>
      <c r="I341" s="136"/>
      <c r="J341" s="137">
        <v>3.0838647999999997</v>
      </c>
      <c r="K341" s="137"/>
      <c r="L341" s="136"/>
      <c r="M341" s="34"/>
      <c r="P341"/>
      <c r="T341"/>
      <c r="X341"/>
    </row>
    <row r="342" spans="2:24" x14ac:dyDescent="0.2">
      <c r="B342" s="33"/>
      <c r="C342" s="4" t="s">
        <v>744</v>
      </c>
      <c r="D342" s="4" t="s">
        <v>855</v>
      </c>
      <c r="E342" s="4" t="s">
        <v>187</v>
      </c>
      <c r="F342" s="4" t="str">
        <f t="shared" si="17"/>
        <v>Hilti HIT-MM Plus + HAS 1" x 20"</v>
      </c>
      <c r="G342" s="136">
        <f>(8/8)*25.4</f>
        <v>25.4</v>
      </c>
      <c r="H342" s="136">
        <f>(18/16)*25.4</f>
        <v>28.574999999999999</v>
      </c>
      <c r="I342" s="136"/>
      <c r="J342" s="137">
        <v>3.0838647999999997</v>
      </c>
      <c r="K342" s="137"/>
      <c r="L342" s="136"/>
      <c r="M342" s="34"/>
      <c r="P342"/>
      <c r="T342"/>
      <c r="X342"/>
    </row>
    <row r="343" spans="2:24" x14ac:dyDescent="0.2">
      <c r="B343" s="33"/>
      <c r="C343" s="4" t="s">
        <v>744</v>
      </c>
      <c r="D343" s="4" t="s">
        <v>855</v>
      </c>
      <c r="E343" s="4" t="s">
        <v>188</v>
      </c>
      <c r="F343" s="4" t="str">
        <f t="shared" si="17"/>
        <v>Hilti HIT-MM Plus + HAS 1 ¼" x 16"</v>
      </c>
      <c r="G343" s="136">
        <f>(10/8)*25.4</f>
        <v>31.75</v>
      </c>
      <c r="H343" s="136">
        <f>(22/16)*25.4</f>
        <v>34.924999999999997</v>
      </c>
      <c r="I343" s="136"/>
      <c r="J343" s="137">
        <v>4.0387015999999996</v>
      </c>
      <c r="K343" s="137"/>
      <c r="L343" s="136"/>
      <c r="M343" s="34"/>
      <c r="P343"/>
      <c r="T343"/>
      <c r="X343"/>
    </row>
    <row r="344" spans="2:24" x14ac:dyDescent="0.2">
      <c r="B344" s="33"/>
      <c r="C344" s="4" t="s">
        <v>744</v>
      </c>
      <c r="D344" s="4" t="s">
        <v>855</v>
      </c>
      <c r="E344" s="4" t="s">
        <v>189</v>
      </c>
      <c r="F344" s="4" t="str">
        <f t="shared" si="17"/>
        <v>Hilti HIT-MM Plus + HAS 1 ¼" x 22"</v>
      </c>
      <c r="G344" s="136">
        <f>(10/8)*25.4</f>
        <v>31.75</v>
      </c>
      <c r="H344" s="136">
        <f>ROUND((22/16)*25.4,0)</f>
        <v>35</v>
      </c>
      <c r="I344" s="136"/>
      <c r="J344" s="137">
        <v>4.0387015999999996</v>
      </c>
      <c r="K344" s="137"/>
      <c r="L344" s="136"/>
      <c r="M344" s="34"/>
      <c r="P344"/>
      <c r="T344"/>
      <c r="X344"/>
    </row>
    <row r="345" spans="2:24" x14ac:dyDescent="0.2">
      <c r="B345" s="33"/>
      <c r="C345" s="4" t="s">
        <v>744</v>
      </c>
      <c r="D345" s="4" t="s">
        <v>855</v>
      </c>
      <c r="E345" s="4" t="s">
        <v>190</v>
      </c>
      <c r="F345" s="4" t="str">
        <f t="shared" si="17"/>
        <v xml:space="preserve">Hilti HIT-MM Plus + HAS HDG ⅜" x 5 ⅛" </v>
      </c>
      <c r="G345" s="136">
        <f>(3/8)*25.4</f>
        <v>9.5249999999999986</v>
      </c>
      <c r="H345" s="136">
        <f>(7/16)*25.4</f>
        <v>11.112499999999999</v>
      </c>
      <c r="I345" s="136"/>
      <c r="J345" s="137">
        <v>0.61290199999999995</v>
      </c>
      <c r="K345" s="137"/>
      <c r="L345" s="136"/>
      <c r="M345" s="34"/>
      <c r="P345"/>
      <c r="T345"/>
      <c r="X345"/>
    </row>
    <row r="346" spans="2:24" x14ac:dyDescent="0.2">
      <c r="B346" s="33"/>
      <c r="C346" s="4" t="s">
        <v>744</v>
      </c>
      <c r="D346" s="4" t="s">
        <v>855</v>
      </c>
      <c r="E346" s="4" t="s">
        <v>191</v>
      </c>
      <c r="F346" s="4" t="str">
        <f t="shared" si="17"/>
        <v>Hilti HIT-MM Plus + HAS HDG ⅜" x 8"</v>
      </c>
      <c r="G346" s="136">
        <f>(3/8)*25.4</f>
        <v>9.5249999999999986</v>
      </c>
      <c r="H346" s="136">
        <f>(7/16)*25.4</f>
        <v>11.112499999999999</v>
      </c>
      <c r="I346" s="136"/>
      <c r="J346" s="137">
        <v>0.61290199999999995</v>
      </c>
      <c r="K346" s="137"/>
      <c r="L346" s="136"/>
      <c r="M346" s="34"/>
      <c r="P346"/>
      <c r="T346"/>
      <c r="X346"/>
    </row>
    <row r="347" spans="2:24" x14ac:dyDescent="0.2">
      <c r="B347" s="33"/>
      <c r="C347" s="4" t="s">
        <v>744</v>
      </c>
      <c r="D347" s="4" t="s">
        <v>855</v>
      </c>
      <c r="E347" s="4" t="s">
        <v>192</v>
      </c>
      <c r="F347" s="4" t="str">
        <f t="shared" si="17"/>
        <v>Hilti HIT-MM Plus + HAS HDG ⅜" x 12"</v>
      </c>
      <c r="G347" s="136">
        <f>(3/8)*25.4</f>
        <v>9.5249999999999986</v>
      </c>
      <c r="H347" s="136">
        <f>(7/16)*25.4</f>
        <v>11.112499999999999</v>
      </c>
      <c r="I347" s="136"/>
      <c r="J347" s="137">
        <v>0.61290199999999995</v>
      </c>
      <c r="K347" s="137"/>
      <c r="L347" s="136"/>
      <c r="M347" s="34"/>
      <c r="P347"/>
      <c r="T347"/>
      <c r="X347"/>
    </row>
    <row r="348" spans="2:24" x14ac:dyDescent="0.2">
      <c r="B348" s="33"/>
      <c r="C348" s="4" t="s">
        <v>744</v>
      </c>
      <c r="D348" s="4" t="s">
        <v>855</v>
      </c>
      <c r="E348" s="4" t="s">
        <v>193</v>
      </c>
      <c r="F348" s="4" t="str">
        <f t="shared" si="17"/>
        <v xml:space="preserve">Hilti HIT-MM Plus + HAS HDG ½" x 6 ½" </v>
      </c>
      <c r="G348" s="136">
        <f>(4/8)*25.4</f>
        <v>12.7</v>
      </c>
      <c r="H348" s="136">
        <f>(9/16)*25.4</f>
        <v>14.2875</v>
      </c>
      <c r="I348" s="136"/>
      <c r="J348" s="137">
        <v>0.8580627999999999</v>
      </c>
      <c r="K348" s="137"/>
      <c r="L348" s="136"/>
      <c r="M348" s="34"/>
      <c r="P348"/>
      <c r="T348"/>
      <c r="X348"/>
    </row>
    <row r="349" spans="2:24" x14ac:dyDescent="0.2">
      <c r="B349" s="33"/>
      <c r="C349" s="4" t="s">
        <v>744</v>
      </c>
      <c r="D349" s="4" t="s">
        <v>855</v>
      </c>
      <c r="E349" s="4" t="s">
        <v>194</v>
      </c>
      <c r="F349" s="4" t="str">
        <f t="shared" si="17"/>
        <v>Hilti HIT-MM Plus + HAS HDG ½" x 8"</v>
      </c>
      <c r="G349" s="136">
        <f>(4/8)*25.4</f>
        <v>12.7</v>
      </c>
      <c r="H349" s="136">
        <f>(9/16)*25.4</f>
        <v>14.2875</v>
      </c>
      <c r="I349" s="136"/>
      <c r="J349" s="137">
        <v>0.8580627999999999</v>
      </c>
      <c r="K349" s="137"/>
      <c r="L349" s="136"/>
      <c r="M349" s="34"/>
      <c r="P349"/>
      <c r="T349"/>
      <c r="X349"/>
    </row>
    <row r="350" spans="2:24" x14ac:dyDescent="0.2">
      <c r="B350" s="33"/>
      <c r="C350" s="4" t="s">
        <v>744</v>
      </c>
      <c r="D350" s="4" t="s">
        <v>855</v>
      </c>
      <c r="E350" s="4" t="s">
        <v>195</v>
      </c>
      <c r="F350" s="4" t="str">
        <f t="shared" si="17"/>
        <v>Hilti HIT-MM Plus + HAS HDG ½" x 12"</v>
      </c>
      <c r="G350" s="136">
        <f>(4/8)*25.4</f>
        <v>12.7</v>
      </c>
      <c r="H350" s="136">
        <f>(9/16)*25.4</f>
        <v>14.2875</v>
      </c>
      <c r="I350" s="136"/>
      <c r="J350" s="137">
        <v>0.8580627999999999</v>
      </c>
      <c r="K350" s="137"/>
      <c r="L350" s="136"/>
      <c r="M350" s="34"/>
      <c r="P350"/>
      <c r="T350"/>
      <c r="X350"/>
    </row>
    <row r="351" spans="2:24" x14ac:dyDescent="0.2">
      <c r="B351" s="33"/>
      <c r="C351" s="4" t="s">
        <v>744</v>
      </c>
      <c r="D351" s="4" t="s">
        <v>855</v>
      </c>
      <c r="E351" s="4" t="s">
        <v>196</v>
      </c>
      <c r="F351" s="4" t="str">
        <f t="shared" si="17"/>
        <v>Hilti HIT-MM Plus + HAS HDG ⅝" x 8"</v>
      </c>
      <c r="G351" s="136">
        <f>(5/8)*25.4</f>
        <v>15.875</v>
      </c>
      <c r="H351" s="136">
        <f>(11/16)*25.4</f>
        <v>17.462499999999999</v>
      </c>
      <c r="I351" s="136"/>
      <c r="J351" s="137">
        <v>1.6838675999999997</v>
      </c>
      <c r="K351" s="137"/>
      <c r="L351" s="136"/>
      <c r="M351" s="34"/>
      <c r="P351"/>
      <c r="T351"/>
      <c r="X351"/>
    </row>
    <row r="352" spans="2:24" x14ac:dyDescent="0.2">
      <c r="B352" s="33"/>
      <c r="C352" s="4" t="s">
        <v>744</v>
      </c>
      <c r="D352" s="4" t="s">
        <v>855</v>
      </c>
      <c r="E352" s="4" t="s">
        <v>197</v>
      </c>
      <c r="F352" s="4" t="str">
        <f t="shared" si="17"/>
        <v>Hilti HIT-MM Plus + HAS HDG ⅝" x 9"</v>
      </c>
      <c r="G352" s="136">
        <f>(5/8)*25.4</f>
        <v>15.875</v>
      </c>
      <c r="H352" s="136">
        <f>(11/16)*25.4</f>
        <v>17.462499999999999</v>
      </c>
      <c r="I352" s="136"/>
      <c r="J352" s="137">
        <v>1.6838675999999997</v>
      </c>
      <c r="K352" s="137"/>
      <c r="L352" s="136"/>
      <c r="M352" s="34"/>
      <c r="P352"/>
      <c r="T352"/>
      <c r="X352"/>
    </row>
    <row r="353" spans="2:24" x14ac:dyDescent="0.2">
      <c r="B353" s="33"/>
      <c r="C353" s="4" t="s">
        <v>744</v>
      </c>
      <c r="D353" s="4" t="s">
        <v>855</v>
      </c>
      <c r="E353" s="4" t="s">
        <v>198</v>
      </c>
      <c r="F353" s="4" t="str">
        <f t="shared" si="17"/>
        <v>Hilti HIT-MM Plus + HAS HDG ⅝" x 12"</v>
      </c>
      <c r="G353" s="136">
        <f>(5/8)*25.4</f>
        <v>15.875</v>
      </c>
      <c r="H353" s="136">
        <f>(11/16)*25.4</f>
        <v>17.462499999999999</v>
      </c>
      <c r="I353" s="136"/>
      <c r="J353" s="137">
        <v>1.6838675999999997</v>
      </c>
      <c r="K353" s="137"/>
      <c r="L353" s="136"/>
      <c r="M353" s="34"/>
      <c r="P353"/>
      <c r="T353"/>
      <c r="X353"/>
    </row>
    <row r="354" spans="2:24" x14ac:dyDescent="0.2">
      <c r="B354" s="33"/>
      <c r="C354" s="4" t="s">
        <v>744</v>
      </c>
      <c r="D354" s="4" t="s">
        <v>855</v>
      </c>
      <c r="E354" s="4" t="s">
        <v>199</v>
      </c>
      <c r="F354" s="4" t="str">
        <f t="shared" si="17"/>
        <v>Hilti HIT-MM Plus + HAS HDG ¾" x 10"</v>
      </c>
      <c r="G354" s="136">
        <f>(6/8)*25.4</f>
        <v>19.049999999999997</v>
      </c>
      <c r="H354" s="136">
        <f>(14/16)*25.4</f>
        <v>22.224999999999998</v>
      </c>
      <c r="I354" s="136"/>
      <c r="J354" s="137">
        <v>2.1032215999999999</v>
      </c>
      <c r="K354" s="137"/>
      <c r="L354" s="136"/>
      <c r="M354" s="34"/>
      <c r="P354"/>
      <c r="T354"/>
      <c r="X354"/>
    </row>
    <row r="355" spans="2:24" x14ac:dyDescent="0.2">
      <c r="B355" s="33"/>
      <c r="C355" s="4" t="s">
        <v>744</v>
      </c>
      <c r="D355" s="4" t="s">
        <v>855</v>
      </c>
      <c r="E355" s="4" t="s">
        <v>200</v>
      </c>
      <c r="F355" s="4" t="str">
        <f t="shared" si="17"/>
        <v>Hilti HIT-MM Plus + HAS HDG ¾" x 14"</v>
      </c>
      <c r="G355" s="136">
        <f>(6/8)*25.4</f>
        <v>19.049999999999997</v>
      </c>
      <c r="H355" s="136">
        <f>(14/16)*25.4</f>
        <v>22.224999999999998</v>
      </c>
      <c r="I355" s="136"/>
      <c r="J355" s="137">
        <v>2.1032215999999999</v>
      </c>
      <c r="K355" s="137"/>
      <c r="L355" s="136"/>
      <c r="M355" s="34"/>
      <c r="P355"/>
      <c r="T355"/>
      <c r="X355"/>
    </row>
    <row r="356" spans="2:24" x14ac:dyDescent="0.2">
      <c r="B356" s="33"/>
      <c r="C356" s="4" t="s">
        <v>744</v>
      </c>
      <c r="D356" s="4" t="s">
        <v>855</v>
      </c>
      <c r="E356" s="4" t="s">
        <v>201</v>
      </c>
      <c r="F356" s="4" t="str">
        <f t="shared" si="17"/>
        <v>Hilti HIT-MM Plus + HAS HDG ¾" x 19"</v>
      </c>
      <c r="G356" s="136">
        <f>(6/8)*25.4</f>
        <v>19.049999999999997</v>
      </c>
      <c r="H356" s="136">
        <f>(14/16)*25.4</f>
        <v>22.224999999999998</v>
      </c>
      <c r="I356" s="136"/>
      <c r="J356" s="137">
        <v>2.1032215999999999</v>
      </c>
      <c r="K356" s="137"/>
      <c r="L356" s="136"/>
      <c r="M356" s="34"/>
      <c r="P356"/>
      <c r="T356"/>
      <c r="X356"/>
    </row>
    <row r="357" spans="2:24" x14ac:dyDescent="0.2">
      <c r="B357" s="33"/>
      <c r="C357" s="4" t="s">
        <v>744</v>
      </c>
      <c r="D357" s="4" t="s">
        <v>855</v>
      </c>
      <c r="E357" s="4" t="s">
        <v>202</v>
      </c>
      <c r="F357" s="4" t="str">
        <f t="shared" si="17"/>
        <v>Hilti HIT-MM Plus + HAS HDG ⅞" x 10"</v>
      </c>
      <c r="G357" s="136">
        <f>(7/8)*25.4</f>
        <v>22.224999999999998</v>
      </c>
      <c r="H357" s="136">
        <f>(16/16)*25.4</f>
        <v>25.4</v>
      </c>
      <c r="I357" s="136"/>
      <c r="J357" s="137">
        <v>2.5225756000000001</v>
      </c>
      <c r="K357" s="137"/>
      <c r="L357" s="136"/>
      <c r="M357" s="34"/>
      <c r="P357"/>
      <c r="T357"/>
      <c r="X357"/>
    </row>
    <row r="358" spans="2:24" x14ac:dyDescent="0.2">
      <c r="B358" s="33"/>
      <c r="C358" s="4" t="s">
        <v>744</v>
      </c>
      <c r="D358" s="4" t="s">
        <v>855</v>
      </c>
      <c r="E358" s="4" t="s">
        <v>203</v>
      </c>
      <c r="F358" s="4" t="str">
        <f t="shared" si="17"/>
        <v>Hilti HIT-MM Plus + HAS HDG ⅞" x 14"</v>
      </c>
      <c r="G358" s="136">
        <f>(7/8)*25.4</f>
        <v>22.224999999999998</v>
      </c>
      <c r="H358" s="136">
        <f>(16/16)*25.4</f>
        <v>25.4</v>
      </c>
      <c r="I358" s="136"/>
      <c r="J358" s="137">
        <v>2.5225756000000001</v>
      </c>
      <c r="K358" s="137"/>
      <c r="L358" s="136"/>
      <c r="M358" s="34"/>
      <c r="P358"/>
      <c r="T358"/>
      <c r="X358"/>
    </row>
    <row r="359" spans="2:24" x14ac:dyDescent="0.2">
      <c r="B359" s="33"/>
      <c r="C359" s="4" t="s">
        <v>744</v>
      </c>
      <c r="D359" s="4" t="s">
        <v>855</v>
      </c>
      <c r="E359" s="4" t="s">
        <v>204</v>
      </c>
      <c r="F359" s="4" t="str">
        <f t="shared" si="17"/>
        <v>Hilti HIT-MM Plus + HAS HDG ⅞" x 19"</v>
      </c>
      <c r="G359" s="136">
        <f>(7/8)*25.4</f>
        <v>22.224999999999998</v>
      </c>
      <c r="H359" s="136">
        <f>(16/16)*25.4</f>
        <v>25.4</v>
      </c>
      <c r="I359" s="136"/>
      <c r="J359" s="137">
        <v>2.5225756000000001</v>
      </c>
      <c r="K359" s="137"/>
      <c r="L359" s="136"/>
      <c r="M359" s="34"/>
      <c r="P359"/>
      <c r="T359"/>
      <c r="X359"/>
    </row>
    <row r="360" spans="2:24" x14ac:dyDescent="0.2">
      <c r="B360" s="33"/>
      <c r="C360" s="4" t="s">
        <v>744</v>
      </c>
      <c r="D360" s="4" t="s">
        <v>855</v>
      </c>
      <c r="E360" s="4" t="s">
        <v>205</v>
      </c>
      <c r="F360" s="4" t="str">
        <f t="shared" si="17"/>
        <v>Hilti HIT-MM Plus + HAS HDG 1" x 12"</v>
      </c>
      <c r="G360" s="136">
        <f>(8/8)*25.4</f>
        <v>25.4</v>
      </c>
      <c r="H360" s="136">
        <f>(18/16)*25.4</f>
        <v>28.574999999999999</v>
      </c>
      <c r="I360" s="136"/>
      <c r="J360" s="137">
        <v>3.0838647999999997</v>
      </c>
      <c r="K360" s="137"/>
      <c r="L360" s="136"/>
      <c r="M360" s="34"/>
      <c r="P360"/>
      <c r="T360"/>
      <c r="X360"/>
    </row>
    <row r="361" spans="2:24" x14ac:dyDescent="0.2">
      <c r="B361" s="33"/>
      <c r="C361" s="4" t="s">
        <v>744</v>
      </c>
      <c r="D361" s="4" t="s">
        <v>855</v>
      </c>
      <c r="E361" s="4" t="s">
        <v>206</v>
      </c>
      <c r="F361" s="4" t="str">
        <f t="shared" si="17"/>
        <v>Hilti HIT-MM Plus + HAS HDG 1" x 16"</v>
      </c>
      <c r="G361" s="136">
        <f>(8/8)*25.4</f>
        <v>25.4</v>
      </c>
      <c r="H361" s="136">
        <f>(18/16)*25.4</f>
        <v>28.574999999999999</v>
      </c>
      <c r="I361" s="136"/>
      <c r="J361" s="137">
        <v>3.0838647999999997</v>
      </c>
      <c r="K361" s="137"/>
      <c r="L361" s="136"/>
      <c r="M361" s="34"/>
      <c r="P361"/>
      <c r="T361"/>
      <c r="X361"/>
    </row>
    <row r="362" spans="2:24" x14ac:dyDescent="0.2">
      <c r="B362" s="33"/>
      <c r="C362" s="4" t="s">
        <v>744</v>
      </c>
      <c r="D362" s="4" t="s">
        <v>855</v>
      </c>
      <c r="E362" s="4" t="s">
        <v>207</v>
      </c>
      <c r="F362" s="4" t="str">
        <f t="shared" si="17"/>
        <v>Hilti HIT-MM Plus + HAS HDG 1" x 20"</v>
      </c>
      <c r="G362" s="136">
        <f>(8/8)*25.4</f>
        <v>25.4</v>
      </c>
      <c r="H362" s="136">
        <f>(18/16)*25.4</f>
        <v>28.574999999999999</v>
      </c>
      <c r="I362" s="136"/>
      <c r="J362" s="137">
        <v>3.0838647999999997</v>
      </c>
      <c r="K362" s="137"/>
      <c r="L362" s="136"/>
      <c r="M362" s="34"/>
      <c r="P362"/>
      <c r="T362"/>
      <c r="X362"/>
    </row>
    <row r="363" spans="2:24" x14ac:dyDescent="0.2">
      <c r="B363" s="33"/>
      <c r="C363" s="4" t="s">
        <v>744</v>
      </c>
      <c r="D363" s="4" t="s">
        <v>855</v>
      </c>
      <c r="E363" s="4" t="s">
        <v>208</v>
      </c>
      <c r="F363" s="4" t="str">
        <f t="shared" si="17"/>
        <v>Hilti HIT-MM Plus + HAS HDG 1 ¼" x 16"</v>
      </c>
      <c r="G363" s="136">
        <f>(10/8)*25.4</f>
        <v>31.75</v>
      </c>
      <c r="H363" s="136">
        <f>(22/16)*25.4</f>
        <v>34.924999999999997</v>
      </c>
      <c r="I363" s="136"/>
      <c r="J363" s="137">
        <v>4.0387015999999996</v>
      </c>
      <c r="K363" s="137"/>
      <c r="L363" s="136"/>
      <c r="M363" s="34"/>
      <c r="P363"/>
      <c r="T363"/>
      <c r="X363"/>
    </row>
    <row r="364" spans="2:24" x14ac:dyDescent="0.2">
      <c r="B364" s="33"/>
      <c r="C364" s="4" t="s">
        <v>744</v>
      </c>
      <c r="D364" s="4" t="s">
        <v>855</v>
      </c>
      <c r="E364" s="4" t="s">
        <v>209</v>
      </c>
      <c r="F364" s="4" t="str">
        <f t="shared" si="17"/>
        <v>Hilti HIT-MM Plus + HAS HDG 1 ¼" x 22"</v>
      </c>
      <c r="G364" s="136">
        <f>(10/8)*25.4</f>
        <v>31.75</v>
      </c>
      <c r="H364" s="136">
        <f>ROUND((22/16)*25.4,0)</f>
        <v>35</v>
      </c>
      <c r="I364" s="136"/>
      <c r="J364" s="137">
        <v>4.0387015999999996</v>
      </c>
      <c r="K364" s="137"/>
      <c r="L364" s="136"/>
      <c r="M364" s="34"/>
      <c r="P364"/>
      <c r="T364"/>
      <c r="X364"/>
    </row>
    <row r="365" spans="2:24" x14ac:dyDescent="0.2">
      <c r="B365" s="33"/>
      <c r="C365" s="4" t="s">
        <v>744</v>
      </c>
      <c r="D365" s="4" t="s">
        <v>855</v>
      </c>
      <c r="E365" s="4" t="s">
        <v>663</v>
      </c>
      <c r="F365" s="4" t="str">
        <f t="shared" si="17"/>
        <v xml:space="preserve">Hilti HIT-MM Plus + HAS Super ½" x 6 ½" </v>
      </c>
      <c r="G365" s="136">
        <f>(4/8)*25.4</f>
        <v>12.7</v>
      </c>
      <c r="H365" s="136">
        <f>(9/16)*25.4</f>
        <v>14.2875</v>
      </c>
      <c r="I365" s="136"/>
      <c r="J365" s="137">
        <v>0.8580627999999999</v>
      </c>
      <c r="K365" s="137"/>
      <c r="L365" s="136"/>
      <c r="M365" s="34"/>
      <c r="P365"/>
      <c r="T365"/>
      <c r="X365"/>
    </row>
    <row r="366" spans="2:24" x14ac:dyDescent="0.2">
      <c r="B366" s="33"/>
      <c r="C366" s="4" t="s">
        <v>744</v>
      </c>
      <c r="D366" s="4" t="s">
        <v>855</v>
      </c>
      <c r="E366" s="4" t="s">
        <v>664</v>
      </c>
      <c r="F366" s="4" t="str">
        <f t="shared" si="17"/>
        <v>Hilti HIT-MM Plus + HAS Super ½" x 8"</v>
      </c>
      <c r="G366" s="136">
        <f>(4/8)*25.4</f>
        <v>12.7</v>
      </c>
      <c r="H366" s="136">
        <f>(9/16)*25.4</f>
        <v>14.2875</v>
      </c>
      <c r="I366" s="136"/>
      <c r="J366" s="137">
        <v>0.8580627999999999</v>
      </c>
      <c r="K366" s="137"/>
      <c r="L366" s="136"/>
      <c r="M366" s="34"/>
      <c r="P366"/>
      <c r="T366"/>
      <c r="X366"/>
    </row>
    <row r="367" spans="2:24" x14ac:dyDescent="0.2">
      <c r="B367" s="33"/>
      <c r="C367" s="4" t="s">
        <v>744</v>
      </c>
      <c r="D367" s="4" t="s">
        <v>855</v>
      </c>
      <c r="E367" s="4" t="s">
        <v>665</v>
      </c>
      <c r="F367" s="4" t="str">
        <f t="shared" si="17"/>
        <v>Hilti HIT-MM Plus + HAS Super ½" x 12"</v>
      </c>
      <c r="G367" s="136">
        <f>(4/8)*25.4</f>
        <v>12.7</v>
      </c>
      <c r="H367" s="136">
        <f>(9/16)*25.4</f>
        <v>14.2875</v>
      </c>
      <c r="I367" s="136"/>
      <c r="J367" s="137">
        <v>0.8580627999999999</v>
      </c>
      <c r="K367" s="137"/>
      <c r="L367" s="136"/>
      <c r="M367" s="34"/>
      <c r="P367"/>
      <c r="T367"/>
      <c r="X367"/>
    </row>
    <row r="368" spans="2:24" x14ac:dyDescent="0.2">
      <c r="B368" s="33"/>
      <c r="C368" s="4" t="s">
        <v>744</v>
      </c>
      <c r="D368" s="4" t="s">
        <v>855</v>
      </c>
      <c r="E368" s="4" t="s">
        <v>666</v>
      </c>
      <c r="F368" s="4" t="str">
        <f t="shared" si="17"/>
        <v>Hilti HIT-MM Plus + HAS Super ⅝" x 8"</v>
      </c>
      <c r="G368" s="136">
        <f>(5/8)*25.4</f>
        <v>15.875</v>
      </c>
      <c r="H368" s="136">
        <f>(11/16)*25.4</f>
        <v>17.462499999999999</v>
      </c>
      <c r="I368" s="136"/>
      <c r="J368" s="137">
        <v>1.6838675999999997</v>
      </c>
      <c r="K368" s="137"/>
      <c r="L368" s="136"/>
      <c r="M368" s="34"/>
      <c r="P368"/>
      <c r="T368"/>
      <c r="X368"/>
    </row>
    <row r="369" spans="2:24" x14ac:dyDescent="0.2">
      <c r="B369" s="33"/>
      <c r="C369" s="4" t="s">
        <v>744</v>
      </c>
      <c r="D369" s="4" t="s">
        <v>855</v>
      </c>
      <c r="E369" s="4" t="s">
        <v>667</v>
      </c>
      <c r="F369" s="4" t="str">
        <f t="shared" si="17"/>
        <v>Hilti HIT-MM Plus + HAS Super ⅝" x 9"</v>
      </c>
      <c r="G369" s="136">
        <f>(5/8)*25.4</f>
        <v>15.875</v>
      </c>
      <c r="H369" s="136">
        <f>(11/16)*25.4</f>
        <v>17.462499999999999</v>
      </c>
      <c r="I369" s="136"/>
      <c r="J369" s="137">
        <v>1.6838675999999997</v>
      </c>
      <c r="K369" s="137"/>
      <c r="L369" s="136"/>
      <c r="M369" s="34"/>
      <c r="P369"/>
      <c r="T369"/>
      <c r="X369"/>
    </row>
    <row r="370" spans="2:24" x14ac:dyDescent="0.2">
      <c r="B370" s="33"/>
      <c r="C370" s="4" t="s">
        <v>744</v>
      </c>
      <c r="D370" s="4" t="s">
        <v>855</v>
      </c>
      <c r="E370" s="4" t="s">
        <v>668</v>
      </c>
      <c r="F370" s="4" t="str">
        <f t="shared" si="17"/>
        <v>Hilti HIT-MM Plus + HAS Super ⅝" x 12"</v>
      </c>
      <c r="G370" s="136">
        <f>(5/8)*25.4</f>
        <v>15.875</v>
      </c>
      <c r="H370" s="136">
        <f>(11/16)*25.4</f>
        <v>17.462499999999999</v>
      </c>
      <c r="I370" s="136"/>
      <c r="J370" s="137">
        <v>1.6838675999999997</v>
      </c>
      <c r="K370" s="137"/>
      <c r="L370" s="136"/>
      <c r="M370" s="34"/>
      <c r="P370"/>
      <c r="T370"/>
      <c r="X370"/>
    </row>
    <row r="371" spans="2:24" x14ac:dyDescent="0.2">
      <c r="B371" s="33"/>
      <c r="C371" s="4" t="s">
        <v>744</v>
      </c>
      <c r="D371" s="4" t="s">
        <v>855</v>
      </c>
      <c r="E371" s="4" t="s">
        <v>669</v>
      </c>
      <c r="F371" s="4" t="str">
        <f t="shared" si="17"/>
        <v>Hilti HIT-MM Plus + HAS Super ¾" x 10"</v>
      </c>
      <c r="G371" s="136">
        <f>(6/8)*25.4</f>
        <v>19.049999999999997</v>
      </c>
      <c r="H371" s="136">
        <f>(14/16)*25.4</f>
        <v>22.224999999999998</v>
      </c>
      <c r="I371" s="136"/>
      <c r="J371" s="137">
        <v>2.1032215999999999</v>
      </c>
      <c r="K371" s="137"/>
      <c r="L371" s="136"/>
      <c r="M371" s="34"/>
      <c r="P371"/>
      <c r="T371"/>
      <c r="X371"/>
    </row>
    <row r="372" spans="2:24" x14ac:dyDescent="0.2">
      <c r="B372" s="33"/>
      <c r="C372" s="4" t="s">
        <v>744</v>
      </c>
      <c r="D372" s="4" t="s">
        <v>855</v>
      </c>
      <c r="E372" s="4" t="s">
        <v>670</v>
      </c>
      <c r="F372" s="4" t="str">
        <f t="shared" si="17"/>
        <v>Hilti HIT-MM Plus + HAS Super ¾" x 14"</v>
      </c>
      <c r="G372" s="136">
        <f>(6/8)*25.4</f>
        <v>19.049999999999997</v>
      </c>
      <c r="H372" s="136">
        <f>(14/16)*25.4</f>
        <v>22.224999999999998</v>
      </c>
      <c r="I372" s="136"/>
      <c r="J372" s="137">
        <v>2.1032215999999999</v>
      </c>
      <c r="K372" s="137"/>
      <c r="L372" s="136"/>
      <c r="M372" s="34"/>
      <c r="P372"/>
      <c r="T372"/>
      <c r="X372"/>
    </row>
    <row r="373" spans="2:24" x14ac:dyDescent="0.2">
      <c r="B373" s="33"/>
      <c r="C373" s="4" t="s">
        <v>744</v>
      </c>
      <c r="D373" s="4" t="s">
        <v>855</v>
      </c>
      <c r="E373" s="4" t="s">
        <v>671</v>
      </c>
      <c r="F373" s="4" t="str">
        <f t="shared" si="17"/>
        <v>Hilti HIT-MM Plus + HAS Super ¾" x 19"</v>
      </c>
      <c r="G373" s="136">
        <f>(6/8)*25.4</f>
        <v>19.049999999999997</v>
      </c>
      <c r="H373" s="136">
        <f>(14/16)*25.4</f>
        <v>22.224999999999998</v>
      </c>
      <c r="I373" s="136"/>
      <c r="J373" s="137">
        <v>2.1032215999999999</v>
      </c>
      <c r="K373" s="137"/>
      <c r="L373" s="136"/>
      <c r="M373" s="34"/>
      <c r="P373"/>
      <c r="T373"/>
      <c r="X373"/>
    </row>
    <row r="374" spans="2:24" x14ac:dyDescent="0.2">
      <c r="B374" s="33"/>
      <c r="C374" s="4" t="s">
        <v>744</v>
      </c>
      <c r="D374" s="4" t="s">
        <v>855</v>
      </c>
      <c r="E374" s="4" t="s">
        <v>672</v>
      </c>
      <c r="F374" s="4" t="str">
        <f t="shared" si="17"/>
        <v>Hilti HIT-MM Plus + HAS Super ⅞" x 10"</v>
      </c>
      <c r="G374" s="136">
        <f>(7/8)*25.4</f>
        <v>22.224999999999998</v>
      </c>
      <c r="H374" s="136">
        <f>(16/16)*25.4</f>
        <v>25.4</v>
      </c>
      <c r="I374" s="136"/>
      <c r="J374" s="137">
        <v>2.5225756000000001</v>
      </c>
      <c r="K374" s="137"/>
      <c r="L374" s="136"/>
      <c r="M374" s="34"/>
      <c r="P374"/>
      <c r="T374"/>
      <c r="X374"/>
    </row>
    <row r="375" spans="2:24" x14ac:dyDescent="0.2">
      <c r="B375" s="33"/>
      <c r="C375" s="4" t="s">
        <v>744</v>
      </c>
      <c r="D375" s="4" t="s">
        <v>855</v>
      </c>
      <c r="E375" s="4" t="s">
        <v>673</v>
      </c>
      <c r="F375" s="4" t="str">
        <f t="shared" si="17"/>
        <v>Hilti HIT-MM Plus + HAS Super ⅞" x 14"</v>
      </c>
      <c r="G375" s="136">
        <f>(7/8)*25.4</f>
        <v>22.224999999999998</v>
      </c>
      <c r="H375" s="136">
        <f>(16/16)*25.4</f>
        <v>25.4</v>
      </c>
      <c r="I375" s="136"/>
      <c r="J375" s="137">
        <v>2.5225756000000001</v>
      </c>
      <c r="K375" s="137"/>
      <c r="L375" s="136"/>
      <c r="M375" s="34"/>
      <c r="P375"/>
      <c r="T375"/>
      <c r="X375"/>
    </row>
    <row r="376" spans="2:24" x14ac:dyDescent="0.2">
      <c r="B376" s="33"/>
      <c r="C376" s="4" t="s">
        <v>744</v>
      </c>
      <c r="D376" s="4" t="s">
        <v>855</v>
      </c>
      <c r="E376" s="4" t="s">
        <v>674</v>
      </c>
      <c r="F376" s="4" t="str">
        <f t="shared" si="17"/>
        <v>Hilti HIT-MM Plus + HAS Super ⅞" x 19"</v>
      </c>
      <c r="G376" s="136">
        <f>(7/8)*25.4</f>
        <v>22.224999999999998</v>
      </c>
      <c r="H376" s="136">
        <f>(16/16)*25.4</f>
        <v>25.4</v>
      </c>
      <c r="I376" s="136"/>
      <c r="J376" s="137">
        <v>2.5225756000000001</v>
      </c>
      <c r="K376" s="137"/>
      <c r="L376" s="136"/>
      <c r="M376" s="34"/>
      <c r="P376"/>
      <c r="T376"/>
      <c r="X376"/>
    </row>
    <row r="377" spans="2:24" x14ac:dyDescent="0.2">
      <c r="B377" s="33"/>
      <c r="C377" s="4" t="s">
        <v>744</v>
      </c>
      <c r="D377" s="4" t="s">
        <v>855</v>
      </c>
      <c r="E377" s="4" t="s">
        <v>675</v>
      </c>
      <c r="F377" s="4" t="str">
        <f t="shared" si="17"/>
        <v>Hilti HIT-MM Plus + HAS Super 1" x 12"</v>
      </c>
      <c r="G377" s="136">
        <f>(8/8)*25.4</f>
        <v>25.4</v>
      </c>
      <c r="H377" s="136">
        <f>(18/16)*25.4</f>
        <v>28.574999999999999</v>
      </c>
      <c r="I377" s="136"/>
      <c r="J377" s="137">
        <v>3.0838647999999997</v>
      </c>
      <c r="K377" s="137"/>
      <c r="L377" s="136"/>
      <c r="M377" s="34"/>
      <c r="P377"/>
      <c r="T377"/>
      <c r="X377"/>
    </row>
    <row r="378" spans="2:24" x14ac:dyDescent="0.2">
      <c r="B378" s="33"/>
      <c r="C378" s="4" t="s">
        <v>744</v>
      </c>
      <c r="D378" s="4" t="s">
        <v>855</v>
      </c>
      <c r="E378" s="4" t="s">
        <v>676</v>
      </c>
      <c r="F378" s="4" t="str">
        <f t="shared" si="17"/>
        <v>Hilti HIT-MM Plus + HAS Super 1" x 16"</v>
      </c>
      <c r="G378" s="136">
        <f>(8/8)*25.4</f>
        <v>25.4</v>
      </c>
      <c r="H378" s="136">
        <f>(18/16)*25.4</f>
        <v>28.574999999999999</v>
      </c>
      <c r="I378" s="136"/>
      <c r="J378" s="137">
        <v>3.0838647999999997</v>
      </c>
      <c r="K378" s="137"/>
      <c r="L378" s="136"/>
      <c r="M378" s="34"/>
      <c r="P378"/>
      <c r="T378"/>
      <c r="X378"/>
    </row>
    <row r="379" spans="2:24" x14ac:dyDescent="0.2">
      <c r="B379" s="33"/>
      <c r="C379" s="4" t="s">
        <v>744</v>
      </c>
      <c r="D379" s="4" t="s">
        <v>855</v>
      </c>
      <c r="E379" s="4" t="s">
        <v>677</v>
      </c>
      <c r="F379" s="4" t="str">
        <f t="shared" si="17"/>
        <v>Hilti HIT-MM Plus + HAS Super 1" x 20"</v>
      </c>
      <c r="G379" s="136">
        <f>(8/8)*25.4</f>
        <v>25.4</v>
      </c>
      <c r="H379" s="136">
        <f>(18/16)*25.4</f>
        <v>28.574999999999999</v>
      </c>
      <c r="I379" s="136"/>
      <c r="J379" s="137">
        <v>3.0838647999999997</v>
      </c>
      <c r="K379" s="137"/>
      <c r="L379" s="136"/>
      <c r="M379" s="34"/>
      <c r="P379"/>
      <c r="T379"/>
      <c r="X379"/>
    </row>
    <row r="380" spans="2:24" x14ac:dyDescent="0.2">
      <c r="B380" s="33"/>
      <c r="C380" s="4" t="s">
        <v>744</v>
      </c>
      <c r="D380" s="4" t="s">
        <v>855</v>
      </c>
      <c r="E380" s="4" t="s">
        <v>678</v>
      </c>
      <c r="F380" s="4" t="str">
        <f t="shared" si="17"/>
        <v>Hilti HIT-MM Plus + HAS Super 1 ¼" x 16"</v>
      </c>
      <c r="G380" s="136">
        <f>(10/8)*25.4</f>
        <v>31.75</v>
      </c>
      <c r="H380" s="136">
        <f>(22/16)*25.4</f>
        <v>34.924999999999997</v>
      </c>
      <c r="I380" s="136"/>
      <c r="J380" s="137">
        <v>4.0387015999999996</v>
      </c>
      <c r="K380" s="137"/>
      <c r="L380" s="136"/>
      <c r="M380" s="34"/>
      <c r="P380"/>
      <c r="T380"/>
      <c r="X380"/>
    </row>
    <row r="381" spans="2:24" x14ac:dyDescent="0.2">
      <c r="B381" s="33"/>
      <c r="C381" s="4" t="s">
        <v>744</v>
      </c>
      <c r="D381" s="4" t="s">
        <v>855</v>
      </c>
      <c r="E381" s="4" t="s">
        <v>679</v>
      </c>
      <c r="F381" s="4" t="str">
        <f t="shared" si="17"/>
        <v>Hilti HIT-MM Plus + HAS Super 1 ¼" x 22"</v>
      </c>
      <c r="G381" s="136">
        <f>(10/8)*25.4</f>
        <v>31.75</v>
      </c>
      <c r="H381" s="136">
        <f>ROUND((22/16)*25.4,0)</f>
        <v>35</v>
      </c>
      <c r="I381" s="136"/>
      <c r="J381" s="137">
        <v>4.0387015999999996</v>
      </c>
      <c r="K381" s="137"/>
      <c r="L381" s="136"/>
      <c r="M381" s="34"/>
      <c r="P381"/>
      <c r="T381"/>
      <c r="X381"/>
    </row>
    <row r="382" spans="2:24" x14ac:dyDescent="0.2">
      <c r="B382" s="33"/>
      <c r="C382" s="4" t="s">
        <v>744</v>
      </c>
      <c r="D382" s="4" t="s">
        <v>855</v>
      </c>
      <c r="E382" s="4" t="s">
        <v>680</v>
      </c>
      <c r="F382" s="4" t="str">
        <f t="shared" si="17"/>
        <v>Hilti HIT-MM Plus + HAS Super HDG ½" x 6 ½"</v>
      </c>
      <c r="G382" s="136">
        <f>(4/8)*25.4</f>
        <v>12.7</v>
      </c>
      <c r="H382" s="136">
        <f>(9/16)*25.4</f>
        <v>14.2875</v>
      </c>
      <c r="I382" s="136"/>
      <c r="J382" s="137">
        <v>0.8580627999999999</v>
      </c>
      <c r="K382" s="137"/>
      <c r="L382" s="136"/>
      <c r="M382" s="34"/>
      <c r="P382"/>
      <c r="T382"/>
      <c r="X382"/>
    </row>
    <row r="383" spans="2:24" x14ac:dyDescent="0.2">
      <c r="B383" s="33"/>
      <c r="C383" s="4" t="s">
        <v>744</v>
      </c>
      <c r="D383" s="4" t="s">
        <v>855</v>
      </c>
      <c r="E383" s="4" t="s">
        <v>681</v>
      </c>
      <c r="F383" s="4" t="str">
        <f t="shared" si="17"/>
        <v>Hilti HIT-MM Plus + HAS Super HDG ½" x 8"</v>
      </c>
      <c r="G383" s="136">
        <f>(4/8)*25.4</f>
        <v>12.7</v>
      </c>
      <c r="H383" s="136">
        <f>(9/16)*25.4</f>
        <v>14.2875</v>
      </c>
      <c r="I383" s="136"/>
      <c r="J383" s="137">
        <v>0.8580627999999999</v>
      </c>
      <c r="K383" s="137"/>
      <c r="L383" s="136"/>
      <c r="M383" s="34"/>
      <c r="P383"/>
      <c r="T383"/>
      <c r="X383"/>
    </row>
    <row r="384" spans="2:24" x14ac:dyDescent="0.2">
      <c r="B384" s="33"/>
      <c r="C384" s="4" t="s">
        <v>744</v>
      </c>
      <c r="D384" s="4" t="s">
        <v>855</v>
      </c>
      <c r="E384" s="4" t="s">
        <v>682</v>
      </c>
      <c r="F384" s="4" t="str">
        <f t="shared" si="17"/>
        <v>Hilti HIT-MM Plus + HAS Super HDG ½" x 12"</v>
      </c>
      <c r="G384" s="136">
        <f>(4/8)*25.4</f>
        <v>12.7</v>
      </c>
      <c r="H384" s="136">
        <f>(9/16)*25.4</f>
        <v>14.2875</v>
      </c>
      <c r="I384" s="136"/>
      <c r="J384" s="137">
        <v>0.8580627999999999</v>
      </c>
      <c r="K384" s="137"/>
      <c r="L384" s="136"/>
      <c r="M384" s="34"/>
      <c r="P384"/>
      <c r="T384"/>
      <c r="X384"/>
    </row>
    <row r="385" spans="2:24" x14ac:dyDescent="0.2">
      <c r="B385" s="33"/>
      <c r="C385" s="4" t="s">
        <v>744</v>
      </c>
      <c r="D385" s="4" t="s">
        <v>855</v>
      </c>
      <c r="E385" s="4" t="s">
        <v>683</v>
      </c>
      <c r="F385" s="4" t="str">
        <f t="shared" si="17"/>
        <v>Hilti HIT-MM Plus + HAS Super HDG ⅝" x 8"</v>
      </c>
      <c r="G385" s="136">
        <f>(5/8)*25.4</f>
        <v>15.875</v>
      </c>
      <c r="H385" s="136">
        <f>(11/16)*25.4</f>
        <v>17.462499999999999</v>
      </c>
      <c r="I385" s="136"/>
      <c r="J385" s="137">
        <v>1.6838675999999997</v>
      </c>
      <c r="K385" s="137"/>
      <c r="L385" s="136"/>
      <c r="M385" s="34"/>
      <c r="P385"/>
      <c r="T385"/>
      <c r="X385"/>
    </row>
    <row r="386" spans="2:24" x14ac:dyDescent="0.2">
      <c r="B386" s="33"/>
      <c r="C386" s="4" t="s">
        <v>744</v>
      </c>
      <c r="D386" s="4" t="s">
        <v>855</v>
      </c>
      <c r="E386" s="4" t="s">
        <v>684</v>
      </c>
      <c r="F386" s="4" t="str">
        <f t="shared" si="17"/>
        <v>Hilti HIT-MM Plus + HAS Super HDG ⅝" x 9"</v>
      </c>
      <c r="G386" s="136">
        <f>(5/8)*25.4</f>
        <v>15.875</v>
      </c>
      <c r="H386" s="136">
        <f>(11/16)*25.4</f>
        <v>17.462499999999999</v>
      </c>
      <c r="I386" s="136"/>
      <c r="J386" s="137">
        <v>1.6838675999999997</v>
      </c>
      <c r="K386" s="137"/>
      <c r="L386" s="136"/>
      <c r="M386" s="34"/>
      <c r="P386"/>
      <c r="T386"/>
      <c r="X386"/>
    </row>
    <row r="387" spans="2:24" x14ac:dyDescent="0.2">
      <c r="B387" s="33"/>
      <c r="C387" s="4" t="s">
        <v>744</v>
      </c>
      <c r="D387" s="4" t="s">
        <v>855</v>
      </c>
      <c r="E387" s="4" t="s">
        <v>685</v>
      </c>
      <c r="F387" s="4" t="str">
        <f t="shared" si="17"/>
        <v>Hilti HIT-MM Plus + HAS Super HDG ⅝" x 12"</v>
      </c>
      <c r="G387" s="136">
        <f>(5/8)*25.4</f>
        <v>15.875</v>
      </c>
      <c r="H387" s="136">
        <f>(11/16)*25.4</f>
        <v>17.462499999999999</v>
      </c>
      <c r="I387" s="136"/>
      <c r="J387" s="137">
        <v>1.6838675999999997</v>
      </c>
      <c r="K387" s="137"/>
      <c r="L387" s="136"/>
      <c r="M387" s="34"/>
      <c r="P387"/>
      <c r="T387"/>
      <c r="X387"/>
    </row>
    <row r="388" spans="2:24" x14ac:dyDescent="0.2">
      <c r="B388" s="33"/>
      <c r="C388" s="4" t="s">
        <v>744</v>
      </c>
      <c r="D388" s="4" t="s">
        <v>855</v>
      </c>
      <c r="E388" s="4" t="s">
        <v>686</v>
      </c>
      <c r="F388" s="4" t="str">
        <f t="shared" si="17"/>
        <v>Hilti HIT-MM Plus + HAS Super HDG ¾" x 10"</v>
      </c>
      <c r="G388" s="136">
        <f>(6/8)*25.4</f>
        <v>19.049999999999997</v>
      </c>
      <c r="H388" s="136">
        <f>(14/16)*25.4</f>
        <v>22.224999999999998</v>
      </c>
      <c r="I388" s="136"/>
      <c r="J388" s="137">
        <v>2.1032215999999999</v>
      </c>
      <c r="K388" s="137"/>
      <c r="L388" s="136"/>
      <c r="M388" s="34"/>
      <c r="P388"/>
      <c r="T388"/>
      <c r="X388"/>
    </row>
    <row r="389" spans="2:24" x14ac:dyDescent="0.2">
      <c r="B389" s="33"/>
      <c r="C389" s="4" t="s">
        <v>744</v>
      </c>
      <c r="D389" s="4" t="s">
        <v>855</v>
      </c>
      <c r="E389" s="4" t="s">
        <v>687</v>
      </c>
      <c r="F389" s="4" t="str">
        <f t="shared" si="17"/>
        <v>Hilti HIT-MM Plus + HAS Super HDG ¾" x 14"</v>
      </c>
      <c r="G389" s="136">
        <f>(6/8)*25.4</f>
        <v>19.049999999999997</v>
      </c>
      <c r="H389" s="136">
        <f>(14/16)*25.4</f>
        <v>22.224999999999998</v>
      </c>
      <c r="I389" s="136"/>
      <c r="J389" s="137">
        <v>2.1032215999999999</v>
      </c>
      <c r="K389" s="137"/>
      <c r="L389" s="136"/>
      <c r="M389" s="34"/>
      <c r="P389"/>
      <c r="T389"/>
      <c r="X389"/>
    </row>
    <row r="390" spans="2:24" x14ac:dyDescent="0.2">
      <c r="B390" s="33"/>
      <c r="C390" s="4" t="s">
        <v>744</v>
      </c>
      <c r="D390" s="4" t="s">
        <v>855</v>
      </c>
      <c r="E390" s="4" t="s">
        <v>688</v>
      </c>
      <c r="F390" s="4" t="str">
        <f t="shared" si="17"/>
        <v>Hilti HIT-MM Plus + HAS Super HDG ¾" x 19"</v>
      </c>
      <c r="G390" s="136">
        <f>(6/8)*25.4</f>
        <v>19.049999999999997</v>
      </c>
      <c r="H390" s="136">
        <f>(14/16)*25.4</f>
        <v>22.224999999999998</v>
      </c>
      <c r="I390" s="136"/>
      <c r="J390" s="137">
        <v>2.1032215999999999</v>
      </c>
      <c r="K390" s="137"/>
      <c r="L390" s="136"/>
      <c r="M390" s="34"/>
      <c r="P390"/>
      <c r="T390"/>
      <c r="X390"/>
    </row>
    <row r="391" spans="2:24" x14ac:dyDescent="0.2">
      <c r="B391" s="33"/>
      <c r="C391" s="4" t="s">
        <v>744</v>
      </c>
      <c r="D391" s="4" t="s">
        <v>855</v>
      </c>
      <c r="E391" s="4" t="s">
        <v>689</v>
      </c>
      <c r="F391" s="4" t="str">
        <f t="shared" ref="F391:F398" si="18">CONCATENATE(C391," + ",E391)</f>
        <v>Hilti HIT-MM Plus + HAS Super HDG ⅞" x 10"</v>
      </c>
      <c r="G391" s="136">
        <f>(7/8)*25.4</f>
        <v>22.224999999999998</v>
      </c>
      <c r="H391" s="136">
        <f>(16/16)*25.4</f>
        <v>25.4</v>
      </c>
      <c r="I391" s="136"/>
      <c r="J391" s="137">
        <v>2.5225756000000001</v>
      </c>
      <c r="K391" s="137"/>
      <c r="L391" s="136"/>
      <c r="M391" s="34"/>
      <c r="P391"/>
      <c r="T391"/>
      <c r="X391"/>
    </row>
    <row r="392" spans="2:24" x14ac:dyDescent="0.2">
      <c r="B392" s="33"/>
      <c r="C392" s="4" t="s">
        <v>744</v>
      </c>
      <c r="D392" s="4" t="s">
        <v>855</v>
      </c>
      <c r="E392" s="4" t="s">
        <v>690</v>
      </c>
      <c r="F392" s="4" t="str">
        <f t="shared" si="18"/>
        <v>Hilti HIT-MM Plus + HAS Super HDG ⅞" x 14"</v>
      </c>
      <c r="G392" s="136">
        <f>(7/8)*25.4</f>
        <v>22.224999999999998</v>
      </c>
      <c r="H392" s="136">
        <f>(16/16)*25.4</f>
        <v>25.4</v>
      </c>
      <c r="I392" s="136"/>
      <c r="J392" s="137">
        <v>2.5225756000000001</v>
      </c>
      <c r="K392" s="137"/>
      <c r="L392" s="136"/>
      <c r="M392" s="34"/>
      <c r="P392"/>
      <c r="T392"/>
      <c r="X392"/>
    </row>
    <row r="393" spans="2:24" x14ac:dyDescent="0.2">
      <c r="B393" s="33"/>
      <c r="C393" s="4" t="s">
        <v>744</v>
      </c>
      <c r="D393" s="4" t="s">
        <v>855</v>
      </c>
      <c r="E393" s="4" t="s">
        <v>691</v>
      </c>
      <c r="F393" s="4" t="str">
        <f t="shared" si="18"/>
        <v>Hilti HIT-MM Plus + HAS Super HDG ⅞" x 19"</v>
      </c>
      <c r="G393" s="136">
        <f>(7/8)*25.4</f>
        <v>22.224999999999998</v>
      </c>
      <c r="H393" s="136">
        <f>(16/16)*25.4</f>
        <v>25.4</v>
      </c>
      <c r="I393" s="136"/>
      <c r="J393" s="137">
        <v>2.5225756000000001</v>
      </c>
      <c r="K393" s="137"/>
      <c r="L393" s="136"/>
      <c r="M393" s="34"/>
      <c r="P393"/>
      <c r="T393"/>
      <c r="X393"/>
    </row>
    <row r="394" spans="2:24" x14ac:dyDescent="0.2">
      <c r="B394" s="33"/>
      <c r="C394" s="4" t="s">
        <v>744</v>
      </c>
      <c r="D394" s="4" t="s">
        <v>855</v>
      </c>
      <c r="E394" s="4" t="s">
        <v>692</v>
      </c>
      <c r="F394" s="4" t="str">
        <f t="shared" si="18"/>
        <v>Hilti HIT-MM Plus + HAS Super HDG 1" x 12"</v>
      </c>
      <c r="G394" s="136">
        <f>(8/8)*25.4</f>
        <v>25.4</v>
      </c>
      <c r="H394" s="136">
        <f>(18/16)*25.4</f>
        <v>28.574999999999999</v>
      </c>
      <c r="I394" s="136"/>
      <c r="J394" s="137">
        <v>3.0838647999999997</v>
      </c>
      <c r="K394" s="137"/>
      <c r="L394" s="136"/>
      <c r="M394" s="34"/>
      <c r="P394"/>
      <c r="T394"/>
      <c r="X394"/>
    </row>
    <row r="395" spans="2:24" x14ac:dyDescent="0.2">
      <c r="B395" s="33"/>
      <c r="C395" s="4" t="s">
        <v>744</v>
      </c>
      <c r="D395" s="4" t="s">
        <v>855</v>
      </c>
      <c r="E395" s="4" t="s">
        <v>693</v>
      </c>
      <c r="F395" s="4" t="str">
        <f t="shared" si="18"/>
        <v>Hilti HIT-MM Plus + HAS Super HDG 1" x 16"</v>
      </c>
      <c r="G395" s="136">
        <f>(8/8)*25.4</f>
        <v>25.4</v>
      </c>
      <c r="H395" s="136">
        <f>(18/16)*25.4</f>
        <v>28.574999999999999</v>
      </c>
      <c r="I395" s="136"/>
      <c r="J395" s="137">
        <v>3.0838647999999997</v>
      </c>
      <c r="K395" s="137"/>
      <c r="L395" s="136"/>
      <c r="M395" s="34"/>
      <c r="P395"/>
      <c r="T395"/>
      <c r="X395"/>
    </row>
    <row r="396" spans="2:24" x14ac:dyDescent="0.2">
      <c r="B396" s="33"/>
      <c r="C396" s="4" t="s">
        <v>744</v>
      </c>
      <c r="D396" s="4" t="s">
        <v>855</v>
      </c>
      <c r="E396" s="4" t="s">
        <v>694</v>
      </c>
      <c r="F396" s="4" t="str">
        <f t="shared" si="18"/>
        <v>Hilti HIT-MM Plus + HAS Super HDG 1" x 20"</v>
      </c>
      <c r="G396" s="136">
        <f>(8/8)*25.4</f>
        <v>25.4</v>
      </c>
      <c r="H396" s="136">
        <f>(18/16)*25.4</f>
        <v>28.574999999999999</v>
      </c>
      <c r="I396" s="136"/>
      <c r="J396" s="137">
        <v>3.0838647999999997</v>
      </c>
      <c r="K396" s="137"/>
      <c r="L396" s="136"/>
      <c r="M396" s="34"/>
      <c r="P396"/>
      <c r="T396"/>
      <c r="X396"/>
    </row>
    <row r="397" spans="2:24" x14ac:dyDescent="0.2">
      <c r="B397" s="33"/>
      <c r="C397" s="4" t="s">
        <v>744</v>
      </c>
      <c r="D397" s="4" t="s">
        <v>855</v>
      </c>
      <c r="E397" s="4" t="s">
        <v>695</v>
      </c>
      <c r="F397" s="4" t="str">
        <f t="shared" si="18"/>
        <v>Hilti HIT-MM Plus + HAS Super HDG 1 ¼" x 16"</v>
      </c>
      <c r="G397" s="136">
        <f>(10/8)*25.4</f>
        <v>31.75</v>
      </c>
      <c r="H397" s="136">
        <f>(22/16)*25.4</f>
        <v>34.924999999999997</v>
      </c>
      <c r="I397" s="136"/>
      <c r="J397" s="137">
        <v>4.0387015999999996</v>
      </c>
      <c r="K397" s="137"/>
      <c r="L397" s="136"/>
      <c r="M397" s="34"/>
      <c r="P397"/>
      <c r="T397"/>
      <c r="X397"/>
    </row>
    <row r="398" spans="2:24" x14ac:dyDescent="0.2">
      <c r="B398" s="33"/>
      <c r="C398" s="4" t="s">
        <v>744</v>
      </c>
      <c r="D398" s="4" t="s">
        <v>855</v>
      </c>
      <c r="E398" s="4" t="s">
        <v>696</v>
      </c>
      <c r="F398" s="4" t="str">
        <f t="shared" si="18"/>
        <v>Hilti HIT-MM Plus + HAS Super HDG 1 ¼" x 22"</v>
      </c>
      <c r="G398" s="136">
        <f>(10/8)*25.4</f>
        <v>31.75</v>
      </c>
      <c r="H398" s="136">
        <f>ROUND((22/16)*25.4,0)</f>
        <v>35</v>
      </c>
      <c r="I398" s="136"/>
      <c r="J398" s="137">
        <v>4.0387015999999996</v>
      </c>
      <c r="K398" s="137"/>
      <c r="L398" s="136"/>
      <c r="M398" s="34"/>
      <c r="P398"/>
      <c r="T398"/>
      <c r="X398"/>
    </row>
    <row r="399" spans="2:24" x14ac:dyDescent="0.2">
      <c r="B399" s="33"/>
      <c r="C399" s="4" t="s">
        <v>744</v>
      </c>
      <c r="D399" s="4"/>
      <c r="E399" s="39" t="s">
        <v>261</v>
      </c>
      <c r="F399" s="4" t="str">
        <f>E399</f>
        <v>--------------------</v>
      </c>
      <c r="G399" s="136"/>
      <c r="H399" s="136"/>
      <c r="I399" s="136"/>
      <c r="J399" s="137"/>
      <c r="K399" s="137"/>
      <c r="L399" s="136"/>
      <c r="M399" s="34"/>
      <c r="P399"/>
      <c r="T399"/>
      <c r="X399"/>
    </row>
    <row r="400" spans="2:24" x14ac:dyDescent="0.2">
      <c r="B400" s="33"/>
      <c r="C400" s="4" t="s">
        <v>744</v>
      </c>
      <c r="D400" s="4" t="s">
        <v>856</v>
      </c>
      <c r="E400" s="4" t="s">
        <v>236</v>
      </c>
      <c r="F400" s="4" t="str">
        <f t="shared" ref="F400:F407" si="19">CONCATENATE(C400," + ",E400)</f>
        <v>Hilti HIT-MM Plus + HIS ⅜"</v>
      </c>
      <c r="G400" s="136">
        <f>(3/8)*25.4</f>
        <v>9.5249999999999986</v>
      </c>
      <c r="H400" s="136">
        <f>(11/16)*25.4</f>
        <v>17.462499999999999</v>
      </c>
      <c r="I400" s="136"/>
      <c r="J400" s="137" t="s">
        <v>2</v>
      </c>
      <c r="K400" s="137"/>
      <c r="L400" s="136"/>
      <c r="M400" s="34"/>
      <c r="P400"/>
      <c r="T400"/>
      <c r="X400"/>
    </row>
    <row r="401" spans="2:25" x14ac:dyDescent="0.2">
      <c r="B401" s="33"/>
      <c r="C401" s="4" t="s">
        <v>744</v>
      </c>
      <c r="D401" s="4" t="s">
        <v>856</v>
      </c>
      <c r="E401" s="4" t="s">
        <v>233</v>
      </c>
      <c r="F401" s="4" t="str">
        <f t="shared" si="19"/>
        <v>Hilti HIT-MM Plus + HIS ½"</v>
      </c>
      <c r="G401" s="136">
        <f>(4/8)*25.4</f>
        <v>12.7</v>
      </c>
      <c r="H401" s="136">
        <f>(14/16)*25.4</f>
        <v>22.224999999999998</v>
      </c>
      <c r="I401" s="136"/>
      <c r="J401" s="137" t="s">
        <v>2</v>
      </c>
      <c r="K401" s="137"/>
      <c r="L401" s="136"/>
      <c r="M401" s="34"/>
      <c r="P401"/>
      <c r="T401"/>
      <c r="X401"/>
    </row>
    <row r="402" spans="2:25" x14ac:dyDescent="0.2">
      <c r="B402" s="33"/>
      <c r="C402" s="4" t="s">
        <v>744</v>
      </c>
      <c r="D402" s="4" t="s">
        <v>856</v>
      </c>
      <c r="E402" s="4" t="s">
        <v>238</v>
      </c>
      <c r="F402" s="4" t="str">
        <f t="shared" si="19"/>
        <v>Hilti HIT-MM Plus + HIS ⅝"</v>
      </c>
      <c r="G402" s="136">
        <f>(5/8)*25.4</f>
        <v>15.875</v>
      </c>
      <c r="H402" s="136">
        <f>(18/16)*25.4</f>
        <v>28.574999999999999</v>
      </c>
      <c r="I402" s="136"/>
      <c r="J402" s="137" t="s">
        <v>2</v>
      </c>
      <c r="K402" s="137"/>
      <c r="L402" s="136"/>
      <c r="M402" s="34"/>
      <c r="P402"/>
      <c r="T402"/>
      <c r="X402"/>
    </row>
    <row r="403" spans="2:25" x14ac:dyDescent="0.2">
      <c r="B403" s="33"/>
      <c r="C403" s="4" t="s">
        <v>744</v>
      </c>
      <c r="D403" s="4" t="s">
        <v>856</v>
      </c>
      <c r="E403" s="4" t="s">
        <v>239</v>
      </c>
      <c r="F403" s="4" t="str">
        <f t="shared" si="19"/>
        <v>Hilti HIT-MM Plus + HIS ¾"</v>
      </c>
      <c r="G403" s="136">
        <f>(6/8)*25.4</f>
        <v>19.049999999999997</v>
      </c>
      <c r="H403" s="136">
        <f>(20/16)*25.4</f>
        <v>31.75</v>
      </c>
      <c r="I403" s="136"/>
      <c r="J403" s="137" t="s">
        <v>2</v>
      </c>
      <c r="K403" s="137"/>
      <c r="L403" s="136"/>
      <c r="M403" s="34"/>
      <c r="P403"/>
      <c r="T403"/>
      <c r="X403"/>
    </row>
    <row r="404" spans="2:25" x14ac:dyDescent="0.2">
      <c r="B404" s="33"/>
      <c r="C404" s="4" t="s">
        <v>744</v>
      </c>
      <c r="D404" s="4" t="s">
        <v>856</v>
      </c>
      <c r="E404" s="4" t="s">
        <v>235</v>
      </c>
      <c r="F404" s="4" t="str">
        <f t="shared" si="19"/>
        <v>Hilti HIT-MM Plus + HIS-R ⅜" (316SS)</v>
      </c>
      <c r="G404" s="136">
        <f>(3/8)*25.4</f>
        <v>9.5249999999999986</v>
      </c>
      <c r="H404" s="136">
        <f>(11/16)*25.4</f>
        <v>17.462499999999999</v>
      </c>
      <c r="I404" s="136"/>
      <c r="J404" s="137" t="s">
        <v>2</v>
      </c>
      <c r="K404" s="137"/>
      <c r="L404" s="136"/>
      <c r="M404" s="34"/>
      <c r="P404"/>
      <c r="T404"/>
      <c r="X404"/>
    </row>
    <row r="405" spans="2:25" x14ac:dyDescent="0.2">
      <c r="B405" s="33"/>
      <c r="C405" s="4" t="s">
        <v>744</v>
      </c>
      <c r="D405" s="4" t="s">
        <v>856</v>
      </c>
      <c r="E405" s="4" t="s">
        <v>234</v>
      </c>
      <c r="F405" s="4" t="str">
        <f t="shared" si="19"/>
        <v>Hilti HIT-MM Plus + HIS-R ½" (316SS)</v>
      </c>
      <c r="G405" s="136">
        <f>(4/8)*25.4</f>
        <v>12.7</v>
      </c>
      <c r="H405" s="136">
        <f>(14/16)*25.4</f>
        <v>22.224999999999998</v>
      </c>
      <c r="I405" s="136"/>
      <c r="J405" s="137" t="s">
        <v>2</v>
      </c>
      <c r="K405" s="137"/>
      <c r="L405" s="136"/>
      <c r="M405" s="34"/>
      <c r="P405"/>
      <c r="T405"/>
      <c r="X405"/>
    </row>
    <row r="406" spans="2:25" x14ac:dyDescent="0.2">
      <c r="B406" s="33"/>
      <c r="C406" s="4" t="s">
        <v>744</v>
      </c>
      <c r="D406" s="4" t="s">
        <v>856</v>
      </c>
      <c r="E406" s="4" t="s">
        <v>237</v>
      </c>
      <c r="F406" s="4" t="str">
        <f t="shared" si="19"/>
        <v>Hilti HIT-MM Plus + HIS-R ⅝" (316SS)</v>
      </c>
      <c r="G406" s="136">
        <f>(5/8)*25.4</f>
        <v>15.875</v>
      </c>
      <c r="H406" s="136">
        <f>(18/16)*25.4</f>
        <v>28.574999999999999</v>
      </c>
      <c r="I406" s="136"/>
      <c r="J406" s="137" t="s">
        <v>2</v>
      </c>
      <c r="K406" s="137"/>
      <c r="L406" s="136"/>
      <c r="M406" s="34"/>
      <c r="P406"/>
      <c r="S406"/>
      <c r="T406"/>
      <c r="U406"/>
      <c r="X406"/>
    </row>
    <row r="407" spans="2:25" x14ac:dyDescent="0.2">
      <c r="B407" s="33"/>
      <c r="C407" s="4" t="s">
        <v>744</v>
      </c>
      <c r="D407" s="4" t="s">
        <v>856</v>
      </c>
      <c r="E407" s="4" t="s">
        <v>240</v>
      </c>
      <c r="F407" s="4" t="str">
        <f t="shared" si="19"/>
        <v>Hilti HIT-MM Plus + HIS-R ¾" (316SS)</v>
      </c>
      <c r="G407" s="136">
        <f>(6/8)*25.4</f>
        <v>19.049999999999997</v>
      </c>
      <c r="H407" s="136">
        <f>(20/16)*25.4</f>
        <v>31.75</v>
      </c>
      <c r="I407" s="136"/>
      <c r="J407" s="137" t="s">
        <v>2</v>
      </c>
      <c r="K407" s="137"/>
      <c r="L407" s="136"/>
      <c r="M407" s="34"/>
      <c r="P407"/>
      <c r="S407"/>
      <c r="T407"/>
      <c r="U407"/>
      <c r="X407"/>
    </row>
    <row r="408" spans="2:25" x14ac:dyDescent="0.2">
      <c r="B408" s="33"/>
      <c r="C408" s="4" t="s">
        <v>744</v>
      </c>
      <c r="D408" s="4"/>
      <c r="E408" s="39" t="s">
        <v>261</v>
      </c>
      <c r="F408" s="4" t="str">
        <f>E408</f>
        <v>--------------------</v>
      </c>
      <c r="G408" s="136"/>
      <c r="H408" s="136"/>
      <c r="I408" s="136"/>
      <c r="J408" s="137"/>
      <c r="K408" s="137"/>
      <c r="L408" s="136"/>
      <c r="M408" s="34"/>
      <c r="P408"/>
      <c r="S408"/>
      <c r="T408"/>
      <c r="U408"/>
      <c r="X408"/>
    </row>
    <row r="409" spans="2:25" x14ac:dyDescent="0.2">
      <c r="B409" s="33"/>
      <c r="C409" s="4" t="s">
        <v>744</v>
      </c>
      <c r="D409" s="4" t="s">
        <v>857</v>
      </c>
      <c r="E409" s="4" t="s">
        <v>733</v>
      </c>
      <c r="F409" s="4" t="str">
        <f t="shared" ref="F409:F417" si="20">CONCATENATE(C409," + ",E409)</f>
        <v>Hilti HIT-MM Plus + Rebar #2</v>
      </c>
      <c r="G409" s="136">
        <f>(2/8)*25.4</f>
        <v>6.35</v>
      </c>
      <c r="H409" s="136">
        <f>(6/16)*25.4</f>
        <v>9.5249999999999986</v>
      </c>
      <c r="I409" s="136"/>
      <c r="J409" s="137">
        <v>0.51749999999999996</v>
      </c>
      <c r="K409" s="137"/>
      <c r="L409" s="136"/>
      <c r="M409" s="34"/>
      <c r="P409"/>
      <c r="S409"/>
      <c r="T409"/>
      <c r="U409"/>
      <c r="X409"/>
    </row>
    <row r="410" spans="2:25" x14ac:dyDescent="0.2">
      <c r="B410" s="33"/>
      <c r="C410" s="4" t="s">
        <v>744</v>
      </c>
      <c r="D410" s="4" t="s">
        <v>857</v>
      </c>
      <c r="E410" s="4" t="s">
        <v>262</v>
      </c>
      <c r="F410" s="4" t="str">
        <f t="shared" si="20"/>
        <v>Hilti HIT-MM Plus + Rebar #3</v>
      </c>
      <c r="G410" s="136">
        <f>(3/8)*25.4</f>
        <v>9.5249999999999986</v>
      </c>
      <c r="H410" s="136">
        <f>(8/16)*25.4</f>
        <v>12.7</v>
      </c>
      <c r="I410" s="136"/>
      <c r="J410" s="137">
        <v>0.70967599999999997</v>
      </c>
      <c r="K410" s="137"/>
      <c r="L410" s="136"/>
      <c r="M410" s="34"/>
      <c r="P410"/>
      <c r="S410"/>
      <c r="T410"/>
      <c r="U410"/>
      <c r="X410"/>
    </row>
    <row r="411" spans="2:25" x14ac:dyDescent="0.2">
      <c r="B411" s="33"/>
      <c r="C411" s="4" t="s">
        <v>744</v>
      </c>
      <c r="D411" s="4" t="s">
        <v>857</v>
      </c>
      <c r="E411" s="4" t="s">
        <v>263</v>
      </c>
      <c r="F411" s="4" t="str">
        <f t="shared" si="20"/>
        <v>Hilti HIT-MM Plus + Rebar #4</v>
      </c>
      <c r="G411" s="136">
        <f>(4/8)*25.4</f>
        <v>12.7</v>
      </c>
      <c r="H411" s="136">
        <f>(10/16)*25.4</f>
        <v>15.875</v>
      </c>
      <c r="I411" s="136"/>
      <c r="J411" s="137">
        <v>0.94193359999999993</v>
      </c>
      <c r="K411" s="137"/>
      <c r="L411" s="136"/>
      <c r="M411" s="34"/>
      <c r="P411"/>
      <c r="S411"/>
      <c r="T411"/>
      <c r="U411"/>
      <c r="X411"/>
    </row>
    <row r="412" spans="2:25" x14ac:dyDescent="0.2">
      <c r="B412" s="33"/>
      <c r="C412" s="4" t="s">
        <v>744</v>
      </c>
      <c r="D412" s="4" t="s">
        <v>857</v>
      </c>
      <c r="E412" s="4" t="s">
        <v>264</v>
      </c>
      <c r="F412" s="4" t="str">
        <f t="shared" si="20"/>
        <v>Hilti HIT-MM Plus + Rebar #5</v>
      </c>
      <c r="G412" s="136">
        <f>(5/8)*25.4</f>
        <v>15.875</v>
      </c>
      <c r="H412" s="136">
        <f>(12/16)*25.4</f>
        <v>19.049999999999997</v>
      </c>
      <c r="I412" s="136"/>
      <c r="J412" s="137">
        <v>1.1354815999999996</v>
      </c>
      <c r="K412" s="137"/>
      <c r="L412" s="136"/>
      <c r="M412" s="34"/>
      <c r="P412"/>
      <c r="S412"/>
      <c r="T412"/>
      <c r="U412"/>
      <c r="X412"/>
    </row>
    <row r="413" spans="2:25" x14ac:dyDescent="0.2">
      <c r="B413" s="33"/>
      <c r="C413" s="4" t="s">
        <v>744</v>
      </c>
      <c r="D413" s="4" t="s">
        <v>857</v>
      </c>
      <c r="E413" s="4" t="s">
        <v>265</v>
      </c>
      <c r="F413" s="4" t="str">
        <f t="shared" si="20"/>
        <v>Hilti HIT-MM Plus + Rebar #6</v>
      </c>
      <c r="G413" s="136">
        <f>(6/8)*25.4</f>
        <v>19.049999999999997</v>
      </c>
      <c r="H413" s="136">
        <f>(14/16)*25.4</f>
        <v>22.224999999999998</v>
      </c>
      <c r="I413" s="136"/>
      <c r="J413" s="137">
        <v>1.4064487999999999</v>
      </c>
      <c r="K413" s="137"/>
      <c r="L413" s="136"/>
      <c r="M413" s="34"/>
      <c r="P413"/>
      <c r="S413"/>
      <c r="T413"/>
      <c r="U413"/>
      <c r="X413"/>
    </row>
    <row r="414" spans="2:25" x14ac:dyDescent="0.2">
      <c r="B414" s="33"/>
      <c r="C414" s="4" t="s">
        <v>744</v>
      </c>
      <c r="D414" s="4" t="s">
        <v>857</v>
      </c>
      <c r="E414" s="4" t="s">
        <v>266</v>
      </c>
      <c r="F414" s="4" t="str">
        <f t="shared" si="20"/>
        <v>Hilti HIT-MM Plus + Rebar #7</v>
      </c>
      <c r="G414" s="136">
        <f>(7/8)*25.4</f>
        <v>22.224999999999998</v>
      </c>
      <c r="H414" s="136">
        <f>(16/16)*25.4</f>
        <v>25.4</v>
      </c>
      <c r="I414" s="136"/>
      <c r="J414" s="137">
        <v>1.6258031999999998</v>
      </c>
      <c r="K414" s="137"/>
      <c r="L414" s="136"/>
      <c r="M414" s="34"/>
      <c r="P414"/>
      <c r="S414"/>
      <c r="T414"/>
      <c r="U414"/>
      <c r="W414"/>
      <c r="X414"/>
      <c r="Y414"/>
    </row>
    <row r="415" spans="2:25" x14ac:dyDescent="0.2">
      <c r="B415" s="33"/>
      <c r="C415" s="4" t="s">
        <v>744</v>
      </c>
      <c r="D415" s="4" t="s">
        <v>857</v>
      </c>
      <c r="E415" s="4" t="s">
        <v>267</v>
      </c>
      <c r="F415" s="4" t="str">
        <f t="shared" si="20"/>
        <v>Hilti HIT-MM Plus + Rebar #8</v>
      </c>
      <c r="G415" s="136">
        <f>(8/8)*25.4</f>
        <v>25.4</v>
      </c>
      <c r="H415" s="136">
        <f>(18/16)*25.4</f>
        <v>28.574999999999999</v>
      </c>
      <c r="I415" s="136"/>
      <c r="J415" s="137">
        <v>3.4193479999999998</v>
      </c>
      <c r="K415" s="137"/>
      <c r="L415" s="136"/>
      <c r="M415" s="34"/>
      <c r="P415"/>
      <c r="S415"/>
      <c r="T415"/>
      <c r="U415"/>
      <c r="W415"/>
      <c r="X415"/>
      <c r="Y415"/>
    </row>
    <row r="416" spans="2:25" x14ac:dyDescent="0.2">
      <c r="B416" s="33"/>
      <c r="C416" s="4" t="s">
        <v>744</v>
      </c>
      <c r="D416" s="4" t="s">
        <v>857</v>
      </c>
      <c r="E416" s="4" t="s">
        <v>269</v>
      </c>
      <c r="F416" s="4" t="str">
        <f t="shared" si="20"/>
        <v>Hilti HIT-MM Plus + Rebar #9</v>
      </c>
      <c r="G416" s="136">
        <f>(9/8)*25.4</f>
        <v>28.574999999999999</v>
      </c>
      <c r="H416" s="136">
        <f>(20/16)*25.4</f>
        <v>31.75</v>
      </c>
      <c r="I416" s="136"/>
      <c r="J416" s="137">
        <v>3.8774115999999998</v>
      </c>
      <c r="K416" s="137"/>
      <c r="L416" s="136"/>
      <c r="M416" s="34"/>
      <c r="P416"/>
      <c r="S416"/>
      <c r="T416"/>
      <c r="U416"/>
      <c r="W416"/>
      <c r="X416"/>
      <c r="Y416"/>
    </row>
    <row r="417" spans="2:25" x14ac:dyDescent="0.2">
      <c r="B417" s="33"/>
      <c r="C417" s="4" t="s">
        <v>744</v>
      </c>
      <c r="D417" s="4" t="s">
        <v>857</v>
      </c>
      <c r="E417" s="4" t="s">
        <v>268</v>
      </c>
      <c r="F417" s="4" t="str">
        <f t="shared" si="20"/>
        <v>Hilti HIT-MM Plus + Rebar #10</v>
      </c>
      <c r="G417" s="136">
        <f>(10/8)*25.4</f>
        <v>31.75</v>
      </c>
      <c r="H417" s="136">
        <f>(22/16)*25.4</f>
        <v>34.924999999999997</v>
      </c>
      <c r="I417" s="136"/>
      <c r="J417" s="137">
        <v>4.2516043999999997</v>
      </c>
      <c r="K417" s="137"/>
      <c r="L417" s="136"/>
      <c r="M417" s="34"/>
      <c r="P417"/>
      <c r="R417"/>
      <c r="S417"/>
      <c r="T417"/>
      <c r="U417"/>
      <c r="V417"/>
      <c r="W417"/>
      <c r="X417"/>
      <c r="Y417"/>
    </row>
    <row r="418" spans="2:25" x14ac:dyDescent="0.2">
      <c r="B418" s="33"/>
      <c r="C418" s="4" t="s">
        <v>744</v>
      </c>
      <c r="D418" s="4"/>
      <c r="E418" s="39" t="s">
        <v>261</v>
      </c>
      <c r="F418" s="4" t="str">
        <f>E418</f>
        <v>--------------------</v>
      </c>
      <c r="G418" s="136"/>
      <c r="H418" s="136"/>
      <c r="I418" s="136"/>
      <c r="J418" s="137"/>
      <c r="K418" s="137"/>
      <c r="L418" s="136"/>
      <c r="M418" s="34"/>
      <c r="P418"/>
      <c r="R418"/>
      <c r="S418"/>
      <c r="T418"/>
      <c r="U418"/>
      <c r="V418"/>
      <c r="W418"/>
      <c r="X418"/>
      <c r="Y418"/>
    </row>
    <row r="419" spans="2:25" x14ac:dyDescent="0.2">
      <c r="B419" s="33"/>
      <c r="C419" s="4" t="s">
        <v>744</v>
      </c>
      <c r="D419" s="4"/>
      <c r="E419" s="4" t="s">
        <v>223</v>
      </c>
      <c r="F419" s="4" t="str">
        <f t="shared" ref="F419:F428" si="21">CONCATENATE(C419," + ",E419)</f>
        <v>Hilti HIT-MM Plus + HIT-SC 12 x 50</v>
      </c>
      <c r="G419" s="136">
        <f t="shared" ref="G419:G482" si="22">(3/8)*25.4</f>
        <v>9.5249999999999986</v>
      </c>
      <c r="H419" s="136">
        <f t="shared" ref="H419:H482" si="23">(7/16)*25.4</f>
        <v>11.112499999999999</v>
      </c>
      <c r="I419" s="136"/>
      <c r="J419" s="137">
        <f>12/5</f>
        <v>2.4</v>
      </c>
      <c r="K419" s="137"/>
      <c r="L419" s="136"/>
      <c r="M419" s="34"/>
      <c r="P419"/>
      <c r="R419"/>
      <c r="S419"/>
      <c r="T419"/>
      <c r="U419"/>
      <c r="V419"/>
      <c r="W419"/>
      <c r="X419"/>
      <c r="Y419"/>
    </row>
    <row r="420" spans="2:25" x14ac:dyDescent="0.2">
      <c r="B420" s="33"/>
      <c r="C420" s="4" t="s">
        <v>744</v>
      </c>
      <c r="D420" s="4"/>
      <c r="E420" s="4" t="s">
        <v>224</v>
      </c>
      <c r="F420" s="4" t="str">
        <f t="shared" si="21"/>
        <v>Hilti HIT-MM Plus + HIT-SC 12 x 85</v>
      </c>
      <c r="G420" s="136">
        <f t="shared" si="22"/>
        <v>9.5249999999999986</v>
      </c>
      <c r="H420" s="136">
        <f t="shared" si="23"/>
        <v>11.112499999999999</v>
      </c>
      <c r="I420" s="136"/>
      <c r="J420" s="137">
        <f>24/8.5</f>
        <v>2.8235294117647061</v>
      </c>
      <c r="K420" s="137"/>
      <c r="L420" s="136"/>
      <c r="M420" s="34"/>
      <c r="P420"/>
      <c r="R420"/>
      <c r="T420"/>
      <c r="V420"/>
      <c r="W420"/>
      <c r="X420"/>
      <c r="Y420"/>
    </row>
    <row r="421" spans="2:25" x14ac:dyDescent="0.2">
      <c r="B421" s="33"/>
      <c r="C421" s="4" t="s">
        <v>744</v>
      </c>
      <c r="D421" s="4"/>
      <c r="E421" s="4" t="s">
        <v>225</v>
      </c>
      <c r="F421" s="4" t="str">
        <f t="shared" si="21"/>
        <v>Hilti HIT-MM Plus + HIT-SC 16 x 50</v>
      </c>
      <c r="G421" s="136">
        <f t="shared" si="22"/>
        <v>9.5249999999999986</v>
      </c>
      <c r="H421" s="136">
        <f t="shared" si="23"/>
        <v>11.112499999999999</v>
      </c>
      <c r="I421" s="136"/>
      <c r="J421" s="137">
        <f>18/5</f>
        <v>3.6</v>
      </c>
      <c r="K421" s="137"/>
      <c r="L421" s="136"/>
      <c r="M421" s="34"/>
      <c r="P421"/>
      <c r="R421"/>
      <c r="T421"/>
      <c r="V421"/>
      <c r="W421"/>
      <c r="X421"/>
      <c r="Y421"/>
    </row>
    <row r="422" spans="2:25" x14ac:dyDescent="0.2">
      <c r="B422" s="33"/>
      <c r="C422" s="4" t="s">
        <v>744</v>
      </c>
      <c r="D422" s="4"/>
      <c r="E422" s="4" t="s">
        <v>226</v>
      </c>
      <c r="F422" s="4" t="str">
        <f t="shared" si="21"/>
        <v>Hilti HIT-MM Plus + HIT-SC 16 x 85</v>
      </c>
      <c r="G422" s="136">
        <f t="shared" si="22"/>
        <v>9.5249999999999986</v>
      </c>
      <c r="H422" s="136">
        <f t="shared" si="23"/>
        <v>11.112499999999999</v>
      </c>
      <c r="I422" s="136"/>
      <c r="J422" s="137">
        <f>30/8.5</f>
        <v>3.5294117647058822</v>
      </c>
      <c r="K422" s="137"/>
      <c r="L422" s="136"/>
      <c r="M422" s="34"/>
      <c r="P422"/>
      <c r="R422"/>
      <c r="T422"/>
      <c r="V422"/>
      <c r="W422"/>
      <c r="X422"/>
      <c r="Y422"/>
    </row>
    <row r="423" spans="2:25" x14ac:dyDescent="0.2">
      <c r="B423" s="33"/>
      <c r="C423" s="4" t="s">
        <v>744</v>
      </c>
      <c r="D423" s="4"/>
      <c r="E423" s="4" t="s">
        <v>227</v>
      </c>
      <c r="F423" s="4" t="str">
        <f t="shared" si="21"/>
        <v>Hilti HIT-MM Plus + HIT-SC 18 x 50</v>
      </c>
      <c r="G423" s="136">
        <f t="shared" si="22"/>
        <v>9.5249999999999986</v>
      </c>
      <c r="H423" s="136">
        <f t="shared" si="23"/>
        <v>11.112499999999999</v>
      </c>
      <c r="I423" s="136"/>
      <c r="J423" s="137">
        <f>18/5</f>
        <v>3.6</v>
      </c>
      <c r="K423" s="137"/>
      <c r="L423" s="136"/>
      <c r="M423" s="34"/>
      <c r="P423"/>
      <c r="R423"/>
      <c r="T423"/>
      <c r="V423"/>
      <c r="W423"/>
      <c r="X423"/>
      <c r="Y423"/>
    </row>
    <row r="424" spans="2:25" x14ac:dyDescent="0.2">
      <c r="B424" s="33"/>
      <c r="C424" s="4" t="s">
        <v>744</v>
      </c>
      <c r="D424" s="4"/>
      <c r="E424" s="4" t="s">
        <v>228</v>
      </c>
      <c r="F424" s="4" t="str">
        <f t="shared" si="21"/>
        <v>Hilti HIT-MM Plus + HIT-SC 18 x 85</v>
      </c>
      <c r="G424" s="136">
        <f t="shared" si="22"/>
        <v>9.5249999999999986</v>
      </c>
      <c r="H424" s="136">
        <f t="shared" si="23"/>
        <v>11.112499999999999</v>
      </c>
      <c r="I424" s="136"/>
      <c r="J424" s="137">
        <f>36/8.5</f>
        <v>4.2352941176470589</v>
      </c>
      <c r="K424" s="137"/>
      <c r="L424" s="136"/>
      <c r="M424" s="34"/>
      <c r="P424"/>
      <c r="R424"/>
      <c r="T424"/>
      <c r="V424"/>
      <c r="W424"/>
      <c r="X424"/>
      <c r="Y424"/>
    </row>
    <row r="425" spans="2:25" x14ac:dyDescent="0.2">
      <c r="B425" s="33"/>
      <c r="C425" s="4" t="s">
        <v>744</v>
      </c>
      <c r="D425" s="4"/>
      <c r="E425" s="4" t="s">
        <v>229</v>
      </c>
      <c r="F425" s="4" t="str">
        <f t="shared" si="21"/>
        <v>Hilti HIT-MM Plus + HIT-SC 22 x 50</v>
      </c>
      <c r="G425" s="136">
        <f t="shared" si="22"/>
        <v>9.5249999999999986</v>
      </c>
      <c r="H425" s="136">
        <f t="shared" si="23"/>
        <v>11.112499999999999</v>
      </c>
      <c r="I425" s="136"/>
      <c r="J425" s="137">
        <f>30/8.5</f>
        <v>3.5294117647058822</v>
      </c>
      <c r="K425" s="137"/>
      <c r="L425" s="136"/>
      <c r="M425" s="34"/>
      <c r="P425"/>
      <c r="R425"/>
      <c r="T425"/>
      <c r="V425"/>
      <c r="W425"/>
      <c r="X425"/>
      <c r="Y425"/>
    </row>
    <row r="426" spans="2:25" x14ac:dyDescent="0.2">
      <c r="B426" s="33"/>
      <c r="C426" s="4" t="s">
        <v>744</v>
      </c>
      <c r="D426" s="4"/>
      <c r="E426" s="4" t="s">
        <v>230</v>
      </c>
      <c r="F426" s="4" t="str">
        <f t="shared" si="21"/>
        <v>Hilti HIT-MM Plus + HIT-SC 22 x 85</v>
      </c>
      <c r="G426" s="136">
        <f t="shared" si="22"/>
        <v>9.5249999999999986</v>
      </c>
      <c r="H426" s="136">
        <f t="shared" si="23"/>
        <v>11.112499999999999</v>
      </c>
      <c r="I426" s="136"/>
      <c r="J426" s="137">
        <f>55/8.5</f>
        <v>6.4705882352941178</v>
      </c>
      <c r="K426" s="137"/>
      <c r="L426" s="136"/>
      <c r="M426" s="34"/>
      <c r="P426"/>
      <c r="R426"/>
      <c r="T426"/>
      <c r="V426"/>
      <c r="W426"/>
      <c r="X426"/>
      <c r="Y426"/>
    </row>
    <row r="427" spans="2:25" x14ac:dyDescent="0.2">
      <c r="B427" s="33"/>
      <c r="C427" s="4" t="s">
        <v>744</v>
      </c>
      <c r="D427" s="4"/>
      <c r="E427" s="4" t="s">
        <v>231</v>
      </c>
      <c r="F427" s="4" t="str">
        <f t="shared" si="21"/>
        <v>Hilti HIT-MM Plus + HIT-SC 26 x 125</v>
      </c>
      <c r="G427" s="136">
        <f t="shared" si="22"/>
        <v>9.5249999999999986</v>
      </c>
      <c r="H427" s="136">
        <f t="shared" si="23"/>
        <v>11.112499999999999</v>
      </c>
      <c r="I427" s="136"/>
      <c r="J427" s="137" t="s">
        <v>2</v>
      </c>
      <c r="K427" s="137"/>
      <c r="L427" s="136"/>
      <c r="M427" s="34"/>
      <c r="P427"/>
      <c r="R427"/>
      <c r="T427"/>
      <c r="V427"/>
      <c r="W427"/>
      <c r="X427"/>
      <c r="Y427"/>
    </row>
    <row r="428" spans="2:25" x14ac:dyDescent="0.2">
      <c r="B428" s="33"/>
      <c r="C428" s="4" t="s">
        <v>744</v>
      </c>
      <c r="D428" s="4"/>
      <c r="E428" s="4" t="s">
        <v>232</v>
      </c>
      <c r="F428" s="4" t="str">
        <f t="shared" si="21"/>
        <v>Hilti HIT-MM Plus + HIT-SC 26 x 200</v>
      </c>
      <c r="G428" s="136">
        <f t="shared" si="22"/>
        <v>9.5249999999999986</v>
      </c>
      <c r="H428" s="136">
        <f t="shared" si="23"/>
        <v>11.112499999999999</v>
      </c>
      <c r="I428" s="136"/>
      <c r="J428" s="137" t="s">
        <v>2</v>
      </c>
      <c r="K428" s="137"/>
      <c r="L428" s="136"/>
      <c r="M428" s="34"/>
      <c r="P428"/>
      <c r="R428"/>
      <c r="T428"/>
      <c r="V428"/>
      <c r="X428"/>
    </row>
    <row r="429" spans="2:25" x14ac:dyDescent="0.2">
      <c r="B429" s="33"/>
      <c r="C429" s="4"/>
      <c r="D429" s="4"/>
      <c r="E429" s="39" t="s">
        <v>261</v>
      </c>
      <c r="F429" s="4" t="str">
        <f>E429</f>
        <v>--------------------</v>
      </c>
      <c r="G429" s="136"/>
      <c r="H429" s="136"/>
      <c r="I429" s="136"/>
      <c r="J429" s="137"/>
      <c r="K429" s="137"/>
      <c r="L429" s="136"/>
      <c r="M429" s="34"/>
      <c r="P429"/>
      <c r="R429"/>
      <c r="T429"/>
      <c r="V429"/>
      <c r="X429"/>
    </row>
    <row r="430" spans="2:25" x14ac:dyDescent="0.2">
      <c r="B430" s="33"/>
      <c r="C430" s="4" t="s">
        <v>822</v>
      </c>
      <c r="D430" s="4"/>
      <c r="E430" s="4" t="s">
        <v>765</v>
      </c>
      <c r="F430" s="4" t="str">
        <f>E430</f>
        <v>HCA ¼" x 1 ¾"</v>
      </c>
      <c r="G430" s="136">
        <f t="shared" si="22"/>
        <v>9.5249999999999986</v>
      </c>
      <c r="H430" s="136">
        <f t="shared" si="23"/>
        <v>11.112499999999999</v>
      </c>
      <c r="I430" s="136"/>
      <c r="J430" s="137" t="s">
        <v>2</v>
      </c>
      <c r="K430" s="137"/>
      <c r="L430" s="136"/>
      <c r="M430" s="34"/>
      <c r="O430"/>
      <c r="P430"/>
      <c r="Q430"/>
      <c r="R430"/>
      <c r="T430"/>
      <c r="V430"/>
      <c r="X430"/>
    </row>
    <row r="431" spans="2:25" x14ac:dyDescent="0.2">
      <c r="B431" s="33"/>
      <c r="C431" s="4" t="s">
        <v>822</v>
      </c>
      <c r="D431" s="4"/>
      <c r="E431" s="4" t="s">
        <v>766</v>
      </c>
      <c r="F431" s="4" t="str">
        <f t="shared" ref="F431:F494" si="24">E431</f>
        <v>HCA ¼" x 2 ½"</v>
      </c>
      <c r="G431" s="136">
        <f t="shared" si="22"/>
        <v>9.5249999999999986</v>
      </c>
      <c r="H431" s="136">
        <f t="shared" si="23"/>
        <v>11.112499999999999</v>
      </c>
      <c r="I431" s="136"/>
      <c r="J431" s="137" t="s">
        <v>2</v>
      </c>
      <c r="K431" s="137"/>
      <c r="L431" s="136"/>
      <c r="M431" s="34"/>
      <c r="O431"/>
      <c r="P431"/>
      <c r="Q431"/>
      <c r="T431"/>
      <c r="X431"/>
    </row>
    <row r="432" spans="2:25" x14ac:dyDescent="0.2">
      <c r="B432" s="33"/>
      <c r="C432" s="4" t="s">
        <v>822</v>
      </c>
      <c r="D432" s="4"/>
      <c r="E432" s="4" t="s">
        <v>767</v>
      </c>
      <c r="F432" s="4" t="str">
        <f t="shared" si="24"/>
        <v>HCA ¼" x 3 ½"</v>
      </c>
      <c r="G432" s="136">
        <f t="shared" si="22"/>
        <v>9.5249999999999986</v>
      </c>
      <c r="H432" s="136">
        <f t="shared" si="23"/>
        <v>11.112499999999999</v>
      </c>
      <c r="I432" s="136"/>
      <c r="J432" s="137" t="s">
        <v>2</v>
      </c>
      <c r="K432" s="137"/>
      <c r="L432" s="136"/>
      <c r="M432" s="34"/>
      <c r="O432"/>
      <c r="P432"/>
      <c r="Q432"/>
      <c r="T432"/>
      <c r="X432"/>
    </row>
    <row r="433" spans="2:24" x14ac:dyDescent="0.2">
      <c r="B433" s="33"/>
      <c r="C433" s="4" t="s">
        <v>822</v>
      </c>
      <c r="D433" s="4"/>
      <c r="E433" s="4" t="s">
        <v>98</v>
      </c>
      <c r="F433" s="4" t="str">
        <f t="shared" si="24"/>
        <v>HCA ⅜" x 2 ¼"</v>
      </c>
      <c r="G433" s="136">
        <f t="shared" si="22"/>
        <v>9.5249999999999986</v>
      </c>
      <c r="H433" s="136">
        <f t="shared" si="23"/>
        <v>11.112499999999999</v>
      </c>
      <c r="I433" s="136"/>
      <c r="J433" s="137" t="s">
        <v>2</v>
      </c>
      <c r="K433" s="137"/>
      <c r="L433" s="136"/>
      <c r="M433" s="34"/>
      <c r="O433"/>
      <c r="P433"/>
      <c r="Q433"/>
      <c r="T433"/>
      <c r="X433"/>
    </row>
    <row r="434" spans="2:24" x14ac:dyDescent="0.2">
      <c r="B434" s="33"/>
      <c r="C434" s="4" t="s">
        <v>822</v>
      </c>
      <c r="D434" s="4"/>
      <c r="E434" s="4" t="s">
        <v>99</v>
      </c>
      <c r="F434" s="4" t="str">
        <f t="shared" si="24"/>
        <v>HCA ⅜" x 3"</v>
      </c>
      <c r="G434" s="136">
        <f t="shared" si="22"/>
        <v>9.5249999999999986</v>
      </c>
      <c r="H434" s="136">
        <f t="shared" si="23"/>
        <v>11.112499999999999</v>
      </c>
      <c r="I434" s="136"/>
      <c r="J434" s="137" t="s">
        <v>2</v>
      </c>
      <c r="K434" s="137"/>
      <c r="L434" s="136"/>
      <c r="M434" s="34"/>
      <c r="O434"/>
      <c r="P434"/>
      <c r="Q434"/>
      <c r="T434"/>
      <c r="X434"/>
    </row>
    <row r="435" spans="2:24" x14ac:dyDescent="0.2">
      <c r="B435" s="33"/>
      <c r="C435" s="4" t="s">
        <v>822</v>
      </c>
      <c r="D435" s="4"/>
      <c r="E435" s="4" t="s">
        <v>100</v>
      </c>
      <c r="F435" s="4" t="str">
        <f t="shared" si="24"/>
        <v>HCA ⅜" x 5"</v>
      </c>
      <c r="G435" s="136">
        <f t="shared" si="22"/>
        <v>9.5249999999999986</v>
      </c>
      <c r="H435" s="136">
        <f t="shared" si="23"/>
        <v>11.112499999999999</v>
      </c>
      <c r="I435" s="136"/>
      <c r="J435" s="137" t="s">
        <v>2</v>
      </c>
      <c r="K435" s="137"/>
      <c r="L435" s="136"/>
      <c r="M435" s="34"/>
      <c r="O435"/>
      <c r="P435"/>
      <c r="Q435"/>
      <c r="T435"/>
      <c r="X435"/>
    </row>
    <row r="436" spans="2:24" x14ac:dyDescent="0.2">
      <c r="B436" s="33"/>
      <c r="C436" s="4" t="s">
        <v>822</v>
      </c>
      <c r="D436" s="4"/>
      <c r="E436" s="4" t="s">
        <v>78</v>
      </c>
      <c r="F436" s="4" t="str">
        <f t="shared" si="24"/>
        <v>HCA ½" x 3"</v>
      </c>
      <c r="G436" s="136">
        <f t="shared" si="22"/>
        <v>9.5249999999999986</v>
      </c>
      <c r="H436" s="136">
        <f t="shared" si="23"/>
        <v>11.112499999999999</v>
      </c>
      <c r="I436" s="136"/>
      <c r="J436" s="137" t="s">
        <v>2</v>
      </c>
      <c r="K436" s="137"/>
      <c r="L436" s="136"/>
      <c r="M436" s="34"/>
      <c r="O436"/>
      <c r="P436"/>
      <c r="Q436"/>
      <c r="T436"/>
      <c r="X436"/>
    </row>
    <row r="437" spans="2:24" x14ac:dyDescent="0.2">
      <c r="B437" s="33"/>
      <c r="C437" s="4" t="s">
        <v>822</v>
      </c>
      <c r="D437" s="4"/>
      <c r="E437" s="4" t="s">
        <v>79</v>
      </c>
      <c r="F437" s="4" t="str">
        <f t="shared" si="24"/>
        <v>HCA ½" x 4"</v>
      </c>
      <c r="G437" s="136">
        <f t="shared" si="22"/>
        <v>9.5249999999999986</v>
      </c>
      <c r="H437" s="136">
        <f t="shared" si="23"/>
        <v>11.112499999999999</v>
      </c>
      <c r="I437" s="136"/>
      <c r="J437" s="137" t="s">
        <v>2</v>
      </c>
      <c r="K437" s="137"/>
      <c r="L437" s="136"/>
      <c r="M437" s="34"/>
      <c r="O437"/>
      <c r="P437"/>
      <c r="Q437"/>
      <c r="T437"/>
      <c r="X437"/>
    </row>
    <row r="438" spans="2:24" x14ac:dyDescent="0.2">
      <c r="B438" s="33"/>
      <c r="C438" s="4" t="s">
        <v>822</v>
      </c>
      <c r="D438" s="4"/>
      <c r="E438" s="4" t="s">
        <v>768</v>
      </c>
      <c r="F438" s="4" t="str">
        <f t="shared" si="24"/>
        <v>HCA ½" x 5 ½"</v>
      </c>
      <c r="G438" s="136">
        <f t="shared" si="22"/>
        <v>9.5249999999999986</v>
      </c>
      <c r="H438" s="136">
        <f t="shared" si="23"/>
        <v>11.112499999999999</v>
      </c>
      <c r="I438" s="136"/>
      <c r="J438" s="137" t="s">
        <v>2</v>
      </c>
      <c r="K438" s="137"/>
      <c r="L438" s="136"/>
      <c r="M438" s="34"/>
      <c r="O438"/>
      <c r="P438"/>
      <c r="Q438"/>
      <c r="T438"/>
      <c r="X438"/>
    </row>
    <row r="439" spans="2:24" x14ac:dyDescent="0.2">
      <c r="B439" s="33"/>
      <c r="C439" s="4" t="s">
        <v>822</v>
      </c>
      <c r="D439" s="4"/>
      <c r="E439" s="4" t="s">
        <v>80</v>
      </c>
      <c r="F439" s="4" t="str">
        <f t="shared" si="24"/>
        <v>HCA ½" x 7"</v>
      </c>
      <c r="G439" s="136">
        <f t="shared" si="22"/>
        <v>9.5249999999999986</v>
      </c>
      <c r="H439" s="136">
        <f t="shared" si="23"/>
        <v>11.112499999999999</v>
      </c>
      <c r="I439" s="136"/>
      <c r="J439" s="137" t="s">
        <v>2</v>
      </c>
      <c r="K439" s="137"/>
      <c r="L439" s="136"/>
      <c r="M439" s="34"/>
      <c r="O439"/>
      <c r="P439"/>
      <c r="Q439"/>
      <c r="T439"/>
      <c r="X439"/>
    </row>
    <row r="440" spans="2:24" x14ac:dyDescent="0.2">
      <c r="B440" s="33"/>
      <c r="C440" s="4" t="s">
        <v>822</v>
      </c>
      <c r="D440" s="4"/>
      <c r="E440" s="4" t="s">
        <v>769</v>
      </c>
      <c r="F440" s="4" t="str">
        <f t="shared" si="24"/>
        <v>HCA ⅝" x 3 ½"</v>
      </c>
      <c r="G440" s="136">
        <f t="shared" si="22"/>
        <v>9.5249999999999986</v>
      </c>
      <c r="H440" s="136">
        <f t="shared" si="23"/>
        <v>11.112499999999999</v>
      </c>
      <c r="I440" s="136"/>
      <c r="J440" s="137" t="s">
        <v>2</v>
      </c>
      <c r="K440" s="137"/>
      <c r="L440" s="136"/>
      <c r="M440" s="34"/>
      <c r="O440"/>
      <c r="P440"/>
      <c r="Q440"/>
      <c r="T440"/>
      <c r="X440"/>
    </row>
    <row r="441" spans="2:24" x14ac:dyDescent="0.2">
      <c r="B441" s="33"/>
      <c r="C441" s="4" t="s">
        <v>822</v>
      </c>
      <c r="D441" s="4"/>
      <c r="E441" s="4" t="s">
        <v>76</v>
      </c>
      <c r="F441" s="4" t="str">
        <f t="shared" si="24"/>
        <v>HCA ⅝" x 5"</v>
      </c>
      <c r="G441" s="136">
        <f t="shared" si="22"/>
        <v>9.5249999999999986</v>
      </c>
      <c r="H441" s="136">
        <f t="shared" si="23"/>
        <v>11.112499999999999</v>
      </c>
      <c r="I441" s="136"/>
      <c r="J441" s="137" t="s">
        <v>2</v>
      </c>
      <c r="K441" s="137"/>
      <c r="L441" s="136"/>
      <c r="M441" s="34"/>
      <c r="O441"/>
      <c r="P441"/>
      <c r="Q441"/>
      <c r="T441"/>
      <c r="X441"/>
    </row>
    <row r="442" spans="2:24" x14ac:dyDescent="0.2">
      <c r="B442" s="33"/>
      <c r="C442" s="4" t="s">
        <v>822</v>
      </c>
      <c r="D442" s="4"/>
      <c r="E442" s="4" t="s">
        <v>77</v>
      </c>
      <c r="F442" s="4" t="str">
        <f t="shared" si="24"/>
        <v>HCA ⅝" x 8"</v>
      </c>
      <c r="G442" s="136">
        <f t="shared" si="22"/>
        <v>9.5249999999999986</v>
      </c>
      <c r="H442" s="136">
        <f t="shared" si="23"/>
        <v>11.112499999999999</v>
      </c>
      <c r="I442" s="136"/>
      <c r="J442" s="137" t="s">
        <v>2</v>
      </c>
      <c r="K442" s="137"/>
      <c r="L442" s="136"/>
      <c r="M442" s="34"/>
      <c r="O442"/>
      <c r="P442"/>
      <c r="Q442"/>
      <c r="T442"/>
      <c r="X442"/>
    </row>
    <row r="443" spans="2:24" x14ac:dyDescent="0.2">
      <c r="B443" s="33"/>
      <c r="C443" s="4" t="s">
        <v>822</v>
      </c>
      <c r="D443" s="4"/>
      <c r="E443" s="4" t="s">
        <v>74</v>
      </c>
      <c r="F443" s="4" t="str">
        <f t="shared" si="24"/>
        <v>HCA ¾" x 10"</v>
      </c>
      <c r="G443" s="136">
        <f t="shared" si="22"/>
        <v>9.5249999999999986</v>
      </c>
      <c r="H443" s="136">
        <f t="shared" si="23"/>
        <v>11.112499999999999</v>
      </c>
      <c r="I443" s="136"/>
      <c r="J443" s="137" t="s">
        <v>2</v>
      </c>
      <c r="K443" s="137"/>
      <c r="L443" s="136"/>
      <c r="M443" s="34"/>
      <c r="O443"/>
      <c r="P443"/>
      <c r="Q443"/>
      <c r="T443"/>
      <c r="X443"/>
    </row>
    <row r="444" spans="2:24" x14ac:dyDescent="0.2">
      <c r="B444" s="33"/>
      <c r="C444" s="4" t="s">
        <v>822</v>
      </c>
      <c r="D444" s="4"/>
      <c r="E444" s="4" t="s">
        <v>770</v>
      </c>
      <c r="F444" s="4" t="str">
        <f t="shared" si="24"/>
        <v>HCA ¾" x 4 ½"</v>
      </c>
      <c r="G444" s="136">
        <f t="shared" si="22"/>
        <v>9.5249999999999986</v>
      </c>
      <c r="H444" s="136">
        <f t="shared" si="23"/>
        <v>11.112499999999999</v>
      </c>
      <c r="I444" s="136"/>
      <c r="J444" s="137" t="s">
        <v>2</v>
      </c>
      <c r="K444" s="137"/>
      <c r="L444" s="136"/>
      <c r="M444" s="34"/>
      <c r="P444"/>
      <c r="T444"/>
      <c r="X444"/>
    </row>
    <row r="445" spans="2:24" x14ac:dyDescent="0.2">
      <c r="B445" s="33"/>
      <c r="C445" s="4" t="s">
        <v>822</v>
      </c>
      <c r="D445" s="4"/>
      <c r="E445" s="4" t="s">
        <v>75</v>
      </c>
      <c r="F445" s="4" t="str">
        <f t="shared" si="24"/>
        <v>HCA ¾" x 6"</v>
      </c>
      <c r="G445" s="136">
        <f t="shared" si="22"/>
        <v>9.5249999999999986</v>
      </c>
      <c r="H445" s="136">
        <f t="shared" si="23"/>
        <v>11.112499999999999</v>
      </c>
      <c r="I445" s="136"/>
      <c r="J445" s="137" t="s">
        <v>2</v>
      </c>
      <c r="K445" s="137"/>
      <c r="L445" s="136"/>
      <c r="M445" s="34"/>
      <c r="P445"/>
      <c r="T445"/>
      <c r="X445"/>
    </row>
    <row r="446" spans="2:24" x14ac:dyDescent="0.2">
      <c r="B446" s="33"/>
      <c r="C446" s="4"/>
      <c r="D446" s="4"/>
      <c r="E446" s="39" t="s">
        <v>261</v>
      </c>
      <c r="F446" s="4" t="str">
        <f t="shared" si="24"/>
        <v>--------------------</v>
      </c>
      <c r="G446" s="136"/>
      <c r="H446" s="136"/>
      <c r="I446" s="136"/>
      <c r="J446" s="137"/>
      <c r="K446" s="137"/>
      <c r="L446" s="136"/>
      <c r="M446" s="34"/>
      <c r="P446"/>
      <c r="T446"/>
      <c r="X446"/>
    </row>
    <row r="447" spans="2:24" x14ac:dyDescent="0.2">
      <c r="B447" s="33"/>
      <c r="C447" s="4" t="s">
        <v>823</v>
      </c>
      <c r="D447" s="4"/>
      <c r="E447" s="4" t="s">
        <v>63</v>
      </c>
      <c r="F447" s="4" t="str">
        <f t="shared" si="24"/>
        <v>HDA-P 20 M10 x 100/20</v>
      </c>
      <c r="G447" s="136">
        <f t="shared" si="22"/>
        <v>9.5249999999999986</v>
      </c>
      <c r="H447" s="136">
        <f t="shared" si="23"/>
        <v>11.112499999999999</v>
      </c>
      <c r="I447" s="136"/>
      <c r="J447" s="137" t="s">
        <v>2</v>
      </c>
      <c r="K447" s="137"/>
      <c r="L447" s="136"/>
      <c r="M447" s="34"/>
      <c r="P447"/>
      <c r="T447"/>
      <c r="X447"/>
    </row>
    <row r="448" spans="2:24" x14ac:dyDescent="0.2">
      <c r="B448" s="33"/>
      <c r="C448" s="4" t="s">
        <v>823</v>
      </c>
      <c r="D448" s="4"/>
      <c r="E448" s="4" t="s">
        <v>64</v>
      </c>
      <c r="F448" s="4" t="str">
        <f t="shared" si="24"/>
        <v>HDA-P 22 M12 x 125/30</v>
      </c>
      <c r="G448" s="136">
        <f t="shared" si="22"/>
        <v>9.5249999999999986</v>
      </c>
      <c r="H448" s="136">
        <f t="shared" si="23"/>
        <v>11.112499999999999</v>
      </c>
      <c r="I448" s="136"/>
      <c r="J448" s="137" t="s">
        <v>2</v>
      </c>
      <c r="K448" s="137"/>
      <c r="L448" s="136"/>
      <c r="M448" s="34"/>
      <c r="P448"/>
      <c r="T448"/>
      <c r="X448"/>
    </row>
    <row r="449" spans="2:24" x14ac:dyDescent="0.2">
      <c r="B449" s="33"/>
      <c r="C449" s="4" t="s">
        <v>823</v>
      </c>
      <c r="D449" s="4"/>
      <c r="E449" s="4" t="s">
        <v>65</v>
      </c>
      <c r="F449" s="4" t="str">
        <f t="shared" si="24"/>
        <v>HDA-P 22 M12 x 125/50</v>
      </c>
      <c r="G449" s="136">
        <f t="shared" si="22"/>
        <v>9.5249999999999986</v>
      </c>
      <c r="H449" s="136">
        <f t="shared" si="23"/>
        <v>11.112499999999999</v>
      </c>
      <c r="I449" s="136"/>
      <c r="J449" s="137" t="s">
        <v>2</v>
      </c>
      <c r="K449" s="137"/>
      <c r="L449" s="136"/>
      <c r="M449" s="34"/>
      <c r="P449"/>
      <c r="T449"/>
      <c r="X449"/>
    </row>
    <row r="450" spans="2:24" x14ac:dyDescent="0.2">
      <c r="B450" s="33"/>
      <c r="C450" s="4" t="s">
        <v>823</v>
      </c>
      <c r="D450" s="4"/>
      <c r="E450" s="4" t="s">
        <v>66</v>
      </c>
      <c r="F450" s="4" t="str">
        <f t="shared" si="24"/>
        <v>HDA-P 30 M16 x 190/40</v>
      </c>
      <c r="G450" s="136">
        <f t="shared" si="22"/>
        <v>9.5249999999999986</v>
      </c>
      <c r="H450" s="136">
        <f t="shared" si="23"/>
        <v>11.112499999999999</v>
      </c>
      <c r="I450" s="136"/>
      <c r="J450" s="137" t="s">
        <v>2</v>
      </c>
      <c r="K450" s="137"/>
      <c r="L450" s="136"/>
      <c r="M450" s="34"/>
      <c r="P450"/>
      <c r="T450"/>
      <c r="X450"/>
    </row>
    <row r="451" spans="2:24" x14ac:dyDescent="0.2">
      <c r="B451" s="33"/>
      <c r="C451" s="4" t="s">
        <v>823</v>
      </c>
      <c r="D451" s="4"/>
      <c r="E451" s="4" t="s">
        <v>67</v>
      </c>
      <c r="F451" s="4" t="str">
        <f t="shared" si="24"/>
        <v>HDA-P 30 M16 x 190/60</v>
      </c>
      <c r="G451" s="136">
        <f t="shared" si="22"/>
        <v>9.5249999999999986</v>
      </c>
      <c r="H451" s="136">
        <f t="shared" si="23"/>
        <v>11.112499999999999</v>
      </c>
      <c r="I451" s="136"/>
      <c r="J451" s="137" t="s">
        <v>2</v>
      </c>
      <c r="K451" s="137"/>
      <c r="L451" s="136"/>
      <c r="M451" s="34"/>
      <c r="P451"/>
      <c r="T451"/>
      <c r="X451"/>
    </row>
    <row r="452" spans="2:24" x14ac:dyDescent="0.2">
      <c r="B452" s="33"/>
      <c r="C452" s="4" t="s">
        <v>823</v>
      </c>
      <c r="D452" s="4"/>
      <c r="E452" s="4" t="s">
        <v>68</v>
      </c>
      <c r="F452" s="4" t="str">
        <f t="shared" si="24"/>
        <v>HDA-P 37-M20 x 250/50</v>
      </c>
      <c r="G452" s="136">
        <f t="shared" si="22"/>
        <v>9.5249999999999986</v>
      </c>
      <c r="H452" s="136">
        <f t="shared" si="23"/>
        <v>11.112499999999999</v>
      </c>
      <c r="I452" s="136"/>
      <c r="J452" s="137" t="s">
        <v>2</v>
      </c>
      <c r="K452" s="137"/>
      <c r="L452" s="136"/>
      <c r="M452" s="34"/>
      <c r="P452"/>
      <c r="T452"/>
      <c r="X452"/>
    </row>
    <row r="453" spans="2:24" x14ac:dyDescent="0.2">
      <c r="B453" s="33"/>
      <c r="C453" s="4" t="s">
        <v>823</v>
      </c>
      <c r="D453" s="4"/>
      <c r="E453" s="4" t="s">
        <v>69</v>
      </c>
      <c r="F453" s="4" t="str">
        <f t="shared" si="24"/>
        <v>HDA-PR 20-M10 x 100/20</v>
      </c>
      <c r="G453" s="136">
        <f t="shared" si="22"/>
        <v>9.5249999999999986</v>
      </c>
      <c r="H453" s="136">
        <f t="shared" si="23"/>
        <v>11.112499999999999</v>
      </c>
      <c r="I453" s="136"/>
      <c r="J453" s="137" t="s">
        <v>2</v>
      </c>
      <c r="K453" s="137"/>
      <c r="L453" s="136"/>
      <c r="M453" s="34"/>
      <c r="P453"/>
      <c r="T453"/>
      <c r="X453"/>
    </row>
    <row r="454" spans="2:24" x14ac:dyDescent="0.2">
      <c r="B454" s="33"/>
      <c r="C454" s="4" t="s">
        <v>823</v>
      </c>
      <c r="D454" s="4"/>
      <c r="E454" s="4" t="s">
        <v>70</v>
      </c>
      <c r="F454" s="4" t="str">
        <f t="shared" si="24"/>
        <v>HDA-PR 22-M12 x 125/30</v>
      </c>
      <c r="G454" s="136">
        <f t="shared" si="22"/>
        <v>9.5249999999999986</v>
      </c>
      <c r="H454" s="136">
        <f t="shared" si="23"/>
        <v>11.112499999999999</v>
      </c>
      <c r="I454" s="136"/>
      <c r="J454" s="137" t="s">
        <v>2</v>
      </c>
      <c r="K454" s="137"/>
      <c r="L454" s="136"/>
      <c r="M454" s="34"/>
      <c r="P454"/>
      <c r="T454"/>
      <c r="X454"/>
    </row>
    <row r="455" spans="2:24" x14ac:dyDescent="0.2">
      <c r="B455" s="33"/>
      <c r="C455" s="4" t="s">
        <v>823</v>
      </c>
      <c r="D455" s="4"/>
      <c r="E455" s="4" t="s">
        <v>71</v>
      </c>
      <c r="F455" s="4" t="str">
        <f t="shared" si="24"/>
        <v>HDA-PR 22-M12 x 125/50</v>
      </c>
      <c r="G455" s="136">
        <f t="shared" si="22"/>
        <v>9.5249999999999986</v>
      </c>
      <c r="H455" s="136">
        <f t="shared" si="23"/>
        <v>11.112499999999999</v>
      </c>
      <c r="I455" s="136"/>
      <c r="J455" s="137" t="s">
        <v>2</v>
      </c>
      <c r="K455" s="137"/>
      <c r="L455" s="136"/>
      <c r="M455" s="34"/>
      <c r="P455"/>
      <c r="T455"/>
      <c r="X455"/>
    </row>
    <row r="456" spans="2:24" x14ac:dyDescent="0.2">
      <c r="B456" s="33"/>
      <c r="C456" s="4" t="s">
        <v>823</v>
      </c>
      <c r="D456" s="4"/>
      <c r="E456" s="4" t="s">
        <v>72</v>
      </c>
      <c r="F456" s="4" t="str">
        <f t="shared" si="24"/>
        <v>HDA-PR 30-M16 x 190/40</v>
      </c>
      <c r="G456" s="136">
        <f t="shared" si="22"/>
        <v>9.5249999999999986</v>
      </c>
      <c r="H456" s="136">
        <f t="shared" si="23"/>
        <v>11.112499999999999</v>
      </c>
      <c r="I456" s="136"/>
      <c r="J456" s="137" t="s">
        <v>2</v>
      </c>
      <c r="K456" s="137"/>
      <c r="L456" s="136"/>
      <c r="M456" s="34"/>
      <c r="P456"/>
      <c r="T456"/>
      <c r="X456"/>
    </row>
    <row r="457" spans="2:24" x14ac:dyDescent="0.2">
      <c r="B457" s="33"/>
      <c r="C457" s="4" t="s">
        <v>823</v>
      </c>
      <c r="D457" s="4"/>
      <c r="E457" s="4" t="s">
        <v>73</v>
      </c>
      <c r="F457" s="4" t="str">
        <f t="shared" si="24"/>
        <v>HDA-PR 30-M16 x 190/60</v>
      </c>
      <c r="G457" s="136">
        <f t="shared" si="22"/>
        <v>9.5249999999999986</v>
      </c>
      <c r="H457" s="136">
        <f t="shared" si="23"/>
        <v>11.112499999999999</v>
      </c>
      <c r="I457" s="136"/>
      <c r="J457" s="137" t="s">
        <v>2</v>
      </c>
      <c r="K457" s="137"/>
      <c r="L457" s="136"/>
      <c r="M457" s="34"/>
      <c r="P457"/>
      <c r="T457"/>
      <c r="X457"/>
    </row>
    <row r="458" spans="2:24" x14ac:dyDescent="0.2">
      <c r="B458" s="33"/>
      <c r="C458" s="4" t="s">
        <v>823</v>
      </c>
      <c r="D458" s="4"/>
      <c r="E458" s="4" t="s">
        <v>7</v>
      </c>
      <c r="F458" s="4" t="str">
        <f t="shared" si="24"/>
        <v>HDA-T 20 M10 x 100/20</v>
      </c>
      <c r="G458" s="136">
        <f t="shared" si="22"/>
        <v>9.5249999999999986</v>
      </c>
      <c r="H458" s="136">
        <f t="shared" si="23"/>
        <v>11.112499999999999</v>
      </c>
      <c r="I458" s="136"/>
      <c r="J458" s="137" t="s">
        <v>2</v>
      </c>
      <c r="K458" s="137"/>
      <c r="L458" s="136"/>
      <c r="M458" s="34"/>
      <c r="P458"/>
      <c r="T458"/>
      <c r="X458"/>
    </row>
    <row r="459" spans="2:24" x14ac:dyDescent="0.2">
      <c r="B459" s="33"/>
      <c r="C459" s="4" t="s">
        <v>823</v>
      </c>
      <c r="D459" s="4"/>
      <c r="E459" s="4" t="s">
        <v>8</v>
      </c>
      <c r="F459" s="4" t="str">
        <f t="shared" si="24"/>
        <v>HDA-T 22 M12 x 125/30</v>
      </c>
      <c r="G459" s="136">
        <f t="shared" si="22"/>
        <v>9.5249999999999986</v>
      </c>
      <c r="H459" s="136">
        <f t="shared" si="23"/>
        <v>11.112499999999999</v>
      </c>
      <c r="I459" s="136"/>
      <c r="J459" s="137" t="s">
        <v>2</v>
      </c>
      <c r="K459" s="137"/>
      <c r="L459" s="136"/>
      <c r="M459" s="34"/>
      <c r="P459"/>
      <c r="T459"/>
      <c r="X459"/>
    </row>
    <row r="460" spans="2:24" x14ac:dyDescent="0.2">
      <c r="B460" s="33"/>
      <c r="C460" s="4" t="s">
        <v>823</v>
      </c>
      <c r="D460" s="4"/>
      <c r="E460" s="4" t="s">
        <v>6</v>
      </c>
      <c r="F460" s="4" t="str">
        <f t="shared" si="24"/>
        <v>HDA-T 22 M12 x 125/50</v>
      </c>
      <c r="G460" s="136">
        <f t="shared" si="22"/>
        <v>9.5249999999999986</v>
      </c>
      <c r="H460" s="136">
        <f t="shared" si="23"/>
        <v>11.112499999999999</v>
      </c>
      <c r="I460" s="136"/>
      <c r="J460" s="137" t="s">
        <v>2</v>
      </c>
      <c r="K460" s="137"/>
      <c r="L460" s="136"/>
      <c r="M460" s="34"/>
      <c r="P460"/>
      <c r="T460"/>
      <c r="X460"/>
    </row>
    <row r="461" spans="2:24" x14ac:dyDescent="0.2">
      <c r="B461" s="33"/>
      <c r="C461" s="4" t="s">
        <v>823</v>
      </c>
      <c r="D461" s="4"/>
      <c r="E461" s="4" t="s">
        <v>9</v>
      </c>
      <c r="F461" s="4" t="str">
        <f t="shared" si="24"/>
        <v>HDA-T 30 M16 x 190/40</v>
      </c>
      <c r="G461" s="136">
        <f t="shared" si="22"/>
        <v>9.5249999999999986</v>
      </c>
      <c r="H461" s="136">
        <f t="shared" si="23"/>
        <v>11.112499999999999</v>
      </c>
      <c r="I461" s="136"/>
      <c r="J461" s="137" t="s">
        <v>2</v>
      </c>
      <c r="K461" s="137"/>
      <c r="L461" s="136"/>
      <c r="M461" s="34"/>
      <c r="P461"/>
      <c r="T461"/>
      <c r="X461"/>
    </row>
    <row r="462" spans="2:24" x14ac:dyDescent="0.2">
      <c r="B462" s="33"/>
      <c r="C462" s="4" t="s">
        <v>823</v>
      </c>
      <c r="D462" s="4"/>
      <c r="E462" s="4" t="s">
        <v>10</v>
      </c>
      <c r="F462" s="4" t="str">
        <f t="shared" si="24"/>
        <v>HDA-T 30 M16 x 190/60</v>
      </c>
      <c r="G462" s="136">
        <f t="shared" si="22"/>
        <v>9.5249999999999986</v>
      </c>
      <c r="H462" s="136">
        <f t="shared" si="23"/>
        <v>11.112499999999999</v>
      </c>
      <c r="I462" s="136"/>
      <c r="J462" s="137" t="s">
        <v>2</v>
      </c>
      <c r="K462" s="137"/>
      <c r="L462" s="136"/>
      <c r="M462" s="34"/>
      <c r="P462"/>
      <c r="T462"/>
      <c r="X462"/>
    </row>
    <row r="463" spans="2:24" x14ac:dyDescent="0.2">
      <c r="B463" s="33"/>
      <c r="C463" s="4" t="s">
        <v>823</v>
      </c>
      <c r="D463" s="4"/>
      <c r="E463" s="4" t="s">
        <v>56</v>
      </c>
      <c r="F463" s="4" t="str">
        <f t="shared" si="24"/>
        <v>HDA-T 37-M20 x 250/100</v>
      </c>
      <c r="G463" s="136">
        <f t="shared" si="22"/>
        <v>9.5249999999999986</v>
      </c>
      <c r="H463" s="136">
        <f t="shared" si="23"/>
        <v>11.112499999999999</v>
      </c>
      <c r="I463" s="136"/>
      <c r="J463" s="137" t="s">
        <v>2</v>
      </c>
      <c r="K463" s="137"/>
      <c r="L463" s="136"/>
      <c r="M463" s="34"/>
      <c r="P463"/>
      <c r="T463"/>
      <c r="X463"/>
    </row>
    <row r="464" spans="2:24" x14ac:dyDescent="0.2">
      <c r="B464" s="33"/>
      <c r="C464" s="4" t="s">
        <v>823</v>
      </c>
      <c r="D464" s="4"/>
      <c r="E464" s="4" t="s">
        <v>57</v>
      </c>
      <c r="F464" s="4" t="str">
        <f t="shared" si="24"/>
        <v>HDA-T 37-M20 x 250/50</v>
      </c>
      <c r="G464" s="136">
        <f t="shared" si="22"/>
        <v>9.5249999999999986</v>
      </c>
      <c r="H464" s="136">
        <f t="shared" si="23"/>
        <v>11.112499999999999</v>
      </c>
      <c r="I464" s="136"/>
      <c r="J464" s="137" t="s">
        <v>2</v>
      </c>
      <c r="K464" s="137"/>
      <c r="L464" s="136"/>
      <c r="M464" s="34"/>
      <c r="P464"/>
      <c r="T464"/>
      <c r="X464"/>
    </row>
    <row r="465" spans="2:24" x14ac:dyDescent="0.2">
      <c r="B465" s="33"/>
      <c r="C465" s="4" t="s">
        <v>823</v>
      </c>
      <c r="D465" s="4"/>
      <c r="E465" s="4" t="s">
        <v>58</v>
      </c>
      <c r="F465" s="4" t="str">
        <f t="shared" si="24"/>
        <v>HDA-TR 20-M10 x 100/20</v>
      </c>
      <c r="G465" s="136">
        <f t="shared" si="22"/>
        <v>9.5249999999999986</v>
      </c>
      <c r="H465" s="136">
        <f t="shared" si="23"/>
        <v>11.112499999999999</v>
      </c>
      <c r="I465" s="136"/>
      <c r="J465" s="137" t="s">
        <v>2</v>
      </c>
      <c r="K465" s="137"/>
      <c r="L465" s="136"/>
      <c r="M465" s="34"/>
      <c r="P465"/>
      <c r="T465"/>
      <c r="X465"/>
    </row>
    <row r="466" spans="2:24" x14ac:dyDescent="0.2">
      <c r="B466" s="33"/>
      <c r="C466" s="4" t="s">
        <v>823</v>
      </c>
      <c r="D466" s="4"/>
      <c r="E466" s="4" t="s">
        <v>59</v>
      </c>
      <c r="F466" s="4" t="str">
        <f t="shared" si="24"/>
        <v>HDA-TR 22-M12 x 125/30</v>
      </c>
      <c r="G466" s="136">
        <f t="shared" si="22"/>
        <v>9.5249999999999986</v>
      </c>
      <c r="H466" s="136">
        <f t="shared" si="23"/>
        <v>11.112499999999999</v>
      </c>
      <c r="I466" s="136"/>
      <c r="J466" s="137" t="s">
        <v>2</v>
      </c>
      <c r="K466" s="137"/>
      <c r="L466" s="136"/>
      <c r="M466" s="34"/>
      <c r="P466"/>
      <c r="T466"/>
      <c r="X466"/>
    </row>
    <row r="467" spans="2:24" x14ac:dyDescent="0.2">
      <c r="B467" s="33"/>
      <c r="C467" s="4" t="s">
        <v>823</v>
      </c>
      <c r="D467" s="4"/>
      <c r="E467" s="4" t="s">
        <v>60</v>
      </c>
      <c r="F467" s="4" t="str">
        <f t="shared" si="24"/>
        <v>HDA-TR 22-M12 x 125/50</v>
      </c>
      <c r="G467" s="136">
        <f t="shared" si="22"/>
        <v>9.5249999999999986</v>
      </c>
      <c r="H467" s="136">
        <f t="shared" si="23"/>
        <v>11.112499999999999</v>
      </c>
      <c r="I467" s="136"/>
      <c r="J467" s="137" t="s">
        <v>2</v>
      </c>
      <c r="K467" s="137"/>
      <c r="L467" s="136"/>
      <c r="M467" s="34"/>
      <c r="P467"/>
      <c r="T467"/>
      <c r="X467"/>
    </row>
    <row r="468" spans="2:24" x14ac:dyDescent="0.2">
      <c r="B468" s="33"/>
      <c r="C468" s="4" t="s">
        <v>823</v>
      </c>
      <c r="D468" s="4"/>
      <c r="E468" s="4" t="s">
        <v>61</v>
      </c>
      <c r="F468" s="4" t="str">
        <f t="shared" si="24"/>
        <v>HDA-TR 30-M16 x 190/40</v>
      </c>
      <c r="G468" s="136">
        <f t="shared" si="22"/>
        <v>9.5249999999999986</v>
      </c>
      <c r="H468" s="136">
        <f t="shared" si="23"/>
        <v>11.112499999999999</v>
      </c>
      <c r="I468" s="136"/>
      <c r="J468" s="137" t="s">
        <v>2</v>
      </c>
      <c r="K468" s="137"/>
      <c r="L468" s="136"/>
      <c r="M468" s="34"/>
      <c r="P468"/>
      <c r="T468"/>
      <c r="X468"/>
    </row>
    <row r="469" spans="2:24" x14ac:dyDescent="0.2">
      <c r="B469" s="33"/>
      <c r="C469" s="4" t="s">
        <v>823</v>
      </c>
      <c r="D469" s="4"/>
      <c r="E469" s="4" t="s">
        <v>62</v>
      </c>
      <c r="F469" s="4" t="str">
        <f t="shared" si="24"/>
        <v>HDA-TR 30-M16 x 190/60</v>
      </c>
      <c r="G469" s="136">
        <f t="shared" si="22"/>
        <v>9.5249999999999986</v>
      </c>
      <c r="H469" s="136">
        <f t="shared" si="23"/>
        <v>11.112499999999999</v>
      </c>
      <c r="I469" s="136"/>
      <c r="J469" s="137" t="s">
        <v>2</v>
      </c>
      <c r="K469" s="137"/>
      <c r="L469" s="136"/>
      <c r="M469" s="34"/>
      <c r="P469"/>
      <c r="T469"/>
      <c r="X469"/>
    </row>
    <row r="470" spans="2:24" x14ac:dyDescent="0.2">
      <c r="B470" s="33"/>
      <c r="C470" s="4"/>
      <c r="D470" s="4"/>
      <c r="E470" s="39" t="s">
        <v>261</v>
      </c>
      <c r="F470" s="4" t="str">
        <f t="shared" si="24"/>
        <v>--------------------</v>
      </c>
      <c r="G470" s="136"/>
      <c r="H470" s="136"/>
      <c r="I470" s="136"/>
      <c r="J470" s="137"/>
      <c r="K470" s="137"/>
      <c r="L470" s="136"/>
      <c r="M470" s="34"/>
      <c r="P470"/>
      <c r="T470"/>
      <c r="X470"/>
    </row>
    <row r="471" spans="2:24" x14ac:dyDescent="0.2">
      <c r="B471" s="33"/>
      <c r="C471" s="4" t="s">
        <v>824</v>
      </c>
      <c r="D471" s="4"/>
      <c r="E471" s="4" t="s">
        <v>806</v>
      </c>
      <c r="F471" s="4" t="str">
        <f t="shared" si="24"/>
        <v>HDI+ ¼"</v>
      </c>
      <c r="G471" s="136">
        <f t="shared" si="22"/>
        <v>9.5249999999999986</v>
      </c>
      <c r="H471" s="136">
        <f t="shared" si="23"/>
        <v>11.112499999999999</v>
      </c>
      <c r="I471" s="136"/>
      <c r="J471" s="137" t="s">
        <v>2</v>
      </c>
      <c r="K471" s="137"/>
      <c r="L471" s="136"/>
      <c r="M471" s="34"/>
      <c r="P471"/>
      <c r="T471"/>
      <c r="X471"/>
    </row>
    <row r="472" spans="2:24" x14ac:dyDescent="0.2">
      <c r="B472" s="33"/>
      <c r="C472" s="4" t="s">
        <v>824</v>
      </c>
      <c r="D472" s="4"/>
      <c r="E472" s="4" t="s">
        <v>807</v>
      </c>
      <c r="F472" s="4" t="str">
        <f t="shared" si="24"/>
        <v>HDI+ ⅜"</v>
      </c>
      <c r="G472" s="136">
        <f t="shared" si="22"/>
        <v>9.5249999999999986</v>
      </c>
      <c r="H472" s="136">
        <f t="shared" si="23"/>
        <v>11.112499999999999</v>
      </c>
      <c r="I472" s="136"/>
      <c r="J472" s="137" t="s">
        <v>2</v>
      </c>
      <c r="K472" s="137"/>
      <c r="L472" s="136"/>
      <c r="M472" s="34"/>
      <c r="P472"/>
      <c r="T472"/>
      <c r="X472"/>
    </row>
    <row r="473" spans="2:24" x14ac:dyDescent="0.2">
      <c r="B473" s="33"/>
      <c r="C473" s="4" t="s">
        <v>824</v>
      </c>
      <c r="D473" s="4"/>
      <c r="E473" s="4" t="s">
        <v>106</v>
      </c>
      <c r="F473" s="4" t="str">
        <f t="shared" si="24"/>
        <v>HDI ½"</v>
      </c>
      <c r="G473" s="136">
        <f t="shared" si="22"/>
        <v>9.5249999999999986</v>
      </c>
      <c r="H473" s="136">
        <f t="shared" si="23"/>
        <v>11.112499999999999</v>
      </c>
      <c r="I473" s="136"/>
      <c r="J473" s="137" t="s">
        <v>2</v>
      </c>
      <c r="K473" s="137"/>
      <c r="L473" s="136"/>
      <c r="M473" s="34"/>
      <c r="P473"/>
      <c r="T473"/>
      <c r="X473"/>
    </row>
    <row r="474" spans="2:24" x14ac:dyDescent="0.2">
      <c r="B474" s="33"/>
      <c r="C474" s="4" t="s">
        <v>824</v>
      </c>
      <c r="D474" s="4"/>
      <c r="E474" s="4" t="s">
        <v>146</v>
      </c>
      <c r="F474" s="4" t="str">
        <f t="shared" si="24"/>
        <v>HDI ⅝"</v>
      </c>
      <c r="G474" s="136">
        <f t="shared" si="22"/>
        <v>9.5249999999999986</v>
      </c>
      <c r="H474" s="136">
        <f t="shared" si="23"/>
        <v>11.112499999999999</v>
      </c>
      <c r="I474" s="136"/>
      <c r="J474" s="137" t="s">
        <v>2</v>
      </c>
      <c r="K474" s="137"/>
      <c r="L474" s="136"/>
      <c r="M474" s="34"/>
      <c r="P474"/>
      <c r="T474"/>
      <c r="X474"/>
    </row>
    <row r="475" spans="2:24" x14ac:dyDescent="0.2">
      <c r="B475" s="33"/>
      <c r="C475" s="4" t="s">
        <v>824</v>
      </c>
      <c r="D475" s="4"/>
      <c r="E475" s="4" t="s">
        <v>109</v>
      </c>
      <c r="F475" s="4" t="str">
        <f t="shared" si="24"/>
        <v>HDI ¾"</v>
      </c>
      <c r="G475" s="136">
        <f t="shared" si="22"/>
        <v>9.5249999999999986</v>
      </c>
      <c r="H475" s="136">
        <f t="shared" si="23"/>
        <v>11.112499999999999</v>
      </c>
      <c r="I475" s="136"/>
      <c r="J475" s="137" t="s">
        <v>2</v>
      </c>
      <c r="K475" s="137"/>
      <c r="L475" s="136"/>
      <c r="M475" s="34"/>
      <c r="P475"/>
      <c r="T475"/>
      <c r="X475"/>
    </row>
    <row r="476" spans="2:24" x14ac:dyDescent="0.2">
      <c r="B476" s="33"/>
      <c r="C476" s="4" t="s">
        <v>824</v>
      </c>
      <c r="D476" s="4"/>
      <c r="E476" s="4" t="s">
        <v>214</v>
      </c>
      <c r="F476" s="4" t="str">
        <f t="shared" si="24"/>
        <v>HDI ¼" SS 303</v>
      </c>
      <c r="G476" s="136">
        <f t="shared" si="22"/>
        <v>9.5249999999999986</v>
      </c>
      <c r="H476" s="136">
        <f t="shared" si="23"/>
        <v>11.112499999999999</v>
      </c>
      <c r="I476" s="136"/>
      <c r="J476" s="137" t="s">
        <v>2</v>
      </c>
      <c r="K476" s="137"/>
      <c r="L476" s="136"/>
      <c r="M476" s="34"/>
      <c r="P476"/>
      <c r="T476"/>
      <c r="X476"/>
    </row>
    <row r="477" spans="2:24" x14ac:dyDescent="0.2">
      <c r="B477" s="33"/>
      <c r="C477" s="4" t="s">
        <v>824</v>
      </c>
      <c r="D477" s="4"/>
      <c r="E477" s="4" t="s">
        <v>216</v>
      </c>
      <c r="F477" s="4" t="str">
        <f t="shared" si="24"/>
        <v>HDI ⅜" SS 303</v>
      </c>
      <c r="G477" s="136">
        <f t="shared" si="22"/>
        <v>9.5249999999999986</v>
      </c>
      <c r="H477" s="136">
        <f t="shared" si="23"/>
        <v>11.112499999999999</v>
      </c>
      <c r="I477" s="136"/>
      <c r="J477" s="137" t="s">
        <v>2</v>
      </c>
      <c r="K477" s="137"/>
      <c r="L477" s="136"/>
      <c r="M477" s="34"/>
      <c r="P477"/>
      <c r="T477"/>
      <c r="X477"/>
    </row>
    <row r="478" spans="2:24" x14ac:dyDescent="0.2">
      <c r="B478" s="33"/>
      <c r="C478" s="4" t="s">
        <v>824</v>
      </c>
      <c r="D478" s="4"/>
      <c r="E478" s="4" t="s">
        <v>210</v>
      </c>
      <c r="F478" s="4" t="str">
        <f t="shared" si="24"/>
        <v>HDI ½" SS 303</v>
      </c>
      <c r="G478" s="136">
        <f t="shared" si="22"/>
        <v>9.5249999999999986</v>
      </c>
      <c r="H478" s="136">
        <f t="shared" si="23"/>
        <v>11.112499999999999</v>
      </c>
      <c r="I478" s="136"/>
      <c r="J478" s="137" t="s">
        <v>2</v>
      </c>
      <c r="K478" s="137"/>
      <c r="L478" s="136"/>
      <c r="M478" s="34"/>
      <c r="P478"/>
      <c r="T478"/>
      <c r="X478"/>
    </row>
    <row r="479" spans="2:24" x14ac:dyDescent="0.2">
      <c r="B479" s="33"/>
      <c r="C479" s="4" t="s">
        <v>824</v>
      </c>
      <c r="D479" s="4"/>
      <c r="E479" s="4" t="s">
        <v>219</v>
      </c>
      <c r="F479" s="4" t="str">
        <f t="shared" si="24"/>
        <v>HDI ⅝" SS 303</v>
      </c>
      <c r="G479" s="136">
        <f t="shared" si="22"/>
        <v>9.5249999999999986</v>
      </c>
      <c r="H479" s="136">
        <f t="shared" si="23"/>
        <v>11.112499999999999</v>
      </c>
      <c r="I479" s="136"/>
      <c r="J479" s="137" t="s">
        <v>2</v>
      </c>
      <c r="K479" s="137"/>
      <c r="L479" s="136"/>
      <c r="M479" s="34"/>
      <c r="P479"/>
      <c r="T479"/>
      <c r="X479"/>
    </row>
    <row r="480" spans="2:24" x14ac:dyDescent="0.2">
      <c r="B480" s="33"/>
      <c r="C480" s="4" t="s">
        <v>824</v>
      </c>
      <c r="D480" s="4"/>
      <c r="E480" s="4" t="s">
        <v>218</v>
      </c>
      <c r="F480" s="4" t="str">
        <f t="shared" si="24"/>
        <v>HDI ¾" SS 303</v>
      </c>
      <c r="G480" s="136">
        <f t="shared" si="22"/>
        <v>9.5249999999999986</v>
      </c>
      <c r="H480" s="136">
        <f t="shared" si="23"/>
        <v>11.112499999999999</v>
      </c>
      <c r="I480" s="136"/>
      <c r="J480" s="137" t="s">
        <v>2</v>
      </c>
      <c r="K480" s="137"/>
      <c r="L480" s="136"/>
      <c r="M480" s="34"/>
      <c r="P480"/>
      <c r="T480"/>
      <c r="X480"/>
    </row>
    <row r="481" spans="2:24" x14ac:dyDescent="0.2">
      <c r="B481" s="33"/>
      <c r="C481" s="4" t="s">
        <v>824</v>
      </c>
      <c r="D481" s="4"/>
      <c r="E481" s="4" t="s">
        <v>220</v>
      </c>
      <c r="F481" s="4" t="str">
        <f t="shared" si="24"/>
        <v>HDI-L ¼"</v>
      </c>
      <c r="G481" s="136">
        <f t="shared" si="22"/>
        <v>9.5249999999999986</v>
      </c>
      <c r="H481" s="136">
        <f t="shared" si="23"/>
        <v>11.112499999999999</v>
      </c>
      <c r="I481" s="136"/>
      <c r="J481" s="137" t="s">
        <v>2</v>
      </c>
      <c r="K481" s="137"/>
      <c r="L481" s="136"/>
      <c r="M481" s="34"/>
      <c r="P481"/>
      <c r="T481"/>
      <c r="X481"/>
    </row>
    <row r="482" spans="2:24" x14ac:dyDescent="0.2">
      <c r="B482" s="33"/>
      <c r="C482" s="4" t="s">
        <v>824</v>
      </c>
      <c r="D482" s="4"/>
      <c r="E482" s="4" t="s">
        <v>221</v>
      </c>
      <c r="F482" s="4" t="str">
        <f t="shared" si="24"/>
        <v>HDI-L ⅜"</v>
      </c>
      <c r="G482" s="136">
        <f t="shared" si="22"/>
        <v>9.5249999999999986</v>
      </c>
      <c r="H482" s="136">
        <f t="shared" si="23"/>
        <v>11.112499999999999</v>
      </c>
      <c r="I482" s="136"/>
      <c r="J482" s="137" t="s">
        <v>2</v>
      </c>
      <c r="K482" s="137"/>
      <c r="L482" s="136"/>
      <c r="M482" s="34"/>
      <c r="P482"/>
      <c r="T482"/>
      <c r="X482"/>
    </row>
    <row r="483" spans="2:24" x14ac:dyDescent="0.2">
      <c r="B483" s="33"/>
      <c r="C483" s="4" t="s">
        <v>824</v>
      </c>
      <c r="D483" s="4"/>
      <c r="E483" s="4" t="s">
        <v>211</v>
      </c>
      <c r="F483" s="4" t="str">
        <f t="shared" si="24"/>
        <v>HDI-L ½"</v>
      </c>
      <c r="G483" s="136">
        <f t="shared" ref="G483:G546" si="25">(3/8)*25.4</f>
        <v>9.5249999999999986</v>
      </c>
      <c r="H483" s="136">
        <f t="shared" ref="H483:H546" si="26">(7/16)*25.4</f>
        <v>11.112499999999999</v>
      </c>
      <c r="I483" s="136"/>
      <c r="J483" s="137" t="s">
        <v>2</v>
      </c>
      <c r="K483" s="137"/>
      <c r="L483" s="136"/>
      <c r="M483" s="34"/>
      <c r="P483"/>
      <c r="T483"/>
      <c r="X483"/>
    </row>
    <row r="484" spans="2:24" x14ac:dyDescent="0.2">
      <c r="B484" s="33"/>
      <c r="C484" s="4" t="s">
        <v>824</v>
      </c>
      <c r="D484" s="4"/>
      <c r="E484" s="4" t="s">
        <v>215</v>
      </c>
      <c r="F484" s="4" t="str">
        <f t="shared" si="24"/>
        <v>HDI-P ¼"</v>
      </c>
      <c r="G484" s="136">
        <f t="shared" si="25"/>
        <v>9.5249999999999986</v>
      </c>
      <c r="H484" s="136">
        <f t="shared" si="26"/>
        <v>11.112499999999999</v>
      </c>
      <c r="I484" s="136"/>
      <c r="J484" s="137" t="s">
        <v>2</v>
      </c>
      <c r="K484" s="137"/>
      <c r="L484" s="136"/>
      <c r="M484" s="34"/>
      <c r="P484"/>
      <c r="T484"/>
      <c r="X484"/>
    </row>
    <row r="485" spans="2:24" x14ac:dyDescent="0.2">
      <c r="B485" s="33"/>
      <c r="C485" s="4" t="s">
        <v>824</v>
      </c>
      <c r="D485" s="4"/>
      <c r="E485" s="4" t="s">
        <v>217</v>
      </c>
      <c r="F485" s="4" t="str">
        <f t="shared" si="24"/>
        <v>HDI-P ⅜"</v>
      </c>
      <c r="G485" s="136">
        <f t="shared" si="25"/>
        <v>9.5249999999999986</v>
      </c>
      <c r="H485" s="136">
        <f t="shared" si="26"/>
        <v>11.112499999999999</v>
      </c>
      <c r="I485" s="136"/>
      <c r="J485" s="137" t="s">
        <v>2</v>
      </c>
      <c r="K485" s="137"/>
      <c r="L485" s="136"/>
      <c r="M485" s="34"/>
      <c r="P485"/>
      <c r="T485"/>
      <c r="X485"/>
    </row>
    <row r="486" spans="2:24" x14ac:dyDescent="0.2">
      <c r="B486" s="33"/>
      <c r="C486" s="4" t="s">
        <v>824</v>
      </c>
      <c r="D486" s="4"/>
      <c r="E486" s="4" t="s">
        <v>212</v>
      </c>
      <c r="F486" s="4" t="str">
        <f t="shared" si="24"/>
        <v>HDI-P ½"</v>
      </c>
      <c r="G486" s="136">
        <f t="shared" si="25"/>
        <v>9.5249999999999986</v>
      </c>
      <c r="H486" s="136">
        <f t="shared" si="26"/>
        <v>11.112499999999999</v>
      </c>
      <c r="I486" s="136"/>
      <c r="J486" s="137" t="s">
        <v>2</v>
      </c>
      <c r="K486" s="137"/>
      <c r="L486" s="136"/>
      <c r="M486" s="34"/>
      <c r="P486"/>
      <c r="T486"/>
      <c r="X486"/>
    </row>
    <row r="487" spans="2:24" x14ac:dyDescent="0.2">
      <c r="B487" s="33"/>
      <c r="C487" s="4" t="s">
        <v>824</v>
      </c>
      <c r="D487" s="4"/>
      <c r="E487" s="4" t="s">
        <v>213</v>
      </c>
      <c r="F487" s="4" t="str">
        <f t="shared" si="24"/>
        <v>HDI-S ½"</v>
      </c>
      <c r="G487" s="136">
        <f t="shared" si="25"/>
        <v>9.5249999999999986</v>
      </c>
      <c r="H487" s="136">
        <f t="shared" si="26"/>
        <v>11.112499999999999</v>
      </c>
      <c r="I487" s="136"/>
      <c r="J487" s="137" t="s">
        <v>2</v>
      </c>
      <c r="K487" s="137"/>
      <c r="L487" s="136"/>
      <c r="M487" s="34"/>
      <c r="P487"/>
      <c r="T487"/>
      <c r="X487"/>
    </row>
    <row r="488" spans="2:24" x14ac:dyDescent="0.2">
      <c r="B488" s="33"/>
      <c r="C488" s="4" t="s">
        <v>824</v>
      </c>
      <c r="D488" s="4"/>
      <c r="E488" s="4" t="s">
        <v>222</v>
      </c>
      <c r="F488" s="4" t="str">
        <f t="shared" si="24"/>
        <v>HDI-S ¾"</v>
      </c>
      <c r="G488" s="136">
        <f t="shared" si="25"/>
        <v>9.5249999999999986</v>
      </c>
      <c r="H488" s="136">
        <f t="shared" si="26"/>
        <v>11.112499999999999</v>
      </c>
      <c r="I488" s="136"/>
      <c r="J488" s="137" t="s">
        <v>2</v>
      </c>
      <c r="K488" s="137"/>
      <c r="L488" s="136"/>
      <c r="M488" s="34"/>
      <c r="P488"/>
      <c r="T488"/>
      <c r="X488"/>
    </row>
    <row r="489" spans="2:24" x14ac:dyDescent="0.2">
      <c r="B489" s="33"/>
      <c r="C489" s="4"/>
      <c r="D489" s="4"/>
      <c r="E489" s="39" t="s">
        <v>261</v>
      </c>
      <c r="F489" s="4" t="str">
        <f t="shared" si="24"/>
        <v>--------------------</v>
      </c>
      <c r="G489" s="136"/>
      <c r="H489" s="136"/>
      <c r="I489" s="136"/>
      <c r="J489" s="137"/>
      <c r="K489" s="137"/>
      <c r="L489" s="136"/>
      <c r="M489" s="34"/>
      <c r="P489"/>
      <c r="T489"/>
      <c r="X489"/>
    </row>
    <row r="490" spans="2:24" x14ac:dyDescent="0.2">
      <c r="B490" s="33"/>
      <c r="C490" s="4" t="s">
        <v>825</v>
      </c>
      <c r="D490" s="4"/>
      <c r="E490" s="4" t="s">
        <v>115</v>
      </c>
      <c r="F490" s="4" t="str">
        <f t="shared" si="24"/>
        <v>HKB II 304SS ¼" x 2 ¼"</v>
      </c>
      <c r="G490" s="136">
        <f t="shared" si="25"/>
        <v>9.5249999999999986</v>
      </c>
      <c r="H490" s="136">
        <f t="shared" si="26"/>
        <v>11.112499999999999</v>
      </c>
      <c r="I490" s="136"/>
      <c r="J490" s="137" t="s">
        <v>2</v>
      </c>
      <c r="K490" s="137"/>
      <c r="L490" s="136"/>
      <c r="M490" s="34"/>
      <c r="P490"/>
      <c r="T490"/>
      <c r="X490"/>
    </row>
    <row r="491" spans="2:24" x14ac:dyDescent="0.2">
      <c r="B491" s="33"/>
      <c r="C491" s="4" t="s">
        <v>825</v>
      </c>
      <c r="D491" s="4"/>
      <c r="E491" s="4" t="s">
        <v>129</v>
      </c>
      <c r="F491" s="4" t="str">
        <f t="shared" si="24"/>
        <v>HKB II 304SS ⅜" x 3 ¾"</v>
      </c>
      <c r="G491" s="136">
        <f t="shared" si="25"/>
        <v>9.5249999999999986</v>
      </c>
      <c r="H491" s="136">
        <f t="shared" si="26"/>
        <v>11.112499999999999</v>
      </c>
      <c r="I491" s="136"/>
      <c r="J491" s="137" t="s">
        <v>2</v>
      </c>
      <c r="K491" s="137"/>
      <c r="L491" s="136"/>
      <c r="M491" s="34"/>
      <c r="P491"/>
      <c r="T491"/>
      <c r="X491"/>
    </row>
    <row r="492" spans="2:24" x14ac:dyDescent="0.2">
      <c r="B492" s="33"/>
      <c r="C492" s="4" t="s">
        <v>825</v>
      </c>
      <c r="D492" s="4"/>
      <c r="E492" s="4" t="s">
        <v>110</v>
      </c>
      <c r="F492" s="4" t="str">
        <f t="shared" si="24"/>
        <v>HKB II 304SS ½" x 3 ¾"</v>
      </c>
      <c r="G492" s="136">
        <f t="shared" si="25"/>
        <v>9.5249999999999986</v>
      </c>
      <c r="H492" s="136">
        <f t="shared" si="26"/>
        <v>11.112499999999999</v>
      </c>
      <c r="I492" s="136"/>
      <c r="J492" s="137" t="s">
        <v>2</v>
      </c>
      <c r="K492" s="137"/>
      <c r="L492" s="136"/>
      <c r="M492" s="34"/>
      <c r="P492"/>
      <c r="T492"/>
      <c r="X492"/>
    </row>
    <row r="493" spans="2:24" x14ac:dyDescent="0.2">
      <c r="B493" s="33"/>
      <c r="C493" s="4" t="s">
        <v>825</v>
      </c>
      <c r="D493" s="4"/>
      <c r="E493" s="4" t="s">
        <v>130</v>
      </c>
      <c r="F493" s="4" t="str">
        <f t="shared" si="24"/>
        <v>HKB II 316SS ⅜" x 3"</v>
      </c>
      <c r="G493" s="136">
        <f t="shared" si="25"/>
        <v>9.5249999999999986</v>
      </c>
      <c r="H493" s="136">
        <f t="shared" si="26"/>
        <v>11.112499999999999</v>
      </c>
      <c r="I493" s="136"/>
      <c r="J493" s="137" t="s">
        <v>2</v>
      </c>
      <c r="K493" s="137"/>
      <c r="L493" s="136"/>
      <c r="M493" s="34"/>
      <c r="P493"/>
      <c r="T493"/>
      <c r="X493"/>
    </row>
    <row r="494" spans="2:24" x14ac:dyDescent="0.2">
      <c r="B494" s="33"/>
      <c r="C494" s="4" t="s">
        <v>825</v>
      </c>
      <c r="D494" s="4"/>
      <c r="E494" s="4" t="s">
        <v>116</v>
      </c>
      <c r="F494" s="4" t="str">
        <f t="shared" si="24"/>
        <v>HKB III ¼" x 1 ¾"</v>
      </c>
      <c r="G494" s="136">
        <f t="shared" si="25"/>
        <v>9.5249999999999986</v>
      </c>
      <c r="H494" s="136">
        <f t="shared" si="26"/>
        <v>11.112499999999999</v>
      </c>
      <c r="I494" s="136"/>
      <c r="J494" s="137" t="s">
        <v>2</v>
      </c>
      <c r="K494" s="137"/>
      <c r="L494" s="136"/>
      <c r="M494" s="34"/>
      <c r="P494"/>
      <c r="T494"/>
      <c r="X494"/>
    </row>
    <row r="495" spans="2:24" x14ac:dyDescent="0.2">
      <c r="B495" s="33"/>
      <c r="C495" s="4" t="s">
        <v>825</v>
      </c>
      <c r="D495" s="4"/>
      <c r="E495" s="4" t="s">
        <v>117</v>
      </c>
      <c r="F495" s="4" t="str">
        <f t="shared" ref="F495:F558" si="27">E495</f>
        <v>HKB III ¼" x 2 ¼"</v>
      </c>
      <c r="G495" s="136">
        <f t="shared" si="25"/>
        <v>9.5249999999999986</v>
      </c>
      <c r="H495" s="136">
        <f t="shared" si="26"/>
        <v>11.112499999999999</v>
      </c>
      <c r="I495" s="136"/>
      <c r="J495" s="137" t="s">
        <v>2</v>
      </c>
      <c r="K495" s="137"/>
      <c r="L495" s="136"/>
      <c r="M495" s="34"/>
      <c r="P495"/>
      <c r="T495"/>
      <c r="X495"/>
    </row>
    <row r="496" spans="2:24" x14ac:dyDescent="0.2">
      <c r="B496" s="33"/>
      <c r="C496" s="4" t="s">
        <v>825</v>
      </c>
      <c r="D496" s="4"/>
      <c r="E496" s="4" t="s">
        <v>118</v>
      </c>
      <c r="F496" s="4" t="str">
        <f t="shared" si="27"/>
        <v>HKB III ¼" x 3 ¼"</v>
      </c>
      <c r="G496" s="136">
        <f t="shared" si="25"/>
        <v>9.5249999999999986</v>
      </c>
      <c r="H496" s="136">
        <f t="shared" si="26"/>
        <v>11.112499999999999</v>
      </c>
      <c r="I496" s="136"/>
      <c r="J496" s="137" t="s">
        <v>2</v>
      </c>
      <c r="K496" s="137"/>
      <c r="L496" s="136"/>
      <c r="M496" s="34"/>
      <c r="P496"/>
      <c r="T496"/>
      <c r="X496"/>
    </row>
    <row r="497" spans="2:24" x14ac:dyDescent="0.2">
      <c r="B497" s="33"/>
      <c r="C497" s="4" t="s">
        <v>825</v>
      </c>
      <c r="D497" s="4"/>
      <c r="E497" s="4" t="s">
        <v>131</v>
      </c>
      <c r="F497" s="4" t="str">
        <f t="shared" si="27"/>
        <v>HKB III ⅜" x 2 ¼"</v>
      </c>
      <c r="G497" s="136">
        <f t="shared" si="25"/>
        <v>9.5249999999999986</v>
      </c>
      <c r="H497" s="136">
        <f t="shared" si="26"/>
        <v>11.112499999999999</v>
      </c>
      <c r="I497" s="136"/>
      <c r="J497" s="137" t="s">
        <v>2</v>
      </c>
      <c r="K497" s="137"/>
      <c r="L497" s="136"/>
      <c r="M497" s="34"/>
      <c r="P497"/>
      <c r="T497"/>
      <c r="X497"/>
    </row>
    <row r="498" spans="2:24" x14ac:dyDescent="0.2">
      <c r="B498" s="33"/>
      <c r="C498" s="4" t="s">
        <v>825</v>
      </c>
      <c r="D498" s="4"/>
      <c r="E498" s="4" t="s">
        <v>133</v>
      </c>
      <c r="F498" s="4" t="str">
        <f t="shared" si="27"/>
        <v>HKB III ⅜" x 3 ¾"</v>
      </c>
      <c r="G498" s="136">
        <f t="shared" si="25"/>
        <v>9.5249999999999986</v>
      </c>
      <c r="H498" s="136">
        <f t="shared" si="26"/>
        <v>11.112499999999999</v>
      </c>
      <c r="I498" s="136"/>
      <c r="J498" s="137" t="s">
        <v>2</v>
      </c>
      <c r="K498" s="137"/>
      <c r="L498" s="136"/>
      <c r="M498" s="34"/>
      <c r="P498"/>
      <c r="T498"/>
      <c r="X498"/>
    </row>
    <row r="499" spans="2:24" x14ac:dyDescent="0.2">
      <c r="B499" s="33"/>
      <c r="C499" s="4" t="s">
        <v>825</v>
      </c>
      <c r="D499" s="4"/>
      <c r="E499" s="4" t="s">
        <v>132</v>
      </c>
      <c r="F499" s="4" t="str">
        <f t="shared" si="27"/>
        <v>HKB III ⅜" x 3"</v>
      </c>
      <c r="G499" s="136">
        <f t="shared" si="25"/>
        <v>9.5249999999999986</v>
      </c>
      <c r="H499" s="136">
        <f t="shared" si="26"/>
        <v>11.112499999999999</v>
      </c>
      <c r="I499" s="136"/>
      <c r="J499" s="137" t="s">
        <v>2</v>
      </c>
      <c r="K499" s="137"/>
      <c r="L499" s="136"/>
      <c r="M499" s="34"/>
      <c r="P499"/>
      <c r="T499"/>
      <c r="X499"/>
    </row>
    <row r="500" spans="2:24" x14ac:dyDescent="0.2">
      <c r="B500" s="33"/>
      <c r="C500" s="4" t="s">
        <v>825</v>
      </c>
      <c r="D500" s="4"/>
      <c r="E500" s="4" t="s">
        <v>141</v>
      </c>
      <c r="F500" s="4" t="str">
        <f t="shared" si="27"/>
        <v>HKB III ⅜" x 5"</v>
      </c>
      <c r="G500" s="136">
        <f t="shared" si="25"/>
        <v>9.5249999999999986</v>
      </c>
      <c r="H500" s="136">
        <f t="shared" si="26"/>
        <v>11.112499999999999</v>
      </c>
      <c r="I500" s="136"/>
      <c r="J500" s="137" t="s">
        <v>2</v>
      </c>
      <c r="K500" s="137"/>
      <c r="L500" s="136"/>
      <c r="M500" s="34"/>
      <c r="P500"/>
      <c r="T500"/>
      <c r="X500"/>
    </row>
    <row r="501" spans="2:24" x14ac:dyDescent="0.2">
      <c r="B501" s="33"/>
      <c r="C501" s="4" t="s">
        <v>825</v>
      </c>
      <c r="D501" s="4"/>
      <c r="E501" s="4" t="s">
        <v>111</v>
      </c>
      <c r="F501" s="4" t="str">
        <f t="shared" si="27"/>
        <v>HKB III ½" x 2 ¾"</v>
      </c>
      <c r="G501" s="136">
        <f t="shared" si="25"/>
        <v>9.5249999999999986</v>
      </c>
      <c r="H501" s="136">
        <f t="shared" si="26"/>
        <v>11.112499999999999</v>
      </c>
      <c r="I501" s="136"/>
      <c r="J501" s="137" t="s">
        <v>2</v>
      </c>
      <c r="K501" s="137"/>
      <c r="L501" s="136"/>
      <c r="M501" s="34"/>
      <c r="P501"/>
      <c r="T501"/>
      <c r="X501"/>
    </row>
    <row r="502" spans="2:24" x14ac:dyDescent="0.2">
      <c r="B502" s="33"/>
      <c r="C502" s="4" t="s">
        <v>825</v>
      </c>
      <c r="D502" s="4"/>
      <c r="E502" s="4" t="s">
        <v>112</v>
      </c>
      <c r="F502" s="4" t="str">
        <f t="shared" si="27"/>
        <v>HKB III ½" x 3 ¾"</v>
      </c>
      <c r="G502" s="136">
        <f t="shared" si="25"/>
        <v>9.5249999999999986</v>
      </c>
      <c r="H502" s="136">
        <f t="shared" si="26"/>
        <v>11.112499999999999</v>
      </c>
      <c r="I502" s="136"/>
      <c r="J502" s="137" t="s">
        <v>2</v>
      </c>
      <c r="K502" s="137"/>
      <c r="L502" s="136"/>
      <c r="M502" s="34"/>
      <c r="P502"/>
      <c r="T502"/>
      <c r="X502"/>
    </row>
    <row r="503" spans="2:24" x14ac:dyDescent="0.2">
      <c r="B503" s="33"/>
      <c r="C503" s="4" t="s">
        <v>825</v>
      </c>
      <c r="D503" s="4"/>
      <c r="E503" s="4" t="s">
        <v>108</v>
      </c>
      <c r="F503" s="4" t="str">
        <f t="shared" si="27"/>
        <v>HKB III ½" x 4 ½"</v>
      </c>
      <c r="G503" s="136">
        <f t="shared" si="25"/>
        <v>9.5249999999999986</v>
      </c>
      <c r="H503" s="136">
        <f t="shared" si="26"/>
        <v>11.112499999999999</v>
      </c>
      <c r="I503" s="136"/>
      <c r="J503" s="137" t="s">
        <v>2</v>
      </c>
      <c r="K503" s="137"/>
      <c r="L503" s="136"/>
      <c r="M503" s="34"/>
      <c r="P503"/>
      <c r="T503"/>
      <c r="X503"/>
    </row>
    <row r="504" spans="2:24" x14ac:dyDescent="0.2">
      <c r="B504" s="33"/>
      <c r="C504" s="4" t="s">
        <v>825</v>
      </c>
      <c r="D504" s="4"/>
      <c r="E504" s="4" t="s">
        <v>107</v>
      </c>
      <c r="F504" s="4" t="str">
        <f t="shared" si="27"/>
        <v>HKB III ½" x 5 ½"</v>
      </c>
      <c r="G504" s="136">
        <f t="shared" si="25"/>
        <v>9.5249999999999986</v>
      </c>
      <c r="H504" s="136">
        <f t="shared" si="26"/>
        <v>11.112499999999999</v>
      </c>
      <c r="I504" s="136"/>
      <c r="J504" s="137" t="s">
        <v>2</v>
      </c>
      <c r="K504" s="137"/>
      <c r="L504" s="136"/>
      <c r="M504" s="34"/>
      <c r="P504"/>
      <c r="T504"/>
      <c r="X504"/>
    </row>
    <row r="505" spans="2:24" x14ac:dyDescent="0.2">
      <c r="B505" s="33"/>
      <c r="C505" s="4" t="s">
        <v>825</v>
      </c>
      <c r="D505" s="4"/>
      <c r="E505" s="4" t="s">
        <v>138</v>
      </c>
      <c r="F505" s="4" t="str">
        <f t="shared" si="27"/>
        <v>HKB III ½" x 7"</v>
      </c>
      <c r="G505" s="136">
        <f t="shared" si="25"/>
        <v>9.5249999999999986</v>
      </c>
      <c r="H505" s="136">
        <f t="shared" si="26"/>
        <v>11.112499999999999</v>
      </c>
      <c r="I505" s="136"/>
      <c r="J505" s="137" t="s">
        <v>2</v>
      </c>
      <c r="K505" s="137"/>
      <c r="L505" s="136"/>
      <c r="M505" s="34"/>
      <c r="P505"/>
      <c r="T505"/>
      <c r="X505"/>
    </row>
    <row r="506" spans="2:24" x14ac:dyDescent="0.2">
      <c r="B506" s="33"/>
      <c r="C506" s="4" t="s">
        <v>825</v>
      </c>
      <c r="D506" s="4"/>
      <c r="E506" s="4" t="s">
        <v>134</v>
      </c>
      <c r="F506" s="4" t="str">
        <f t="shared" si="27"/>
        <v>HKB III ⅝" x 3 ¾"</v>
      </c>
      <c r="G506" s="136">
        <f t="shared" si="25"/>
        <v>9.5249999999999986</v>
      </c>
      <c r="H506" s="136">
        <f t="shared" si="26"/>
        <v>11.112499999999999</v>
      </c>
      <c r="I506" s="136"/>
      <c r="J506" s="137" t="s">
        <v>2</v>
      </c>
      <c r="K506" s="137"/>
      <c r="L506" s="136"/>
      <c r="M506" s="34"/>
      <c r="P506"/>
      <c r="T506"/>
      <c r="X506"/>
    </row>
    <row r="507" spans="2:24" x14ac:dyDescent="0.2">
      <c r="B507" s="33"/>
      <c r="C507" s="4" t="s">
        <v>825</v>
      </c>
      <c r="D507" s="4"/>
      <c r="E507" s="4" t="s">
        <v>135</v>
      </c>
      <c r="F507" s="4" t="str">
        <f t="shared" si="27"/>
        <v>HKB III ⅝" x 4 ¾"</v>
      </c>
      <c r="G507" s="136">
        <f t="shared" si="25"/>
        <v>9.5249999999999986</v>
      </c>
      <c r="H507" s="136">
        <f t="shared" si="26"/>
        <v>11.112499999999999</v>
      </c>
      <c r="I507" s="136"/>
      <c r="J507" s="137" t="s">
        <v>2</v>
      </c>
      <c r="K507" s="137"/>
      <c r="L507" s="136"/>
      <c r="M507" s="34"/>
      <c r="P507"/>
      <c r="T507"/>
      <c r="X507"/>
    </row>
    <row r="508" spans="2:24" x14ac:dyDescent="0.2">
      <c r="B508" s="33"/>
      <c r="C508" s="4" t="s">
        <v>825</v>
      </c>
      <c r="D508" s="4"/>
      <c r="E508" s="4" t="s">
        <v>136</v>
      </c>
      <c r="F508" s="4" t="str">
        <f t="shared" si="27"/>
        <v>HKB III ⅝" x 6"</v>
      </c>
      <c r="G508" s="136">
        <f t="shared" si="25"/>
        <v>9.5249999999999986</v>
      </c>
      <c r="H508" s="136">
        <f t="shared" si="26"/>
        <v>11.112499999999999</v>
      </c>
      <c r="I508" s="136"/>
      <c r="J508" s="137" t="s">
        <v>2</v>
      </c>
      <c r="K508" s="137"/>
      <c r="L508" s="136"/>
      <c r="M508" s="34"/>
      <c r="P508"/>
      <c r="T508"/>
      <c r="X508"/>
    </row>
    <row r="509" spans="2:24" x14ac:dyDescent="0.2">
      <c r="B509" s="33"/>
      <c r="C509" s="4" t="s">
        <v>825</v>
      </c>
      <c r="D509" s="4"/>
      <c r="E509" s="4" t="s">
        <v>137</v>
      </c>
      <c r="F509" s="4" t="str">
        <f t="shared" si="27"/>
        <v>HKB III ⅝" x 7"</v>
      </c>
      <c r="G509" s="136">
        <f t="shared" si="25"/>
        <v>9.5249999999999986</v>
      </c>
      <c r="H509" s="136">
        <f t="shared" si="26"/>
        <v>11.112499999999999</v>
      </c>
      <c r="I509" s="136"/>
      <c r="J509" s="137" t="s">
        <v>2</v>
      </c>
      <c r="K509" s="137"/>
      <c r="L509" s="136"/>
      <c r="M509" s="34"/>
      <c r="P509"/>
      <c r="T509"/>
      <c r="X509"/>
    </row>
    <row r="510" spans="2:24" x14ac:dyDescent="0.2">
      <c r="B510" s="33"/>
      <c r="C510" s="4" t="s">
        <v>825</v>
      </c>
      <c r="D510" s="4"/>
      <c r="E510" s="4" t="s">
        <v>113</v>
      </c>
      <c r="F510" s="4" t="str">
        <f t="shared" si="27"/>
        <v>HKB III ¾" x 4 ¾"</v>
      </c>
      <c r="G510" s="136">
        <f t="shared" si="25"/>
        <v>9.5249999999999986</v>
      </c>
      <c r="H510" s="136">
        <f t="shared" si="26"/>
        <v>11.112499999999999</v>
      </c>
      <c r="I510" s="136"/>
      <c r="J510" s="137" t="s">
        <v>2</v>
      </c>
      <c r="K510" s="137"/>
      <c r="L510" s="136"/>
      <c r="M510" s="34"/>
      <c r="P510"/>
      <c r="T510"/>
      <c r="X510"/>
    </row>
    <row r="511" spans="2:24" x14ac:dyDescent="0.2">
      <c r="B511" s="33"/>
      <c r="C511" s="4" t="s">
        <v>825</v>
      </c>
      <c r="D511" s="4"/>
      <c r="E511" s="4" t="s">
        <v>114</v>
      </c>
      <c r="F511" s="4" t="str">
        <f t="shared" si="27"/>
        <v>HKB III ¾" x 5 ½"</v>
      </c>
      <c r="G511" s="136">
        <f t="shared" si="25"/>
        <v>9.5249999999999986</v>
      </c>
      <c r="H511" s="136">
        <f t="shared" si="26"/>
        <v>11.112499999999999</v>
      </c>
      <c r="I511" s="136"/>
      <c r="J511" s="137" t="s">
        <v>2</v>
      </c>
      <c r="K511" s="137"/>
      <c r="L511" s="136"/>
      <c r="M511" s="34"/>
      <c r="P511"/>
      <c r="T511"/>
      <c r="X511"/>
    </row>
    <row r="512" spans="2:24" x14ac:dyDescent="0.2">
      <c r="B512" s="33"/>
      <c r="C512" s="4" t="s">
        <v>825</v>
      </c>
      <c r="D512" s="4"/>
      <c r="E512" s="4" t="s">
        <v>139</v>
      </c>
      <c r="F512" s="4" t="str">
        <f t="shared" si="27"/>
        <v>HKB III ¾" x 7"</v>
      </c>
      <c r="G512" s="136">
        <f t="shared" si="25"/>
        <v>9.5249999999999986</v>
      </c>
      <c r="H512" s="136">
        <f t="shared" si="26"/>
        <v>11.112499999999999</v>
      </c>
      <c r="I512" s="136"/>
      <c r="J512" s="137" t="s">
        <v>2</v>
      </c>
      <c r="K512" s="137"/>
      <c r="L512" s="136"/>
      <c r="M512" s="34"/>
      <c r="P512"/>
      <c r="T512"/>
      <c r="X512"/>
    </row>
    <row r="513" spans="2:24" x14ac:dyDescent="0.2">
      <c r="B513" s="33"/>
      <c r="C513" s="4" t="s">
        <v>825</v>
      </c>
      <c r="D513" s="4"/>
      <c r="E513" s="4" t="s">
        <v>140</v>
      </c>
      <c r="F513" s="4" t="str">
        <f t="shared" si="27"/>
        <v>HKB III ¾" x 8"</v>
      </c>
      <c r="G513" s="136">
        <f t="shared" si="25"/>
        <v>9.5249999999999986</v>
      </c>
      <c r="H513" s="136">
        <f t="shared" si="26"/>
        <v>11.112499999999999</v>
      </c>
      <c r="I513" s="136"/>
      <c r="J513" s="137" t="s">
        <v>2</v>
      </c>
      <c r="K513" s="137"/>
      <c r="L513" s="136"/>
      <c r="M513" s="34"/>
      <c r="P513"/>
      <c r="T513"/>
      <c r="X513"/>
    </row>
    <row r="514" spans="2:24" x14ac:dyDescent="0.2">
      <c r="B514" s="33"/>
      <c r="C514" s="4" t="s">
        <v>825</v>
      </c>
      <c r="D514" s="4"/>
      <c r="E514" s="4" t="s">
        <v>119</v>
      </c>
      <c r="F514" s="4" t="str">
        <f t="shared" si="27"/>
        <v>HKB III 1" x 6"</v>
      </c>
      <c r="G514" s="136">
        <f t="shared" si="25"/>
        <v>9.5249999999999986</v>
      </c>
      <c r="H514" s="136">
        <f t="shared" si="26"/>
        <v>11.112499999999999</v>
      </c>
      <c r="I514" s="136"/>
      <c r="J514" s="137" t="s">
        <v>2</v>
      </c>
      <c r="K514" s="137"/>
      <c r="L514" s="136"/>
      <c r="M514" s="34"/>
      <c r="P514"/>
      <c r="T514"/>
      <c r="X514"/>
    </row>
    <row r="515" spans="2:24" x14ac:dyDescent="0.2">
      <c r="B515" s="33"/>
      <c r="C515" s="4" t="s">
        <v>825</v>
      </c>
      <c r="D515" s="4"/>
      <c r="E515" s="4" t="s">
        <v>120</v>
      </c>
      <c r="F515" s="4" t="str">
        <f t="shared" si="27"/>
        <v>HKB III 1" x 9"</v>
      </c>
      <c r="G515" s="136">
        <f t="shared" si="25"/>
        <v>9.5249999999999986</v>
      </c>
      <c r="H515" s="136">
        <f t="shared" si="26"/>
        <v>11.112499999999999</v>
      </c>
      <c r="I515" s="136"/>
      <c r="J515" s="137" t="s">
        <v>2</v>
      </c>
      <c r="K515" s="137"/>
      <c r="L515" s="136"/>
      <c r="M515" s="34"/>
      <c r="P515"/>
      <c r="T515"/>
      <c r="X515"/>
    </row>
    <row r="516" spans="2:24" x14ac:dyDescent="0.2">
      <c r="B516" s="33"/>
      <c r="C516" s="4" t="s">
        <v>825</v>
      </c>
      <c r="D516" s="4"/>
      <c r="E516" s="4" t="s">
        <v>42</v>
      </c>
      <c r="F516" s="4" t="str">
        <f t="shared" si="27"/>
        <v>KB3 ¼" x 1 ¾"</v>
      </c>
      <c r="G516" s="136">
        <f t="shared" si="25"/>
        <v>9.5249999999999986</v>
      </c>
      <c r="H516" s="136">
        <f t="shared" si="26"/>
        <v>11.112499999999999</v>
      </c>
      <c r="I516" s="136"/>
      <c r="J516" s="137" t="s">
        <v>2</v>
      </c>
      <c r="K516" s="137"/>
      <c r="L516" s="136"/>
      <c r="M516" s="34"/>
      <c r="P516"/>
      <c r="T516"/>
      <c r="X516"/>
    </row>
    <row r="517" spans="2:24" x14ac:dyDescent="0.2">
      <c r="B517" s="33"/>
      <c r="C517" s="4" t="s">
        <v>825</v>
      </c>
      <c r="D517" s="4"/>
      <c r="E517" s="4" t="s">
        <v>43</v>
      </c>
      <c r="F517" s="4" t="str">
        <f t="shared" si="27"/>
        <v>KB3 ¼" x 2 ¼"</v>
      </c>
      <c r="G517" s="136">
        <f t="shared" si="25"/>
        <v>9.5249999999999986</v>
      </c>
      <c r="H517" s="136">
        <f t="shared" si="26"/>
        <v>11.112499999999999</v>
      </c>
      <c r="I517" s="136"/>
      <c r="J517" s="137" t="s">
        <v>2</v>
      </c>
      <c r="K517" s="137"/>
      <c r="L517" s="136"/>
      <c r="M517" s="34"/>
      <c r="P517"/>
      <c r="T517"/>
      <c r="X517"/>
    </row>
    <row r="518" spans="2:24" x14ac:dyDescent="0.2">
      <c r="B518" s="33"/>
      <c r="C518" s="4" t="s">
        <v>825</v>
      </c>
      <c r="D518" s="4"/>
      <c r="E518" s="4" t="s">
        <v>771</v>
      </c>
      <c r="F518" s="4" t="str">
        <f t="shared" si="27"/>
        <v>KB3 ¼" x 3 ¼" LT</v>
      </c>
      <c r="G518" s="136">
        <f t="shared" si="25"/>
        <v>9.5249999999999986</v>
      </c>
      <c r="H518" s="136">
        <f t="shared" si="26"/>
        <v>11.112499999999999</v>
      </c>
      <c r="I518" s="136"/>
      <c r="J518" s="137" t="s">
        <v>2</v>
      </c>
      <c r="K518" s="137"/>
      <c r="L518" s="136"/>
      <c r="M518" s="34"/>
      <c r="P518"/>
      <c r="T518"/>
      <c r="X518"/>
    </row>
    <row r="519" spans="2:24" x14ac:dyDescent="0.2">
      <c r="B519" s="33"/>
      <c r="C519" s="4" t="s">
        <v>825</v>
      </c>
      <c r="D519" s="4"/>
      <c r="E519" s="4" t="s">
        <v>772</v>
      </c>
      <c r="F519" s="4" t="str">
        <f t="shared" si="27"/>
        <v>KB3 ¼" x 4 ½" LT</v>
      </c>
      <c r="G519" s="136">
        <f t="shared" si="25"/>
        <v>9.5249999999999986</v>
      </c>
      <c r="H519" s="136">
        <f t="shared" si="26"/>
        <v>11.112499999999999</v>
      </c>
      <c r="I519" s="136"/>
      <c r="J519" s="137" t="s">
        <v>2</v>
      </c>
      <c r="K519" s="137"/>
      <c r="L519" s="136"/>
      <c r="M519" s="34"/>
      <c r="P519"/>
      <c r="T519"/>
      <c r="X519"/>
    </row>
    <row r="520" spans="2:24" x14ac:dyDescent="0.2">
      <c r="B520" s="33"/>
      <c r="C520" s="4" t="s">
        <v>825</v>
      </c>
      <c r="D520" s="4"/>
      <c r="E520" s="4" t="s">
        <v>48</v>
      </c>
      <c r="F520" s="4" t="str">
        <f t="shared" si="27"/>
        <v>KB3 ⅜" x 2 ¼"</v>
      </c>
      <c r="G520" s="136">
        <f t="shared" si="25"/>
        <v>9.5249999999999986</v>
      </c>
      <c r="H520" s="136">
        <f t="shared" si="26"/>
        <v>11.112499999999999</v>
      </c>
      <c r="I520" s="136"/>
      <c r="J520" s="137" t="s">
        <v>2</v>
      </c>
      <c r="K520" s="137"/>
      <c r="L520" s="136"/>
      <c r="M520" s="34"/>
      <c r="P520"/>
      <c r="T520"/>
      <c r="X520"/>
    </row>
    <row r="521" spans="2:24" x14ac:dyDescent="0.2">
      <c r="B521" s="33"/>
      <c r="C521" s="4" t="s">
        <v>825</v>
      </c>
      <c r="D521" s="4"/>
      <c r="E521" s="4" t="s">
        <v>773</v>
      </c>
      <c r="F521" s="4" t="str">
        <f t="shared" si="27"/>
        <v>KB3 ⅜" x 3" LT</v>
      </c>
      <c r="G521" s="136">
        <f t="shared" si="25"/>
        <v>9.5249999999999986</v>
      </c>
      <c r="H521" s="136">
        <f t="shared" si="26"/>
        <v>11.112499999999999</v>
      </c>
      <c r="I521" s="136"/>
      <c r="J521" s="137" t="s">
        <v>2</v>
      </c>
      <c r="K521" s="137"/>
      <c r="L521" s="136"/>
      <c r="M521" s="34"/>
      <c r="P521"/>
      <c r="T521"/>
      <c r="X521"/>
    </row>
    <row r="522" spans="2:24" x14ac:dyDescent="0.2">
      <c r="B522" s="33"/>
      <c r="C522" s="4" t="s">
        <v>825</v>
      </c>
      <c r="D522" s="4"/>
      <c r="E522" s="4" t="s">
        <v>774</v>
      </c>
      <c r="F522" s="4" t="str">
        <f t="shared" si="27"/>
        <v>KB3 ⅜" x 3 ¾" LT</v>
      </c>
      <c r="G522" s="136">
        <f t="shared" si="25"/>
        <v>9.5249999999999986</v>
      </c>
      <c r="H522" s="136">
        <f t="shared" si="26"/>
        <v>11.112499999999999</v>
      </c>
      <c r="I522" s="136"/>
      <c r="J522" s="137" t="s">
        <v>2</v>
      </c>
      <c r="K522" s="137"/>
      <c r="L522" s="136"/>
      <c r="M522" s="34"/>
      <c r="P522"/>
      <c r="T522"/>
      <c r="X522"/>
    </row>
    <row r="523" spans="2:24" x14ac:dyDescent="0.2">
      <c r="B523" s="33"/>
      <c r="C523" s="4" t="s">
        <v>825</v>
      </c>
      <c r="D523" s="4"/>
      <c r="E523" s="4" t="s">
        <v>775</v>
      </c>
      <c r="F523" s="4" t="str">
        <f t="shared" si="27"/>
        <v>KB3 ⅜" x 5" LT</v>
      </c>
      <c r="G523" s="136">
        <f t="shared" si="25"/>
        <v>9.5249999999999986</v>
      </c>
      <c r="H523" s="136">
        <f t="shared" si="26"/>
        <v>11.112499999999999</v>
      </c>
      <c r="I523" s="136"/>
      <c r="J523" s="137" t="s">
        <v>2</v>
      </c>
      <c r="K523" s="137"/>
      <c r="L523" s="136"/>
      <c r="M523" s="34"/>
      <c r="P523"/>
      <c r="T523"/>
      <c r="X523"/>
    </row>
    <row r="524" spans="2:24" x14ac:dyDescent="0.2">
      <c r="B524" s="33"/>
      <c r="C524" s="4" t="s">
        <v>825</v>
      </c>
      <c r="D524" s="4"/>
      <c r="E524" s="131" t="s">
        <v>776</v>
      </c>
      <c r="F524" s="4" t="str">
        <f t="shared" si="27"/>
        <v>KB3 ⅜" x 7" LT</v>
      </c>
      <c r="G524" s="136">
        <f t="shared" si="25"/>
        <v>9.5249999999999986</v>
      </c>
      <c r="H524" s="136">
        <f t="shared" si="26"/>
        <v>11.112499999999999</v>
      </c>
      <c r="I524" s="136"/>
      <c r="J524" s="137" t="s">
        <v>2</v>
      </c>
      <c r="K524" s="137"/>
      <c r="L524" s="136"/>
      <c r="M524" s="34"/>
      <c r="P524"/>
      <c r="T524"/>
      <c r="X524"/>
    </row>
    <row r="525" spans="2:24" x14ac:dyDescent="0.2">
      <c r="B525" s="33"/>
      <c r="C525" s="4" t="s">
        <v>825</v>
      </c>
      <c r="D525" s="4"/>
      <c r="E525" s="4" t="s">
        <v>44</v>
      </c>
      <c r="F525" s="4" t="str">
        <f t="shared" si="27"/>
        <v>KB3 ½" x 2 ¾"</v>
      </c>
      <c r="G525" s="136">
        <f t="shared" si="25"/>
        <v>9.5249999999999986</v>
      </c>
      <c r="H525" s="136">
        <f t="shared" si="26"/>
        <v>11.112499999999999</v>
      </c>
      <c r="I525" s="136"/>
      <c r="J525" s="137" t="s">
        <v>2</v>
      </c>
      <c r="K525" s="137"/>
      <c r="L525" s="136"/>
      <c r="M525" s="34"/>
      <c r="P525"/>
      <c r="T525"/>
      <c r="X525"/>
    </row>
    <row r="526" spans="2:24" x14ac:dyDescent="0.2">
      <c r="B526" s="33"/>
      <c r="C526" s="4" t="s">
        <v>825</v>
      </c>
      <c r="D526" s="4"/>
      <c r="E526" s="4" t="s">
        <v>777</v>
      </c>
      <c r="F526" s="4" t="str">
        <f t="shared" si="27"/>
        <v>KB3 ½" x 3 ¾" LT</v>
      </c>
      <c r="G526" s="136">
        <f t="shared" si="25"/>
        <v>9.5249999999999986</v>
      </c>
      <c r="H526" s="136">
        <f t="shared" si="26"/>
        <v>11.112499999999999</v>
      </c>
      <c r="I526" s="136"/>
      <c r="J526" s="137" t="s">
        <v>2</v>
      </c>
      <c r="K526" s="137"/>
      <c r="L526" s="136"/>
      <c r="M526" s="34"/>
      <c r="P526"/>
      <c r="T526"/>
      <c r="X526"/>
    </row>
    <row r="527" spans="2:24" x14ac:dyDescent="0.2">
      <c r="B527" s="33"/>
      <c r="C527" s="4" t="s">
        <v>825</v>
      </c>
      <c r="D527" s="4"/>
      <c r="E527" s="4" t="s">
        <v>778</v>
      </c>
      <c r="F527" s="4" t="str">
        <f t="shared" si="27"/>
        <v>KB3 ½" x 4 ½" LT</v>
      </c>
      <c r="G527" s="136">
        <f t="shared" si="25"/>
        <v>9.5249999999999986</v>
      </c>
      <c r="H527" s="136">
        <f t="shared" si="26"/>
        <v>11.112499999999999</v>
      </c>
      <c r="I527" s="136"/>
      <c r="J527" s="137" t="s">
        <v>2</v>
      </c>
      <c r="K527" s="137"/>
      <c r="L527" s="136"/>
      <c r="M527" s="34"/>
      <c r="P527"/>
      <c r="T527"/>
      <c r="X527"/>
    </row>
    <row r="528" spans="2:24" x14ac:dyDescent="0.2">
      <c r="B528" s="33"/>
      <c r="C528" s="4" t="s">
        <v>825</v>
      </c>
      <c r="D528" s="4"/>
      <c r="E528" s="4" t="s">
        <v>779</v>
      </c>
      <c r="F528" s="4" t="str">
        <f t="shared" si="27"/>
        <v>KB3 ½" x 5 ½" LT</v>
      </c>
      <c r="G528" s="136">
        <f t="shared" si="25"/>
        <v>9.5249999999999986</v>
      </c>
      <c r="H528" s="136">
        <f t="shared" si="26"/>
        <v>11.112499999999999</v>
      </c>
      <c r="I528" s="136"/>
      <c r="J528" s="137" t="s">
        <v>2</v>
      </c>
      <c r="K528" s="137"/>
      <c r="L528" s="136"/>
      <c r="M528" s="34"/>
      <c r="P528"/>
      <c r="T528"/>
      <c r="X528"/>
    </row>
    <row r="529" spans="2:24" x14ac:dyDescent="0.2">
      <c r="B529" s="33"/>
      <c r="C529" s="4" t="s">
        <v>825</v>
      </c>
      <c r="D529" s="4"/>
      <c r="E529" s="4" t="s">
        <v>780</v>
      </c>
      <c r="F529" s="4" t="str">
        <f t="shared" si="27"/>
        <v>KB3 ½" x 7" LT</v>
      </c>
      <c r="G529" s="136">
        <f t="shared" si="25"/>
        <v>9.5249999999999986</v>
      </c>
      <c r="H529" s="136">
        <f t="shared" si="26"/>
        <v>11.112499999999999</v>
      </c>
      <c r="I529" s="136"/>
      <c r="J529" s="137" t="s">
        <v>2</v>
      </c>
      <c r="K529" s="137"/>
      <c r="L529" s="136"/>
      <c r="M529" s="34"/>
      <c r="P529"/>
      <c r="T529"/>
      <c r="X529"/>
    </row>
    <row r="530" spans="2:24" x14ac:dyDescent="0.2">
      <c r="B530" s="33"/>
      <c r="C530" s="4" t="s">
        <v>825</v>
      </c>
      <c r="D530" s="4"/>
      <c r="E530" s="4" t="s">
        <v>95</v>
      </c>
      <c r="F530" s="4" t="str">
        <f t="shared" si="27"/>
        <v>KB3 ⅝" x 3 ¾"</v>
      </c>
      <c r="G530" s="136">
        <f t="shared" si="25"/>
        <v>9.5249999999999986</v>
      </c>
      <c r="H530" s="136">
        <f t="shared" si="26"/>
        <v>11.112499999999999</v>
      </c>
      <c r="I530" s="136"/>
      <c r="J530" s="137" t="s">
        <v>2</v>
      </c>
      <c r="K530" s="137"/>
      <c r="L530" s="136"/>
      <c r="M530" s="34"/>
      <c r="P530"/>
      <c r="T530"/>
      <c r="X530"/>
    </row>
    <row r="531" spans="2:24" x14ac:dyDescent="0.2">
      <c r="B531" s="33"/>
      <c r="C531" s="4" t="s">
        <v>825</v>
      </c>
      <c r="D531" s="4"/>
      <c r="E531" s="4" t="s">
        <v>781</v>
      </c>
      <c r="F531" s="4" t="str">
        <f t="shared" si="27"/>
        <v>KB3 ⅝" x 4 ¾" LT</v>
      </c>
      <c r="G531" s="136">
        <f t="shared" si="25"/>
        <v>9.5249999999999986</v>
      </c>
      <c r="H531" s="136">
        <f t="shared" si="26"/>
        <v>11.112499999999999</v>
      </c>
      <c r="I531" s="136"/>
      <c r="J531" s="137" t="s">
        <v>2</v>
      </c>
      <c r="K531" s="137"/>
      <c r="L531" s="136"/>
      <c r="M531" s="34"/>
      <c r="P531"/>
      <c r="T531"/>
      <c r="X531"/>
    </row>
    <row r="532" spans="2:24" x14ac:dyDescent="0.2">
      <c r="B532" s="33"/>
      <c r="C532" s="4" t="s">
        <v>825</v>
      </c>
      <c r="D532" s="4"/>
      <c r="E532" s="4" t="s">
        <v>782</v>
      </c>
      <c r="F532" s="4" t="str">
        <f t="shared" si="27"/>
        <v>KB3 ⅝" x 6" LT</v>
      </c>
      <c r="G532" s="136">
        <f t="shared" si="25"/>
        <v>9.5249999999999986</v>
      </c>
      <c r="H532" s="136">
        <f t="shared" si="26"/>
        <v>11.112499999999999</v>
      </c>
      <c r="I532" s="136"/>
      <c r="J532" s="137" t="s">
        <v>2</v>
      </c>
      <c r="K532" s="137"/>
      <c r="L532" s="136"/>
      <c r="M532" s="34"/>
      <c r="P532"/>
      <c r="T532"/>
      <c r="X532"/>
    </row>
    <row r="533" spans="2:24" x14ac:dyDescent="0.2">
      <c r="B533" s="33"/>
      <c r="C533" s="4" t="s">
        <v>825</v>
      </c>
      <c r="D533" s="4"/>
      <c r="E533" s="4" t="s">
        <v>783</v>
      </c>
      <c r="F533" s="4" t="str">
        <f t="shared" si="27"/>
        <v>KB3 ⅝" x 7" LT</v>
      </c>
      <c r="G533" s="136">
        <f t="shared" si="25"/>
        <v>9.5249999999999986</v>
      </c>
      <c r="H533" s="136">
        <f t="shared" si="26"/>
        <v>11.112499999999999</v>
      </c>
      <c r="I533" s="136"/>
      <c r="J533" s="137" t="s">
        <v>2</v>
      </c>
      <c r="K533" s="137"/>
      <c r="L533" s="136"/>
      <c r="M533" s="34"/>
      <c r="P533"/>
      <c r="T533"/>
      <c r="X533"/>
    </row>
    <row r="534" spans="2:24" x14ac:dyDescent="0.2">
      <c r="B534" s="33"/>
      <c r="C534" s="4" t="s">
        <v>825</v>
      </c>
      <c r="D534" s="4"/>
      <c r="E534" s="4" t="s">
        <v>784</v>
      </c>
      <c r="F534" s="4" t="str">
        <f t="shared" si="27"/>
        <v>KB3 ⅝" x 8 ½" LT</v>
      </c>
      <c r="G534" s="136">
        <f t="shared" si="25"/>
        <v>9.5249999999999986</v>
      </c>
      <c r="H534" s="136">
        <f t="shared" si="26"/>
        <v>11.112499999999999</v>
      </c>
      <c r="I534" s="136"/>
      <c r="J534" s="137" t="s">
        <v>2</v>
      </c>
      <c r="K534" s="137"/>
      <c r="L534" s="136"/>
      <c r="M534" s="34"/>
      <c r="P534"/>
      <c r="T534"/>
      <c r="X534"/>
    </row>
    <row r="535" spans="2:24" x14ac:dyDescent="0.2">
      <c r="B535" s="33"/>
      <c r="C535" s="4" t="s">
        <v>825</v>
      </c>
      <c r="D535" s="4"/>
      <c r="E535" s="4" t="s">
        <v>785</v>
      </c>
      <c r="F535" s="4" t="str">
        <f t="shared" si="27"/>
        <v>KB3 ⅝" x 10" LT</v>
      </c>
      <c r="G535" s="136">
        <f t="shared" si="25"/>
        <v>9.5249999999999986</v>
      </c>
      <c r="H535" s="136">
        <f t="shared" si="26"/>
        <v>11.112499999999999</v>
      </c>
      <c r="I535" s="136"/>
      <c r="J535" s="137" t="s">
        <v>2</v>
      </c>
      <c r="K535" s="137"/>
      <c r="L535" s="136"/>
      <c r="M535" s="34"/>
      <c r="P535"/>
      <c r="T535"/>
      <c r="X535"/>
    </row>
    <row r="536" spans="2:24" x14ac:dyDescent="0.2">
      <c r="B536" s="33"/>
      <c r="C536" s="4" t="s">
        <v>825</v>
      </c>
      <c r="D536" s="4"/>
      <c r="E536" s="4" t="s">
        <v>45</v>
      </c>
      <c r="F536" s="4" t="str">
        <f t="shared" si="27"/>
        <v xml:space="preserve">KB3 ¾" x 12" </v>
      </c>
      <c r="G536" s="136">
        <f t="shared" si="25"/>
        <v>9.5249999999999986</v>
      </c>
      <c r="H536" s="136">
        <f t="shared" si="26"/>
        <v>11.112499999999999</v>
      </c>
      <c r="I536" s="136"/>
      <c r="J536" s="137" t="s">
        <v>2</v>
      </c>
      <c r="K536" s="137"/>
      <c r="L536" s="136"/>
      <c r="M536" s="34"/>
      <c r="P536"/>
      <c r="T536"/>
      <c r="X536"/>
    </row>
    <row r="537" spans="2:24" x14ac:dyDescent="0.2">
      <c r="B537" s="33"/>
      <c r="C537" s="4" t="s">
        <v>825</v>
      </c>
      <c r="D537" s="4"/>
      <c r="E537" s="4" t="s">
        <v>786</v>
      </c>
      <c r="F537" s="4" t="str">
        <f t="shared" si="27"/>
        <v>KB3 ¾" x 4 ¾" LT</v>
      </c>
      <c r="G537" s="136">
        <f t="shared" si="25"/>
        <v>9.5249999999999986</v>
      </c>
      <c r="H537" s="136">
        <f t="shared" si="26"/>
        <v>11.112499999999999</v>
      </c>
      <c r="I537" s="136"/>
      <c r="J537" s="137" t="s">
        <v>2</v>
      </c>
      <c r="K537" s="137"/>
      <c r="L537" s="136"/>
      <c r="M537" s="34"/>
      <c r="P537"/>
      <c r="T537"/>
      <c r="X537"/>
    </row>
    <row r="538" spans="2:24" x14ac:dyDescent="0.2">
      <c r="B538" s="33"/>
      <c r="C538" s="4" t="s">
        <v>825</v>
      </c>
      <c r="D538" s="4"/>
      <c r="E538" s="4" t="s">
        <v>787</v>
      </c>
      <c r="F538" s="4" t="str">
        <f t="shared" si="27"/>
        <v>KB3 ¾" x 5 ½" LT</v>
      </c>
      <c r="G538" s="136">
        <f t="shared" si="25"/>
        <v>9.5249999999999986</v>
      </c>
      <c r="H538" s="136">
        <f t="shared" si="26"/>
        <v>11.112499999999999</v>
      </c>
      <c r="I538" s="136"/>
      <c r="J538" s="137" t="s">
        <v>2</v>
      </c>
      <c r="K538" s="137"/>
      <c r="L538" s="136"/>
      <c r="M538" s="34"/>
      <c r="P538"/>
      <c r="T538"/>
      <c r="X538"/>
    </row>
    <row r="539" spans="2:24" x14ac:dyDescent="0.2">
      <c r="B539" s="33"/>
      <c r="C539" s="4" t="s">
        <v>825</v>
      </c>
      <c r="D539" s="4"/>
      <c r="E539" s="4" t="s">
        <v>788</v>
      </c>
      <c r="F539" s="4" t="str">
        <f t="shared" si="27"/>
        <v>KB3 ¾" x 7" LT</v>
      </c>
      <c r="G539" s="136">
        <f t="shared" si="25"/>
        <v>9.5249999999999986</v>
      </c>
      <c r="H539" s="136">
        <f t="shared" si="26"/>
        <v>11.112499999999999</v>
      </c>
      <c r="I539" s="136"/>
      <c r="J539" s="137" t="s">
        <v>2</v>
      </c>
      <c r="K539" s="137"/>
      <c r="L539" s="136"/>
      <c r="M539" s="34"/>
      <c r="P539"/>
      <c r="T539"/>
      <c r="X539"/>
    </row>
    <row r="540" spans="2:24" x14ac:dyDescent="0.2">
      <c r="B540" s="33"/>
      <c r="C540" s="4" t="s">
        <v>825</v>
      </c>
      <c r="D540" s="4"/>
      <c r="E540" s="4" t="s">
        <v>789</v>
      </c>
      <c r="F540" s="4" t="str">
        <f t="shared" si="27"/>
        <v>KB3 ¾" x 8" LT</v>
      </c>
      <c r="G540" s="136">
        <f t="shared" si="25"/>
        <v>9.5249999999999986</v>
      </c>
      <c r="H540" s="136">
        <f t="shared" si="26"/>
        <v>11.112499999999999</v>
      </c>
      <c r="I540" s="136"/>
      <c r="J540" s="137" t="s">
        <v>2</v>
      </c>
      <c r="K540" s="137"/>
      <c r="L540" s="136"/>
      <c r="M540" s="34"/>
      <c r="P540"/>
      <c r="T540"/>
      <c r="X540"/>
    </row>
    <row r="541" spans="2:24" x14ac:dyDescent="0.2">
      <c r="B541" s="33"/>
      <c r="C541" s="4" t="s">
        <v>825</v>
      </c>
      <c r="D541" s="4"/>
      <c r="E541" s="4" t="s">
        <v>790</v>
      </c>
      <c r="F541" s="4" t="str">
        <f t="shared" si="27"/>
        <v>KB3 ¾" x 10" LT</v>
      </c>
      <c r="G541" s="136">
        <f t="shared" si="25"/>
        <v>9.5249999999999986</v>
      </c>
      <c r="H541" s="136">
        <f t="shared" si="26"/>
        <v>11.112499999999999</v>
      </c>
      <c r="I541" s="136"/>
      <c r="J541" s="137" t="s">
        <v>2</v>
      </c>
      <c r="K541" s="137"/>
      <c r="L541" s="136"/>
      <c r="M541" s="34"/>
      <c r="P541"/>
      <c r="T541"/>
      <c r="X541"/>
    </row>
    <row r="542" spans="2:24" x14ac:dyDescent="0.2">
      <c r="B542" s="33"/>
      <c r="C542" s="4" t="s">
        <v>825</v>
      </c>
      <c r="D542" s="4"/>
      <c r="E542" s="4" t="s">
        <v>46</v>
      </c>
      <c r="F542" s="4" t="str">
        <f t="shared" si="27"/>
        <v>KB3 1" x 6"</v>
      </c>
      <c r="G542" s="136">
        <f t="shared" si="25"/>
        <v>9.5249999999999986</v>
      </c>
      <c r="H542" s="136">
        <f t="shared" si="26"/>
        <v>11.112499999999999</v>
      </c>
      <c r="I542" s="136"/>
      <c r="J542" s="137" t="s">
        <v>2</v>
      </c>
      <c r="K542" s="137"/>
      <c r="L542" s="136"/>
      <c r="M542" s="34"/>
      <c r="P542"/>
      <c r="T542"/>
      <c r="X542"/>
    </row>
    <row r="543" spans="2:24" x14ac:dyDescent="0.2">
      <c r="B543" s="33"/>
      <c r="C543" s="4" t="s">
        <v>825</v>
      </c>
      <c r="D543" s="4"/>
      <c r="E543" s="4" t="s">
        <v>47</v>
      </c>
      <c r="F543" s="4" t="str">
        <f t="shared" si="27"/>
        <v>KB3 1" x 9"</v>
      </c>
      <c r="G543" s="136">
        <f t="shared" si="25"/>
        <v>9.5249999999999986</v>
      </c>
      <c r="H543" s="136">
        <f t="shared" si="26"/>
        <v>11.112499999999999</v>
      </c>
      <c r="I543" s="136"/>
      <c r="J543" s="137" t="s">
        <v>2</v>
      </c>
      <c r="K543" s="137"/>
      <c r="L543" s="136"/>
      <c r="M543" s="34"/>
      <c r="P543"/>
      <c r="T543"/>
      <c r="X543"/>
    </row>
    <row r="544" spans="2:24" x14ac:dyDescent="0.2">
      <c r="B544" s="33"/>
      <c r="C544" s="4" t="s">
        <v>825</v>
      </c>
      <c r="D544" s="4"/>
      <c r="E544" s="4" t="s">
        <v>791</v>
      </c>
      <c r="F544" s="4" t="str">
        <f t="shared" si="27"/>
        <v>KB3 1" x 12" LT</v>
      </c>
      <c r="G544" s="136">
        <f t="shared" si="25"/>
        <v>9.5249999999999986</v>
      </c>
      <c r="H544" s="136">
        <f t="shared" si="26"/>
        <v>11.112499999999999</v>
      </c>
      <c r="I544" s="136"/>
      <c r="J544" s="137" t="s">
        <v>2</v>
      </c>
      <c r="K544" s="137"/>
      <c r="L544" s="136"/>
      <c r="M544" s="34"/>
      <c r="P544"/>
      <c r="T544"/>
      <c r="X544"/>
    </row>
    <row r="545" spans="2:24" x14ac:dyDescent="0.2">
      <c r="B545" s="33"/>
      <c r="C545" s="4" t="s">
        <v>825</v>
      </c>
      <c r="D545" s="4"/>
      <c r="E545" s="4" t="s">
        <v>792</v>
      </c>
      <c r="F545" s="4" t="str">
        <f t="shared" si="27"/>
        <v>KB3 HDG ½" x 3 ¾" LT</v>
      </c>
      <c r="G545" s="136">
        <f t="shared" si="25"/>
        <v>9.5249999999999986</v>
      </c>
      <c r="H545" s="136">
        <f t="shared" si="26"/>
        <v>11.112499999999999</v>
      </c>
      <c r="I545" s="136"/>
      <c r="J545" s="137" t="s">
        <v>2</v>
      </c>
      <c r="K545" s="137"/>
      <c r="L545" s="136"/>
      <c r="M545" s="34"/>
      <c r="P545"/>
      <c r="T545"/>
      <c r="X545"/>
    </row>
    <row r="546" spans="2:24" x14ac:dyDescent="0.2">
      <c r="B546" s="33"/>
      <c r="C546" s="4" t="s">
        <v>825</v>
      </c>
      <c r="D546" s="4"/>
      <c r="E546" s="4" t="s">
        <v>793</v>
      </c>
      <c r="F546" s="4" t="str">
        <f t="shared" si="27"/>
        <v>KB3 HDG ½" x 4 ½" LT</v>
      </c>
      <c r="G546" s="136">
        <f t="shared" si="25"/>
        <v>9.5249999999999986</v>
      </c>
      <c r="H546" s="136">
        <f t="shared" si="26"/>
        <v>11.112499999999999</v>
      </c>
      <c r="I546" s="136"/>
      <c r="J546" s="137" t="s">
        <v>2</v>
      </c>
      <c r="K546" s="137"/>
      <c r="L546" s="136"/>
      <c r="M546" s="34"/>
      <c r="P546"/>
      <c r="T546"/>
      <c r="X546"/>
    </row>
    <row r="547" spans="2:24" x14ac:dyDescent="0.2">
      <c r="B547" s="33"/>
      <c r="C547" s="4" t="s">
        <v>825</v>
      </c>
      <c r="D547" s="4"/>
      <c r="E547" s="4" t="s">
        <v>794</v>
      </c>
      <c r="F547" s="4" t="str">
        <f t="shared" si="27"/>
        <v>KB3 HDG ½" x 5 ½" LT</v>
      </c>
      <c r="G547" s="136">
        <f t="shared" ref="G547:G610" si="28">(3/8)*25.4</f>
        <v>9.5249999999999986</v>
      </c>
      <c r="H547" s="136">
        <f t="shared" ref="H547:H610" si="29">(7/16)*25.4</f>
        <v>11.112499999999999</v>
      </c>
      <c r="I547" s="136"/>
      <c r="J547" s="137" t="s">
        <v>2</v>
      </c>
      <c r="K547" s="137"/>
      <c r="L547" s="136"/>
      <c r="M547" s="34"/>
      <c r="P547"/>
      <c r="T547"/>
      <c r="X547"/>
    </row>
    <row r="548" spans="2:24" x14ac:dyDescent="0.2">
      <c r="B548" s="33"/>
      <c r="C548" s="4" t="s">
        <v>825</v>
      </c>
      <c r="D548" s="4"/>
      <c r="E548" s="4" t="s">
        <v>795</v>
      </c>
      <c r="F548" s="4" t="str">
        <f t="shared" si="27"/>
        <v>KB3 HDG ½" x 7 LT</v>
      </c>
      <c r="G548" s="136">
        <f t="shared" si="28"/>
        <v>9.5249999999999986</v>
      </c>
      <c r="H548" s="136">
        <f t="shared" si="29"/>
        <v>11.112499999999999</v>
      </c>
      <c r="I548" s="136"/>
      <c r="J548" s="137" t="s">
        <v>2</v>
      </c>
      <c r="K548" s="137"/>
      <c r="L548" s="136"/>
      <c r="M548" s="34"/>
      <c r="P548"/>
      <c r="T548"/>
      <c r="X548"/>
    </row>
    <row r="549" spans="2:24" x14ac:dyDescent="0.2">
      <c r="B549" s="33"/>
      <c r="C549" s="4" t="s">
        <v>825</v>
      </c>
      <c r="D549" s="4"/>
      <c r="E549" s="4" t="s">
        <v>796</v>
      </c>
      <c r="F549" s="4" t="str">
        <f t="shared" si="27"/>
        <v>KB3 HDG ⅝" x 4 ¾" LT</v>
      </c>
      <c r="G549" s="136">
        <f t="shared" si="28"/>
        <v>9.5249999999999986</v>
      </c>
      <c r="H549" s="136">
        <f t="shared" si="29"/>
        <v>11.112499999999999</v>
      </c>
      <c r="I549" s="136"/>
      <c r="J549" s="137" t="s">
        <v>2</v>
      </c>
      <c r="K549" s="137"/>
      <c r="L549" s="136"/>
      <c r="M549" s="34"/>
      <c r="P549"/>
      <c r="T549"/>
      <c r="X549"/>
    </row>
    <row r="550" spans="2:24" x14ac:dyDescent="0.2">
      <c r="B550" s="33"/>
      <c r="C550" s="4" t="s">
        <v>825</v>
      </c>
      <c r="D550" s="4"/>
      <c r="E550" s="4" t="s">
        <v>797</v>
      </c>
      <c r="F550" s="4" t="str">
        <f t="shared" si="27"/>
        <v>KB3 HDG ⅝" x 6 LT</v>
      </c>
      <c r="G550" s="136">
        <f t="shared" si="28"/>
        <v>9.5249999999999986</v>
      </c>
      <c r="H550" s="136">
        <f t="shared" si="29"/>
        <v>11.112499999999999</v>
      </c>
      <c r="I550" s="136"/>
      <c r="J550" s="137" t="s">
        <v>2</v>
      </c>
      <c r="K550" s="137"/>
      <c r="L550" s="136"/>
      <c r="M550" s="34"/>
      <c r="P550"/>
      <c r="T550"/>
      <c r="X550"/>
    </row>
    <row r="551" spans="2:24" x14ac:dyDescent="0.2">
      <c r="B551" s="33"/>
      <c r="C551" s="4" t="s">
        <v>825</v>
      </c>
      <c r="D551" s="4"/>
      <c r="E551" s="4" t="s">
        <v>798</v>
      </c>
      <c r="F551" s="4" t="str">
        <f t="shared" si="27"/>
        <v>KB3 HDG ¾" x 4 ¾" LT</v>
      </c>
      <c r="G551" s="136">
        <f t="shared" si="28"/>
        <v>9.5249999999999986</v>
      </c>
      <c r="H551" s="136">
        <f t="shared" si="29"/>
        <v>11.112499999999999</v>
      </c>
      <c r="I551" s="136"/>
      <c r="J551" s="137" t="s">
        <v>2</v>
      </c>
      <c r="K551" s="137"/>
      <c r="L551" s="136"/>
      <c r="M551" s="34"/>
      <c r="P551"/>
      <c r="T551"/>
      <c r="X551"/>
    </row>
    <row r="552" spans="2:24" x14ac:dyDescent="0.2">
      <c r="B552" s="33"/>
      <c r="C552" s="4" t="s">
        <v>825</v>
      </c>
      <c r="D552" s="4"/>
      <c r="E552" s="4" t="s">
        <v>799</v>
      </c>
      <c r="F552" s="4" t="str">
        <f t="shared" si="27"/>
        <v>KB3 HDG ¾" x 5 ½" LT</v>
      </c>
      <c r="G552" s="136">
        <f t="shared" si="28"/>
        <v>9.5249999999999986</v>
      </c>
      <c r="H552" s="136">
        <f t="shared" si="29"/>
        <v>11.112499999999999</v>
      </c>
      <c r="I552" s="136"/>
      <c r="J552" s="137" t="s">
        <v>2</v>
      </c>
      <c r="K552" s="137"/>
      <c r="L552" s="136"/>
      <c r="M552" s="34"/>
      <c r="P552"/>
      <c r="T552"/>
      <c r="X552"/>
    </row>
    <row r="553" spans="2:24" x14ac:dyDescent="0.2">
      <c r="B553" s="33"/>
      <c r="C553" s="4" t="s">
        <v>825</v>
      </c>
      <c r="D553" s="4"/>
      <c r="E553" s="4" t="s">
        <v>800</v>
      </c>
      <c r="F553" s="4" t="str">
        <f t="shared" si="27"/>
        <v>KB3 HDG ¾" x 8 LT</v>
      </c>
      <c r="G553" s="136">
        <f t="shared" si="28"/>
        <v>9.5249999999999986</v>
      </c>
      <c r="H553" s="136">
        <f t="shared" si="29"/>
        <v>11.112499999999999</v>
      </c>
      <c r="I553" s="136"/>
      <c r="J553" s="137" t="s">
        <v>2</v>
      </c>
      <c r="K553" s="137"/>
      <c r="L553" s="136"/>
      <c r="M553" s="34"/>
      <c r="P553"/>
      <c r="T553"/>
      <c r="X553"/>
    </row>
    <row r="554" spans="2:24" x14ac:dyDescent="0.2">
      <c r="B554" s="33"/>
      <c r="C554" s="4" t="s">
        <v>825</v>
      </c>
      <c r="D554" s="4"/>
      <c r="E554" s="4" t="s">
        <v>161</v>
      </c>
      <c r="F554" s="4" t="str">
        <f t="shared" si="27"/>
        <v>KB3 304SS ¼" x 1 ¾"</v>
      </c>
      <c r="G554" s="136">
        <f t="shared" si="28"/>
        <v>9.5249999999999986</v>
      </c>
      <c r="H554" s="136">
        <f t="shared" si="29"/>
        <v>11.112499999999999</v>
      </c>
      <c r="I554" s="136"/>
      <c r="J554" s="137" t="s">
        <v>2</v>
      </c>
      <c r="K554" s="137"/>
      <c r="L554" s="136"/>
      <c r="M554" s="34"/>
      <c r="P554"/>
      <c r="T554"/>
      <c r="X554"/>
    </row>
    <row r="555" spans="2:24" x14ac:dyDescent="0.2">
      <c r="B555" s="33"/>
      <c r="C555" s="4" t="s">
        <v>825</v>
      </c>
      <c r="D555" s="4"/>
      <c r="E555" s="4" t="s">
        <v>162</v>
      </c>
      <c r="F555" s="4" t="str">
        <f t="shared" si="27"/>
        <v>KB3 304SS ¼" x 2 ¼"</v>
      </c>
      <c r="G555" s="136">
        <f t="shared" si="28"/>
        <v>9.5249999999999986</v>
      </c>
      <c r="H555" s="136">
        <f t="shared" si="29"/>
        <v>11.112499999999999</v>
      </c>
      <c r="I555" s="136"/>
      <c r="J555" s="137" t="s">
        <v>2</v>
      </c>
      <c r="K555" s="137"/>
      <c r="L555" s="136"/>
      <c r="M555" s="34"/>
      <c r="P555"/>
      <c r="T555"/>
      <c r="X555"/>
    </row>
    <row r="556" spans="2:24" x14ac:dyDescent="0.2">
      <c r="B556" s="33"/>
      <c r="C556" s="4" t="s">
        <v>825</v>
      </c>
      <c r="D556" s="4"/>
      <c r="E556" s="4" t="s">
        <v>801</v>
      </c>
      <c r="F556" s="4" t="str">
        <f t="shared" si="27"/>
        <v>KB3 304SS ¼" x 3 ¼" LT</v>
      </c>
      <c r="G556" s="136">
        <f t="shared" si="28"/>
        <v>9.5249999999999986</v>
      </c>
      <c r="H556" s="136">
        <f t="shared" si="29"/>
        <v>11.112499999999999</v>
      </c>
      <c r="I556" s="136"/>
      <c r="J556" s="137" t="s">
        <v>2</v>
      </c>
      <c r="K556" s="137"/>
      <c r="L556" s="136"/>
      <c r="M556" s="34"/>
      <c r="P556"/>
      <c r="T556"/>
      <c r="X556"/>
    </row>
    <row r="557" spans="2:24" x14ac:dyDescent="0.2">
      <c r="B557" s="33"/>
      <c r="C557" s="4" t="s">
        <v>825</v>
      </c>
      <c r="D557" s="4"/>
      <c r="E557" s="4" t="s">
        <v>164</v>
      </c>
      <c r="F557" s="4" t="str">
        <f t="shared" si="27"/>
        <v>KB3 304SS ⅜" x 2 ¼"</v>
      </c>
      <c r="G557" s="136">
        <f t="shared" si="28"/>
        <v>9.5249999999999986</v>
      </c>
      <c r="H557" s="136">
        <f t="shared" si="29"/>
        <v>11.112499999999999</v>
      </c>
      <c r="I557" s="136"/>
      <c r="J557" s="137" t="s">
        <v>2</v>
      </c>
      <c r="K557" s="137"/>
      <c r="L557" s="136"/>
      <c r="M557" s="34"/>
      <c r="P557"/>
      <c r="T557"/>
      <c r="X557"/>
    </row>
    <row r="558" spans="2:24" x14ac:dyDescent="0.2">
      <c r="B558" s="33"/>
      <c r="C558" s="4" t="s">
        <v>825</v>
      </c>
      <c r="D558" s="4"/>
      <c r="E558" s="4" t="s">
        <v>802</v>
      </c>
      <c r="F558" s="4" t="str">
        <f t="shared" si="27"/>
        <v>KB3 304SS ⅜" x 3 ¾" LT</v>
      </c>
      <c r="G558" s="136">
        <f t="shared" si="28"/>
        <v>9.5249999999999986</v>
      </c>
      <c r="H558" s="136">
        <f t="shared" si="29"/>
        <v>11.112499999999999</v>
      </c>
      <c r="I558" s="136"/>
      <c r="J558" s="137" t="s">
        <v>2</v>
      </c>
      <c r="K558" s="137"/>
      <c r="L558" s="136"/>
      <c r="M558" s="34"/>
      <c r="P558"/>
      <c r="T558"/>
      <c r="X558"/>
    </row>
    <row r="559" spans="2:24" x14ac:dyDescent="0.2">
      <c r="B559" s="33"/>
      <c r="C559" s="4" t="s">
        <v>825</v>
      </c>
      <c r="D559" s="4"/>
      <c r="E559" s="4" t="s">
        <v>803</v>
      </c>
      <c r="F559" s="4" t="str">
        <f t="shared" ref="F559:F622" si="30">E559</f>
        <v>KB3 304SS ⅜" x 3 LT</v>
      </c>
      <c r="G559" s="136">
        <f t="shared" si="28"/>
        <v>9.5249999999999986</v>
      </c>
      <c r="H559" s="136">
        <f t="shared" si="29"/>
        <v>11.112499999999999</v>
      </c>
      <c r="I559" s="136"/>
      <c r="J559" s="137" t="s">
        <v>2</v>
      </c>
      <c r="K559" s="137"/>
      <c r="L559" s="136"/>
      <c r="M559" s="34"/>
      <c r="P559"/>
      <c r="T559"/>
      <c r="X559"/>
    </row>
    <row r="560" spans="2:24" x14ac:dyDescent="0.2">
      <c r="B560" s="33"/>
      <c r="C560" s="4" t="s">
        <v>825</v>
      </c>
      <c r="D560" s="4"/>
      <c r="E560" s="4" t="s">
        <v>804</v>
      </c>
      <c r="F560" s="4" t="str">
        <f t="shared" si="30"/>
        <v>KB3 304SS ⅜" x 5 LT</v>
      </c>
      <c r="G560" s="136">
        <f t="shared" si="28"/>
        <v>9.5249999999999986</v>
      </c>
      <c r="H560" s="136">
        <f t="shared" si="29"/>
        <v>11.112499999999999</v>
      </c>
      <c r="I560" s="136"/>
      <c r="J560" s="137" t="s">
        <v>2</v>
      </c>
      <c r="K560" s="137"/>
      <c r="L560" s="136"/>
      <c r="M560" s="34"/>
      <c r="P560"/>
      <c r="T560"/>
      <c r="X560"/>
    </row>
    <row r="561" spans="2:24" x14ac:dyDescent="0.2">
      <c r="B561" s="33"/>
      <c r="C561" s="4" t="s">
        <v>825</v>
      </c>
      <c r="D561" s="4"/>
      <c r="E561" s="4" t="s">
        <v>805</v>
      </c>
      <c r="F561" s="4" t="str">
        <f t="shared" si="30"/>
        <v>KB3 304SS ⅜" x 7 LT</v>
      </c>
      <c r="G561" s="136">
        <f t="shared" si="28"/>
        <v>9.5249999999999986</v>
      </c>
      <c r="H561" s="136">
        <f t="shared" si="29"/>
        <v>11.112499999999999</v>
      </c>
      <c r="I561" s="136"/>
      <c r="J561" s="137" t="s">
        <v>2</v>
      </c>
      <c r="K561" s="137"/>
      <c r="L561" s="136"/>
      <c r="M561" s="34"/>
      <c r="P561"/>
      <c r="T561"/>
      <c r="X561"/>
    </row>
    <row r="562" spans="2:24" x14ac:dyDescent="0.2">
      <c r="B562" s="33"/>
      <c r="C562" s="4" t="s">
        <v>825</v>
      </c>
      <c r="D562" s="4"/>
      <c r="E562" s="4" t="s">
        <v>158</v>
      </c>
      <c r="F562" s="4" t="str">
        <f t="shared" si="30"/>
        <v>KB3 304SS ½" x 2 ¾"</v>
      </c>
      <c r="G562" s="136">
        <f t="shared" si="28"/>
        <v>9.5249999999999986</v>
      </c>
      <c r="H562" s="136">
        <f t="shared" si="29"/>
        <v>11.112499999999999</v>
      </c>
      <c r="I562" s="136"/>
      <c r="J562" s="137" t="s">
        <v>2</v>
      </c>
      <c r="K562" s="137"/>
      <c r="L562" s="136"/>
      <c r="M562" s="34"/>
      <c r="P562"/>
      <c r="T562"/>
      <c r="X562"/>
    </row>
    <row r="563" spans="2:24" x14ac:dyDescent="0.2">
      <c r="B563" s="33"/>
      <c r="C563" s="4" t="s">
        <v>825</v>
      </c>
      <c r="D563" s="4"/>
      <c r="E563" s="4" t="s">
        <v>159</v>
      </c>
      <c r="F563" s="4" t="str">
        <f t="shared" si="30"/>
        <v>KB3 304SS ½" x 4 ½"</v>
      </c>
      <c r="G563" s="136">
        <f t="shared" si="28"/>
        <v>9.5249999999999986</v>
      </c>
      <c r="H563" s="136">
        <f t="shared" si="29"/>
        <v>11.112499999999999</v>
      </c>
      <c r="I563" s="136"/>
      <c r="J563" s="137" t="s">
        <v>2</v>
      </c>
      <c r="K563" s="137"/>
      <c r="L563" s="136"/>
      <c r="M563" s="34"/>
      <c r="P563"/>
      <c r="T563"/>
      <c r="X563"/>
    </row>
    <row r="564" spans="2:24" x14ac:dyDescent="0.2">
      <c r="B564" s="33"/>
      <c r="C564" s="4" t="s">
        <v>825</v>
      </c>
      <c r="D564" s="4"/>
      <c r="E564" s="4" t="s">
        <v>165</v>
      </c>
      <c r="F564" s="4" t="str">
        <f t="shared" si="30"/>
        <v>KB3 304SS ⅝" x 3 ¾"</v>
      </c>
      <c r="G564" s="136">
        <f t="shared" si="28"/>
        <v>9.5249999999999986</v>
      </c>
      <c r="H564" s="136">
        <f t="shared" si="29"/>
        <v>11.112499999999999</v>
      </c>
      <c r="I564" s="136"/>
      <c r="J564" s="137" t="s">
        <v>2</v>
      </c>
      <c r="K564" s="137"/>
      <c r="L564" s="136"/>
      <c r="M564" s="34"/>
      <c r="P564"/>
      <c r="T564"/>
      <c r="X564"/>
    </row>
    <row r="565" spans="2:24" x14ac:dyDescent="0.2">
      <c r="B565" s="33"/>
      <c r="C565" s="4" t="s">
        <v>825</v>
      </c>
      <c r="D565" s="4"/>
      <c r="E565" s="4" t="s">
        <v>166</v>
      </c>
      <c r="F565" s="4" t="str">
        <f t="shared" si="30"/>
        <v>KB3 304SS ⅝" x 4 ¾"</v>
      </c>
      <c r="G565" s="136">
        <f t="shared" si="28"/>
        <v>9.5249999999999986</v>
      </c>
      <c r="H565" s="136">
        <f t="shared" si="29"/>
        <v>11.112499999999999</v>
      </c>
      <c r="I565" s="136"/>
      <c r="J565" s="137" t="s">
        <v>2</v>
      </c>
      <c r="K565" s="137"/>
      <c r="L565" s="136"/>
      <c r="M565" s="34"/>
      <c r="P565"/>
      <c r="T565"/>
      <c r="X565"/>
    </row>
    <row r="566" spans="2:24" x14ac:dyDescent="0.2">
      <c r="B566" s="33"/>
      <c r="C566" s="4" t="s">
        <v>825</v>
      </c>
      <c r="D566" s="4"/>
      <c r="E566" s="4" t="s">
        <v>167</v>
      </c>
      <c r="F566" s="4" t="str">
        <f t="shared" si="30"/>
        <v>KB3 304SS ⅝" x 6"</v>
      </c>
      <c r="G566" s="136">
        <f t="shared" si="28"/>
        <v>9.5249999999999986</v>
      </c>
      <c r="H566" s="136">
        <f t="shared" si="29"/>
        <v>11.112499999999999</v>
      </c>
      <c r="I566" s="136"/>
      <c r="J566" s="137" t="s">
        <v>2</v>
      </c>
      <c r="K566" s="137"/>
      <c r="L566" s="136"/>
      <c r="M566" s="34"/>
      <c r="P566"/>
      <c r="T566"/>
      <c r="X566"/>
    </row>
    <row r="567" spans="2:24" x14ac:dyDescent="0.2">
      <c r="B567" s="33"/>
      <c r="C567" s="4" t="s">
        <v>825</v>
      </c>
      <c r="D567" s="4"/>
      <c r="E567" s="4" t="s">
        <v>157</v>
      </c>
      <c r="F567" s="4" t="str">
        <f t="shared" si="30"/>
        <v>KB3 304SS ¾" x 4 ¾"</v>
      </c>
      <c r="G567" s="136">
        <f t="shared" si="28"/>
        <v>9.5249999999999986</v>
      </c>
      <c r="H567" s="136">
        <f t="shared" si="29"/>
        <v>11.112499999999999</v>
      </c>
      <c r="I567" s="136"/>
      <c r="J567" s="137" t="s">
        <v>2</v>
      </c>
      <c r="K567" s="137"/>
      <c r="L567" s="136"/>
      <c r="M567" s="34"/>
      <c r="P567"/>
      <c r="T567"/>
      <c r="X567"/>
    </row>
    <row r="568" spans="2:24" x14ac:dyDescent="0.2">
      <c r="B568" s="33"/>
      <c r="C568" s="4" t="s">
        <v>825</v>
      </c>
      <c r="D568" s="4"/>
      <c r="E568" s="4" t="s">
        <v>160</v>
      </c>
      <c r="F568" s="4" t="str">
        <f t="shared" si="30"/>
        <v>KB3 304SS ¾" x 5 ½"</v>
      </c>
      <c r="G568" s="136">
        <f t="shared" si="28"/>
        <v>9.5249999999999986</v>
      </c>
      <c r="H568" s="136">
        <f t="shared" si="29"/>
        <v>11.112499999999999</v>
      </c>
      <c r="I568" s="136"/>
      <c r="J568" s="137" t="s">
        <v>2</v>
      </c>
      <c r="K568" s="137"/>
      <c r="L568" s="136"/>
      <c r="M568" s="34"/>
      <c r="P568"/>
      <c r="T568"/>
      <c r="X568"/>
    </row>
    <row r="569" spans="2:24" x14ac:dyDescent="0.2">
      <c r="B569" s="33"/>
      <c r="C569" s="4" t="s">
        <v>825</v>
      </c>
      <c r="D569" s="4"/>
      <c r="E569" s="4" t="s">
        <v>163</v>
      </c>
      <c r="F569" s="4" t="str">
        <f t="shared" si="30"/>
        <v>KB3 304SS ¾" x 7"</v>
      </c>
      <c r="G569" s="136">
        <f t="shared" si="28"/>
        <v>9.5249999999999986</v>
      </c>
      <c r="H569" s="136">
        <f t="shared" si="29"/>
        <v>11.112499999999999</v>
      </c>
      <c r="I569" s="136"/>
      <c r="J569" s="137" t="s">
        <v>2</v>
      </c>
      <c r="K569" s="137"/>
      <c r="L569" s="136"/>
      <c r="M569" s="34"/>
      <c r="P569"/>
      <c r="T569"/>
      <c r="X569"/>
    </row>
    <row r="570" spans="2:24" x14ac:dyDescent="0.2">
      <c r="B570" s="33"/>
      <c r="C570" s="4" t="s">
        <v>825</v>
      </c>
      <c r="D570" s="4"/>
      <c r="E570" s="4" t="s">
        <v>155</v>
      </c>
      <c r="F570" s="4" t="str">
        <f t="shared" si="30"/>
        <v>KB3 304SS 1" x 6"</v>
      </c>
      <c r="G570" s="136">
        <f t="shared" si="28"/>
        <v>9.5249999999999986</v>
      </c>
      <c r="H570" s="136">
        <f t="shared" si="29"/>
        <v>11.112499999999999</v>
      </c>
      <c r="I570" s="136"/>
      <c r="J570" s="137" t="s">
        <v>2</v>
      </c>
      <c r="K570" s="137"/>
      <c r="L570" s="136"/>
      <c r="M570" s="34"/>
      <c r="P570"/>
      <c r="T570"/>
      <c r="X570"/>
    </row>
    <row r="571" spans="2:24" x14ac:dyDescent="0.2">
      <c r="B571" s="33"/>
      <c r="C571" s="4" t="s">
        <v>825</v>
      </c>
      <c r="D571" s="4"/>
      <c r="E571" s="4" t="s">
        <v>156</v>
      </c>
      <c r="F571" s="4" t="str">
        <f t="shared" si="30"/>
        <v>KB3 304SS 1" x 9"</v>
      </c>
      <c r="G571" s="136">
        <f t="shared" si="28"/>
        <v>9.5249999999999986</v>
      </c>
      <c r="H571" s="136">
        <f t="shared" si="29"/>
        <v>11.112499999999999</v>
      </c>
      <c r="I571" s="136"/>
      <c r="J571" s="137" t="s">
        <v>2</v>
      </c>
      <c r="K571" s="137"/>
      <c r="L571" s="136"/>
      <c r="M571" s="34"/>
      <c r="P571"/>
      <c r="T571"/>
      <c r="X571"/>
    </row>
    <row r="572" spans="2:24" x14ac:dyDescent="0.2">
      <c r="B572" s="33"/>
      <c r="C572" s="4" t="s">
        <v>825</v>
      </c>
      <c r="D572" s="4"/>
      <c r="E572" s="4" t="s">
        <v>168</v>
      </c>
      <c r="F572" s="4" t="str">
        <f t="shared" si="30"/>
        <v>KB3 304SS Countersunk ¼" x 3"</v>
      </c>
      <c r="G572" s="136">
        <f t="shared" si="28"/>
        <v>9.5249999999999986</v>
      </c>
      <c r="H572" s="136">
        <f t="shared" si="29"/>
        <v>11.112499999999999</v>
      </c>
      <c r="I572" s="136"/>
      <c r="J572" s="137" t="s">
        <v>2</v>
      </c>
      <c r="K572" s="137"/>
      <c r="L572" s="136"/>
      <c r="M572" s="34"/>
      <c r="P572"/>
      <c r="T572"/>
      <c r="X572"/>
    </row>
    <row r="573" spans="2:24" x14ac:dyDescent="0.2">
      <c r="B573" s="33"/>
      <c r="C573" s="4" t="s">
        <v>825</v>
      </c>
      <c r="D573" s="4"/>
      <c r="E573" s="4" t="s">
        <v>169</v>
      </c>
      <c r="F573" s="4" t="str">
        <f t="shared" si="30"/>
        <v>KB3 304SS Countersunk ⅜" x 4"</v>
      </c>
      <c r="G573" s="136">
        <f t="shared" si="28"/>
        <v>9.5249999999999986</v>
      </c>
      <c r="H573" s="136">
        <f t="shared" si="29"/>
        <v>11.112499999999999</v>
      </c>
      <c r="I573" s="136"/>
      <c r="J573" s="137" t="s">
        <v>2</v>
      </c>
      <c r="K573" s="137"/>
      <c r="L573" s="136"/>
      <c r="M573" s="34"/>
      <c r="P573"/>
      <c r="T573"/>
      <c r="X573"/>
    </row>
    <row r="574" spans="2:24" x14ac:dyDescent="0.2">
      <c r="B574" s="33"/>
      <c r="C574" s="4"/>
      <c r="D574" s="4"/>
      <c r="E574" s="39" t="s">
        <v>261</v>
      </c>
      <c r="F574" s="4" t="str">
        <f t="shared" si="30"/>
        <v>--------------------</v>
      </c>
      <c r="G574" s="136"/>
      <c r="H574" s="136"/>
      <c r="I574" s="136"/>
      <c r="J574" s="137"/>
      <c r="K574" s="137"/>
      <c r="L574" s="136"/>
      <c r="M574" s="34"/>
      <c r="P574"/>
      <c r="T574"/>
      <c r="X574"/>
    </row>
    <row r="575" spans="2:24" x14ac:dyDescent="0.2">
      <c r="B575" s="33"/>
      <c r="C575" s="4" t="s">
        <v>826</v>
      </c>
      <c r="D575" s="4"/>
      <c r="E575" s="4" t="s">
        <v>121</v>
      </c>
      <c r="F575" s="4" t="str">
        <f t="shared" si="30"/>
        <v>HLC AC ¼" x 2 ¼"</v>
      </c>
      <c r="G575" s="136">
        <f t="shared" si="28"/>
        <v>9.5249999999999986</v>
      </c>
      <c r="H575" s="136">
        <f t="shared" si="29"/>
        <v>11.112499999999999</v>
      </c>
      <c r="I575" s="136"/>
      <c r="J575" s="137" t="s">
        <v>2</v>
      </c>
      <c r="K575" s="137"/>
      <c r="L575" s="136"/>
      <c r="M575" s="34"/>
      <c r="P575"/>
      <c r="T575"/>
      <c r="X575"/>
    </row>
    <row r="576" spans="2:24" x14ac:dyDescent="0.2">
      <c r="B576" s="33"/>
      <c r="C576" s="4" t="s">
        <v>826</v>
      </c>
      <c r="D576" s="4"/>
      <c r="E576" s="4" t="s">
        <v>142</v>
      </c>
      <c r="F576" s="4" t="str">
        <f t="shared" si="30"/>
        <v>HLC AC ¼"x1 ⅜"</v>
      </c>
      <c r="G576" s="136">
        <f t="shared" si="28"/>
        <v>9.5249999999999986</v>
      </c>
      <c r="H576" s="136">
        <f t="shared" si="29"/>
        <v>11.112499999999999</v>
      </c>
      <c r="I576" s="136"/>
      <c r="J576" s="137" t="s">
        <v>2</v>
      </c>
      <c r="K576" s="137"/>
      <c r="L576" s="136"/>
      <c r="M576" s="34"/>
      <c r="P576"/>
      <c r="T576"/>
      <c r="X576"/>
    </row>
    <row r="577" spans="2:24" x14ac:dyDescent="0.2">
      <c r="B577" s="33"/>
      <c r="C577" s="4" t="s">
        <v>826</v>
      </c>
      <c r="D577" s="4"/>
      <c r="E577" s="4" t="s">
        <v>154</v>
      </c>
      <c r="F577" s="4" t="str">
        <f t="shared" si="30"/>
        <v>HLC HX ⅜" x 1 ⅞"</v>
      </c>
      <c r="G577" s="136">
        <f t="shared" si="28"/>
        <v>9.5249999999999986</v>
      </c>
      <c r="H577" s="136">
        <f t="shared" si="29"/>
        <v>11.112499999999999</v>
      </c>
      <c r="I577" s="136"/>
      <c r="J577" s="137" t="s">
        <v>2</v>
      </c>
      <c r="K577" s="137"/>
      <c r="L577" s="136"/>
      <c r="M577" s="34"/>
      <c r="P577"/>
      <c r="T577"/>
      <c r="X577"/>
    </row>
    <row r="578" spans="2:24" x14ac:dyDescent="0.2">
      <c r="B578" s="33"/>
      <c r="C578" s="4" t="s">
        <v>826</v>
      </c>
      <c r="D578" s="4"/>
      <c r="E578" s="131" t="s">
        <v>145</v>
      </c>
      <c r="F578" s="4" t="str">
        <f t="shared" si="30"/>
        <v>HLC HX ⅜" x 3"</v>
      </c>
      <c r="G578" s="136">
        <f t="shared" si="28"/>
        <v>9.5249999999999986</v>
      </c>
      <c r="H578" s="136">
        <f t="shared" si="29"/>
        <v>11.112499999999999</v>
      </c>
      <c r="I578" s="136"/>
      <c r="J578" s="137" t="s">
        <v>2</v>
      </c>
      <c r="K578" s="137"/>
      <c r="L578" s="136"/>
      <c r="M578" s="34"/>
      <c r="P578"/>
      <c r="T578"/>
      <c r="X578"/>
    </row>
    <row r="579" spans="2:24" x14ac:dyDescent="0.2">
      <c r="B579" s="33"/>
      <c r="C579" s="4" t="s">
        <v>826</v>
      </c>
      <c r="D579" s="4"/>
      <c r="E579" s="4" t="s">
        <v>122</v>
      </c>
      <c r="F579" s="4" t="str">
        <f t="shared" si="30"/>
        <v>HLC HX ½" x 2 ¼"</v>
      </c>
      <c r="G579" s="136">
        <f t="shared" si="28"/>
        <v>9.5249999999999986</v>
      </c>
      <c r="H579" s="136">
        <f t="shared" si="29"/>
        <v>11.112499999999999</v>
      </c>
      <c r="I579" s="136"/>
      <c r="J579" s="137" t="s">
        <v>2</v>
      </c>
      <c r="K579" s="137"/>
      <c r="L579" s="136"/>
      <c r="M579" s="34"/>
      <c r="P579"/>
      <c r="T579"/>
      <c r="X579"/>
    </row>
    <row r="580" spans="2:24" x14ac:dyDescent="0.2">
      <c r="B580" s="33"/>
      <c r="C580" s="4" t="s">
        <v>826</v>
      </c>
      <c r="D580" s="4"/>
      <c r="E580" s="4" t="s">
        <v>143</v>
      </c>
      <c r="F580" s="4" t="str">
        <f t="shared" si="30"/>
        <v>HLC HX ½" x 3"</v>
      </c>
      <c r="G580" s="136">
        <f t="shared" si="28"/>
        <v>9.5249999999999986</v>
      </c>
      <c r="H580" s="136">
        <f t="shared" si="29"/>
        <v>11.112499999999999</v>
      </c>
      <c r="I580" s="136"/>
      <c r="J580" s="137" t="s">
        <v>2</v>
      </c>
      <c r="K580" s="137"/>
      <c r="L580" s="136"/>
      <c r="M580" s="34"/>
      <c r="P580"/>
      <c r="T580"/>
      <c r="X580"/>
    </row>
    <row r="581" spans="2:24" x14ac:dyDescent="0.2">
      <c r="B581" s="33"/>
      <c r="C581" s="4" t="s">
        <v>826</v>
      </c>
      <c r="D581" s="4"/>
      <c r="E581" s="4" t="s">
        <v>144</v>
      </c>
      <c r="F581" s="4" t="str">
        <f t="shared" si="30"/>
        <v>HLC HX ½" x 4"</v>
      </c>
      <c r="G581" s="136">
        <f t="shared" si="28"/>
        <v>9.5249999999999986</v>
      </c>
      <c r="H581" s="136">
        <f t="shared" si="29"/>
        <v>11.112499999999999</v>
      </c>
      <c r="I581" s="136"/>
      <c r="J581" s="137" t="s">
        <v>2</v>
      </c>
      <c r="K581" s="137"/>
      <c r="L581" s="136"/>
      <c r="M581" s="34"/>
      <c r="P581"/>
      <c r="T581"/>
      <c r="X581"/>
    </row>
    <row r="582" spans="2:24" x14ac:dyDescent="0.2">
      <c r="B582" s="33"/>
      <c r="C582" s="4" t="s">
        <v>826</v>
      </c>
      <c r="D582" s="4"/>
      <c r="E582" s="4" t="s">
        <v>149</v>
      </c>
      <c r="F582" s="4" t="str">
        <f t="shared" si="30"/>
        <v>HLC HX ⅝" x 2 ¼"</v>
      </c>
      <c r="G582" s="136">
        <f t="shared" si="28"/>
        <v>9.5249999999999986</v>
      </c>
      <c r="H582" s="136">
        <f t="shared" si="29"/>
        <v>11.112499999999999</v>
      </c>
      <c r="I582" s="136"/>
      <c r="J582" s="137" t="s">
        <v>2</v>
      </c>
      <c r="K582" s="137"/>
      <c r="L582" s="136"/>
      <c r="M582" s="34"/>
      <c r="P582"/>
      <c r="T582"/>
      <c r="X582"/>
    </row>
    <row r="583" spans="2:24" x14ac:dyDescent="0.2">
      <c r="B583" s="33"/>
      <c r="C583" s="4" t="s">
        <v>826</v>
      </c>
      <c r="D583" s="4"/>
      <c r="E583" s="4" t="s">
        <v>150</v>
      </c>
      <c r="F583" s="4" t="str">
        <f t="shared" si="30"/>
        <v>HLC HX ⅝" x 4 ¼"</v>
      </c>
      <c r="G583" s="136">
        <f t="shared" si="28"/>
        <v>9.5249999999999986</v>
      </c>
      <c r="H583" s="136">
        <f t="shared" si="29"/>
        <v>11.112499999999999</v>
      </c>
      <c r="I583" s="136"/>
      <c r="J583" s="137" t="s">
        <v>2</v>
      </c>
      <c r="K583" s="137"/>
      <c r="L583" s="136"/>
      <c r="M583" s="34"/>
      <c r="P583"/>
      <c r="T583"/>
      <c r="X583"/>
    </row>
    <row r="584" spans="2:24" x14ac:dyDescent="0.2">
      <c r="B584" s="33"/>
      <c r="C584" s="4" t="s">
        <v>826</v>
      </c>
      <c r="D584" s="4"/>
      <c r="E584" s="4" t="s">
        <v>123</v>
      </c>
      <c r="F584" s="4" t="str">
        <f t="shared" si="30"/>
        <v>HLC HX ¾" x 4 ¼"</v>
      </c>
      <c r="G584" s="136">
        <f t="shared" si="28"/>
        <v>9.5249999999999986</v>
      </c>
      <c r="H584" s="136">
        <f t="shared" si="29"/>
        <v>11.112499999999999</v>
      </c>
      <c r="I584" s="136"/>
      <c r="J584" s="137" t="s">
        <v>2</v>
      </c>
      <c r="K584" s="137"/>
      <c r="L584" s="136"/>
      <c r="M584" s="34"/>
      <c r="P584"/>
      <c r="T584"/>
      <c r="X584"/>
    </row>
    <row r="585" spans="2:24" x14ac:dyDescent="0.2">
      <c r="B585" s="33"/>
      <c r="C585" s="4" t="s">
        <v>826</v>
      </c>
      <c r="D585" s="4"/>
      <c r="E585" s="4" t="s">
        <v>147</v>
      </c>
      <c r="F585" s="4" t="str">
        <f t="shared" si="30"/>
        <v>HLC HX 5/16x1 ⅝"</v>
      </c>
      <c r="G585" s="136">
        <f t="shared" si="28"/>
        <v>9.5249999999999986</v>
      </c>
      <c r="H585" s="136">
        <f t="shared" si="29"/>
        <v>11.112499999999999</v>
      </c>
      <c r="I585" s="136"/>
      <c r="J585" s="137" t="s">
        <v>2</v>
      </c>
      <c r="K585" s="137"/>
      <c r="L585" s="136"/>
      <c r="M585" s="34"/>
      <c r="P585"/>
      <c r="T585"/>
      <c r="X585"/>
    </row>
    <row r="586" spans="2:24" x14ac:dyDescent="0.2">
      <c r="B586" s="33"/>
      <c r="C586" s="4" t="s">
        <v>826</v>
      </c>
      <c r="D586" s="4"/>
      <c r="E586" s="4" t="s">
        <v>148</v>
      </c>
      <c r="F586" s="4" t="str">
        <f t="shared" si="30"/>
        <v>HLC HX 5/16x2 ⅝"</v>
      </c>
      <c r="G586" s="136">
        <f t="shared" si="28"/>
        <v>9.5249999999999986</v>
      </c>
      <c r="H586" s="136">
        <f t="shared" si="29"/>
        <v>11.112499999999999</v>
      </c>
      <c r="I586" s="136"/>
      <c r="J586" s="137" t="s">
        <v>2</v>
      </c>
      <c r="K586" s="137"/>
      <c r="L586" s="136"/>
      <c r="M586" s="34"/>
      <c r="P586"/>
      <c r="T586"/>
      <c r="X586"/>
    </row>
    <row r="587" spans="2:24" x14ac:dyDescent="0.2">
      <c r="B587" s="33"/>
      <c r="C587" s="4"/>
      <c r="D587" s="4"/>
      <c r="E587" s="39" t="s">
        <v>261</v>
      </c>
      <c r="F587" s="4" t="str">
        <f t="shared" si="30"/>
        <v>--------------------</v>
      </c>
      <c r="G587" s="136"/>
      <c r="H587" s="136"/>
      <c r="I587" s="136"/>
      <c r="J587" s="137"/>
      <c r="K587" s="137"/>
      <c r="L587" s="136"/>
      <c r="M587" s="34"/>
      <c r="P587"/>
      <c r="T587"/>
      <c r="X587"/>
    </row>
    <row r="588" spans="2:24" x14ac:dyDescent="0.2">
      <c r="B588" s="33"/>
      <c r="C588" s="4" t="s">
        <v>827</v>
      </c>
      <c r="D588" s="4"/>
      <c r="E588" s="4" t="s">
        <v>124</v>
      </c>
      <c r="F588" s="4" t="str">
        <f t="shared" si="30"/>
        <v>HLD 2"</v>
      </c>
      <c r="G588" s="136">
        <f t="shared" si="28"/>
        <v>9.5249999999999986</v>
      </c>
      <c r="H588" s="136">
        <f t="shared" si="29"/>
        <v>11.112499999999999</v>
      </c>
      <c r="I588" s="136"/>
      <c r="J588" s="137" t="s">
        <v>2</v>
      </c>
      <c r="K588" s="137"/>
      <c r="L588" s="136"/>
      <c r="M588" s="34"/>
      <c r="P588"/>
      <c r="T588"/>
      <c r="X588"/>
    </row>
    <row r="589" spans="2:24" x14ac:dyDescent="0.2">
      <c r="B589" s="33"/>
      <c r="C589" s="4" t="s">
        <v>827</v>
      </c>
      <c r="D589" s="4"/>
      <c r="E589" s="4" t="s">
        <v>125</v>
      </c>
      <c r="F589" s="4" t="str">
        <f t="shared" si="30"/>
        <v>HLD 3"</v>
      </c>
      <c r="G589" s="136">
        <f t="shared" si="28"/>
        <v>9.5249999999999986</v>
      </c>
      <c r="H589" s="136">
        <f t="shared" si="29"/>
        <v>11.112499999999999</v>
      </c>
      <c r="I589" s="136"/>
      <c r="J589" s="137" t="s">
        <v>2</v>
      </c>
      <c r="K589" s="137"/>
      <c r="L589" s="136"/>
      <c r="M589" s="34"/>
      <c r="P589"/>
      <c r="T589"/>
      <c r="X589"/>
    </row>
    <row r="590" spans="2:24" x14ac:dyDescent="0.2">
      <c r="B590" s="33"/>
      <c r="C590" s="4" t="s">
        <v>827</v>
      </c>
      <c r="D590" s="4"/>
      <c r="E590" s="4" t="s">
        <v>126</v>
      </c>
      <c r="F590" s="4" t="str">
        <f t="shared" si="30"/>
        <v>HLD 4"</v>
      </c>
      <c r="G590" s="136">
        <f t="shared" si="28"/>
        <v>9.5249999999999986</v>
      </c>
      <c r="H590" s="136">
        <f t="shared" si="29"/>
        <v>11.112499999999999</v>
      </c>
      <c r="I590" s="136"/>
      <c r="J590" s="137" t="s">
        <v>2</v>
      </c>
      <c r="K590" s="137"/>
      <c r="L590" s="136"/>
      <c r="M590" s="34"/>
      <c r="P590"/>
      <c r="T590"/>
      <c r="X590"/>
    </row>
    <row r="591" spans="2:24" x14ac:dyDescent="0.2">
      <c r="B591" s="33"/>
      <c r="C591" s="4"/>
      <c r="D591" s="4"/>
      <c r="E591" s="39" t="s">
        <v>261</v>
      </c>
      <c r="F591" s="4" t="str">
        <f t="shared" si="30"/>
        <v>--------------------</v>
      </c>
      <c r="G591" s="136"/>
      <c r="H591" s="136"/>
      <c r="I591" s="136"/>
      <c r="J591" s="137"/>
      <c r="K591" s="137"/>
      <c r="L591" s="136"/>
      <c r="M591" s="34"/>
      <c r="P591"/>
      <c r="T591"/>
      <c r="X591"/>
    </row>
    <row r="592" spans="2:24" x14ac:dyDescent="0.2">
      <c r="B592" s="33"/>
      <c r="C592" s="4" t="s">
        <v>828</v>
      </c>
      <c r="D592" s="4"/>
      <c r="E592" s="4" t="s">
        <v>151</v>
      </c>
      <c r="F592" s="4" t="str">
        <f t="shared" si="30"/>
        <v>HPS-1 ¼" x1 ⅝"</v>
      </c>
      <c r="G592" s="136">
        <f t="shared" si="28"/>
        <v>9.5249999999999986</v>
      </c>
      <c r="H592" s="136">
        <f t="shared" si="29"/>
        <v>11.112499999999999</v>
      </c>
      <c r="I592" s="136"/>
      <c r="J592" s="137" t="s">
        <v>2</v>
      </c>
      <c r="K592" s="137"/>
      <c r="L592" s="136"/>
      <c r="M592" s="34"/>
      <c r="P592"/>
      <c r="T592"/>
      <c r="X592"/>
    </row>
    <row r="593" spans="2:24" x14ac:dyDescent="0.2">
      <c r="B593" s="33"/>
      <c r="C593" s="4" t="s">
        <v>828</v>
      </c>
      <c r="D593" s="4"/>
      <c r="E593" s="4" t="s">
        <v>152</v>
      </c>
      <c r="F593" s="4" t="str">
        <f t="shared" si="30"/>
        <v>HPS-1 5/16 x3 ⅝"</v>
      </c>
      <c r="G593" s="136">
        <f t="shared" si="28"/>
        <v>9.5249999999999986</v>
      </c>
      <c r="H593" s="136">
        <f t="shared" si="29"/>
        <v>11.112499999999999</v>
      </c>
      <c r="I593" s="136"/>
      <c r="J593" s="137" t="s">
        <v>2</v>
      </c>
      <c r="K593" s="137"/>
      <c r="L593" s="136"/>
      <c r="M593" s="34"/>
      <c r="P593"/>
      <c r="T593"/>
      <c r="X593"/>
    </row>
    <row r="594" spans="2:24" x14ac:dyDescent="0.2">
      <c r="B594" s="33"/>
      <c r="C594" s="4"/>
      <c r="D594" s="4"/>
      <c r="E594" s="39" t="s">
        <v>261</v>
      </c>
      <c r="F594" s="4" t="str">
        <f t="shared" si="30"/>
        <v>--------------------</v>
      </c>
      <c r="G594" s="136"/>
      <c r="H594" s="136"/>
      <c r="I594" s="136"/>
      <c r="J594" s="137"/>
      <c r="K594" s="137"/>
      <c r="L594" s="136"/>
      <c r="M594" s="34"/>
      <c r="P594"/>
      <c r="T594"/>
      <c r="X594"/>
    </row>
    <row r="595" spans="2:24" x14ac:dyDescent="0.2">
      <c r="B595" s="33"/>
      <c r="C595" s="4" t="s">
        <v>830</v>
      </c>
      <c r="D595" s="4"/>
      <c r="E595" s="4" t="s">
        <v>808</v>
      </c>
      <c r="F595" s="4" t="str">
        <f t="shared" si="30"/>
        <v>Toggler Bolt ¼"</v>
      </c>
      <c r="G595" s="136">
        <f t="shared" si="28"/>
        <v>9.5249999999999986</v>
      </c>
      <c r="H595" s="136">
        <f t="shared" si="29"/>
        <v>11.112499999999999</v>
      </c>
      <c r="I595" s="136"/>
      <c r="J595" s="137" t="s">
        <v>2</v>
      </c>
      <c r="K595" s="137"/>
      <c r="L595" s="136"/>
      <c r="M595" s="34"/>
      <c r="P595"/>
      <c r="T595"/>
      <c r="X595"/>
    </row>
    <row r="596" spans="2:24" x14ac:dyDescent="0.2">
      <c r="B596" s="33"/>
      <c r="C596" s="4" t="s">
        <v>830</v>
      </c>
      <c r="D596" s="4"/>
      <c r="E596" s="4" t="s">
        <v>809</v>
      </c>
      <c r="F596" s="4" t="str">
        <f t="shared" si="30"/>
        <v>Toggler Bolt ⅜"</v>
      </c>
      <c r="G596" s="136">
        <f t="shared" si="28"/>
        <v>9.5249999999999986</v>
      </c>
      <c r="H596" s="136">
        <f t="shared" si="29"/>
        <v>11.112499999999999</v>
      </c>
      <c r="I596" s="136"/>
      <c r="J596" s="137" t="s">
        <v>2</v>
      </c>
      <c r="K596" s="137"/>
      <c r="L596" s="136"/>
      <c r="M596" s="34"/>
      <c r="P596"/>
      <c r="T596"/>
      <c r="X596"/>
    </row>
    <row r="597" spans="2:24" x14ac:dyDescent="0.2">
      <c r="B597" s="33"/>
      <c r="C597" s="4" t="s">
        <v>830</v>
      </c>
      <c r="D597" s="4"/>
      <c r="E597" s="4" t="s">
        <v>810</v>
      </c>
      <c r="F597" s="4" t="str">
        <f t="shared" si="30"/>
        <v>Toggler Bolt ½"</v>
      </c>
      <c r="G597" s="136">
        <f t="shared" si="28"/>
        <v>9.5249999999999986</v>
      </c>
      <c r="H597" s="136">
        <f t="shared" si="29"/>
        <v>11.112499999999999</v>
      </c>
      <c r="I597" s="136"/>
      <c r="J597" s="137" t="s">
        <v>2</v>
      </c>
      <c r="K597" s="137"/>
      <c r="L597" s="136"/>
      <c r="M597" s="34"/>
      <c r="P597"/>
      <c r="T597"/>
      <c r="X597"/>
    </row>
    <row r="598" spans="2:24" x14ac:dyDescent="0.2">
      <c r="B598" s="33"/>
      <c r="C598" s="4"/>
      <c r="D598" s="4"/>
      <c r="E598" s="39" t="s">
        <v>261</v>
      </c>
      <c r="F598" s="4" t="str">
        <f t="shared" si="30"/>
        <v>--------------------</v>
      </c>
      <c r="G598" s="136"/>
      <c r="H598" s="136"/>
      <c r="I598" s="136"/>
      <c r="J598" s="137"/>
      <c r="K598" s="137"/>
      <c r="L598" s="136"/>
      <c r="M598" s="34"/>
      <c r="P598"/>
      <c r="T598"/>
      <c r="X598"/>
    </row>
    <row r="599" spans="2:24" x14ac:dyDescent="0.2">
      <c r="B599" s="33"/>
      <c r="C599" s="4" t="s">
        <v>829</v>
      </c>
      <c r="D599" s="4"/>
      <c r="E599" s="4" t="s">
        <v>15</v>
      </c>
      <c r="F599" s="4" t="str">
        <f t="shared" si="30"/>
        <v>HSL-3 M 8/20</v>
      </c>
      <c r="G599" s="136">
        <f t="shared" si="28"/>
        <v>9.5249999999999986</v>
      </c>
      <c r="H599" s="136">
        <f t="shared" si="29"/>
        <v>11.112499999999999</v>
      </c>
      <c r="I599" s="136"/>
      <c r="J599" s="137" t="s">
        <v>2</v>
      </c>
      <c r="K599" s="137"/>
      <c r="L599" s="136"/>
      <c r="M599" s="34"/>
      <c r="P599"/>
      <c r="T599"/>
      <c r="X599"/>
    </row>
    <row r="600" spans="2:24" x14ac:dyDescent="0.2">
      <c r="B600" s="33"/>
      <c r="C600" s="4" t="s">
        <v>829</v>
      </c>
      <c r="D600" s="4"/>
      <c r="E600" s="4" t="s">
        <v>16</v>
      </c>
      <c r="F600" s="4" t="str">
        <f t="shared" si="30"/>
        <v>HSL-3 M 8/40</v>
      </c>
      <c r="G600" s="136">
        <f t="shared" si="28"/>
        <v>9.5249999999999986</v>
      </c>
      <c r="H600" s="136">
        <f t="shared" si="29"/>
        <v>11.112499999999999</v>
      </c>
      <c r="I600" s="136"/>
      <c r="J600" s="137" t="s">
        <v>2</v>
      </c>
      <c r="K600" s="137"/>
      <c r="L600" s="136"/>
      <c r="M600" s="34"/>
      <c r="P600"/>
      <c r="T600"/>
      <c r="X600"/>
    </row>
    <row r="601" spans="2:24" x14ac:dyDescent="0.2">
      <c r="B601" s="33"/>
      <c r="C601" s="4" t="s">
        <v>829</v>
      </c>
      <c r="D601" s="4"/>
      <c r="E601" s="4" t="s">
        <v>17</v>
      </c>
      <c r="F601" s="4" t="str">
        <f t="shared" si="30"/>
        <v>HSL-3 M 10/20</v>
      </c>
      <c r="G601" s="136">
        <f t="shared" si="28"/>
        <v>9.5249999999999986</v>
      </c>
      <c r="H601" s="136">
        <f t="shared" si="29"/>
        <v>11.112499999999999</v>
      </c>
      <c r="I601" s="136"/>
      <c r="J601" s="137" t="s">
        <v>2</v>
      </c>
      <c r="K601" s="137"/>
      <c r="L601" s="136"/>
      <c r="M601" s="34"/>
      <c r="P601"/>
      <c r="T601"/>
      <c r="X601"/>
    </row>
    <row r="602" spans="2:24" x14ac:dyDescent="0.2">
      <c r="B602" s="33"/>
      <c r="C602" s="4" t="s">
        <v>829</v>
      </c>
      <c r="D602" s="4"/>
      <c r="E602" s="4" t="s">
        <v>18</v>
      </c>
      <c r="F602" s="4" t="str">
        <f t="shared" si="30"/>
        <v>HSL-3 M 10/40</v>
      </c>
      <c r="G602" s="136">
        <f t="shared" si="28"/>
        <v>9.5249999999999986</v>
      </c>
      <c r="H602" s="136">
        <f t="shared" si="29"/>
        <v>11.112499999999999</v>
      </c>
      <c r="I602" s="136"/>
      <c r="J602" s="137" t="s">
        <v>2</v>
      </c>
      <c r="K602" s="137"/>
      <c r="L602" s="136"/>
      <c r="M602" s="34"/>
      <c r="P602"/>
      <c r="T602"/>
      <c r="X602"/>
    </row>
    <row r="603" spans="2:24" x14ac:dyDescent="0.2">
      <c r="B603" s="33"/>
      <c r="C603" s="4" t="s">
        <v>829</v>
      </c>
      <c r="D603" s="4"/>
      <c r="E603" s="4" t="s">
        <v>19</v>
      </c>
      <c r="F603" s="4" t="str">
        <f t="shared" si="30"/>
        <v>HSL-3 M 12/25</v>
      </c>
      <c r="G603" s="136">
        <f t="shared" si="28"/>
        <v>9.5249999999999986</v>
      </c>
      <c r="H603" s="136">
        <f t="shared" si="29"/>
        <v>11.112499999999999</v>
      </c>
      <c r="I603" s="136"/>
      <c r="J603" s="137" t="s">
        <v>2</v>
      </c>
      <c r="K603" s="137"/>
      <c r="L603" s="136"/>
      <c r="M603" s="34"/>
      <c r="P603"/>
      <c r="T603"/>
      <c r="X603"/>
    </row>
    <row r="604" spans="2:24" x14ac:dyDescent="0.2">
      <c r="B604" s="33"/>
      <c r="C604" s="4" t="s">
        <v>829</v>
      </c>
      <c r="D604" s="4"/>
      <c r="E604" s="4" t="s">
        <v>20</v>
      </c>
      <c r="F604" s="4" t="str">
        <f t="shared" si="30"/>
        <v>HSL-3 M 12/50</v>
      </c>
      <c r="G604" s="136">
        <f t="shared" si="28"/>
        <v>9.5249999999999986</v>
      </c>
      <c r="H604" s="136">
        <f t="shared" si="29"/>
        <v>11.112499999999999</v>
      </c>
      <c r="I604" s="136"/>
      <c r="J604" s="137" t="s">
        <v>2</v>
      </c>
      <c r="K604" s="137"/>
      <c r="L604" s="136"/>
      <c r="M604" s="34"/>
      <c r="P604"/>
      <c r="T604"/>
      <c r="X604"/>
    </row>
    <row r="605" spans="2:24" x14ac:dyDescent="0.2">
      <c r="B605" s="33"/>
      <c r="C605" s="4" t="s">
        <v>829</v>
      </c>
      <c r="D605" s="4"/>
      <c r="E605" s="4" t="s">
        <v>21</v>
      </c>
      <c r="F605" s="4" t="str">
        <f t="shared" si="30"/>
        <v>HSL-3 M 16/25</v>
      </c>
      <c r="G605" s="136">
        <f t="shared" si="28"/>
        <v>9.5249999999999986</v>
      </c>
      <c r="H605" s="136">
        <f t="shared" si="29"/>
        <v>11.112499999999999</v>
      </c>
      <c r="I605" s="136"/>
      <c r="J605" s="137" t="s">
        <v>2</v>
      </c>
      <c r="K605" s="137"/>
      <c r="L605" s="136"/>
      <c r="M605" s="34"/>
      <c r="P605"/>
      <c r="T605"/>
      <c r="X605"/>
    </row>
    <row r="606" spans="2:24" x14ac:dyDescent="0.2">
      <c r="B606" s="33"/>
      <c r="C606" s="4" t="s">
        <v>829</v>
      </c>
      <c r="D606" s="4"/>
      <c r="E606" s="4" t="s">
        <v>22</v>
      </c>
      <c r="F606" s="4" t="str">
        <f t="shared" si="30"/>
        <v>HSL-3 M 16/50</v>
      </c>
      <c r="G606" s="136">
        <f t="shared" si="28"/>
        <v>9.5249999999999986</v>
      </c>
      <c r="H606" s="136">
        <f t="shared" si="29"/>
        <v>11.112499999999999</v>
      </c>
      <c r="I606" s="136"/>
      <c r="J606" s="137" t="s">
        <v>2</v>
      </c>
      <c r="K606" s="137"/>
      <c r="L606" s="136"/>
      <c r="M606" s="34"/>
      <c r="P606"/>
      <c r="T606"/>
      <c r="X606"/>
    </row>
    <row r="607" spans="2:24" x14ac:dyDescent="0.2">
      <c r="B607" s="33"/>
      <c r="C607" s="4" t="s">
        <v>829</v>
      </c>
      <c r="D607" s="4"/>
      <c r="E607" s="4" t="s">
        <v>23</v>
      </c>
      <c r="F607" s="4" t="str">
        <f t="shared" si="30"/>
        <v>HSL-3 M 20/30</v>
      </c>
      <c r="G607" s="136">
        <f t="shared" si="28"/>
        <v>9.5249999999999986</v>
      </c>
      <c r="H607" s="136">
        <f t="shared" si="29"/>
        <v>11.112499999999999</v>
      </c>
      <c r="I607" s="136"/>
      <c r="J607" s="137" t="s">
        <v>2</v>
      </c>
      <c r="K607" s="137"/>
      <c r="L607" s="136"/>
      <c r="M607" s="34"/>
      <c r="P607"/>
      <c r="T607"/>
      <c r="X607"/>
    </row>
    <row r="608" spans="2:24" x14ac:dyDescent="0.2">
      <c r="B608" s="33"/>
      <c r="C608" s="4" t="s">
        <v>829</v>
      </c>
      <c r="D608" s="4"/>
      <c r="E608" s="4" t="s">
        <v>24</v>
      </c>
      <c r="F608" s="4" t="str">
        <f t="shared" si="30"/>
        <v>HSL-3 M 20/60</v>
      </c>
      <c r="G608" s="136">
        <f t="shared" si="28"/>
        <v>9.5249999999999986</v>
      </c>
      <c r="H608" s="136">
        <f t="shared" si="29"/>
        <v>11.112499999999999</v>
      </c>
      <c r="I608" s="136"/>
      <c r="J608" s="137" t="s">
        <v>2</v>
      </c>
      <c r="K608" s="137"/>
      <c r="L608" s="136"/>
      <c r="M608" s="34"/>
      <c r="P608"/>
      <c r="T608"/>
      <c r="X608"/>
    </row>
    <row r="609" spans="2:24" x14ac:dyDescent="0.2">
      <c r="B609" s="33"/>
      <c r="C609" s="4" t="s">
        <v>829</v>
      </c>
      <c r="D609" s="4"/>
      <c r="E609" s="4" t="s">
        <v>25</v>
      </c>
      <c r="F609" s="4" t="str">
        <f t="shared" si="30"/>
        <v>HSL-3 M 24/30</v>
      </c>
      <c r="G609" s="136">
        <f t="shared" si="28"/>
        <v>9.5249999999999986</v>
      </c>
      <c r="H609" s="136">
        <f t="shared" si="29"/>
        <v>11.112499999999999</v>
      </c>
      <c r="I609" s="136"/>
      <c r="J609" s="137" t="s">
        <v>2</v>
      </c>
      <c r="K609" s="137"/>
      <c r="L609" s="136"/>
      <c r="M609" s="34"/>
      <c r="P609"/>
      <c r="T609"/>
      <c r="X609"/>
    </row>
    <row r="610" spans="2:24" x14ac:dyDescent="0.2">
      <c r="B610" s="33"/>
      <c r="C610" s="4" t="s">
        <v>829</v>
      </c>
      <c r="D610" s="4"/>
      <c r="E610" s="4" t="s">
        <v>26</v>
      </c>
      <c r="F610" s="4" t="str">
        <f t="shared" si="30"/>
        <v>HSL-3 M 24/60</v>
      </c>
      <c r="G610" s="136">
        <f t="shared" si="28"/>
        <v>9.5249999999999986</v>
      </c>
      <c r="H610" s="136">
        <f t="shared" si="29"/>
        <v>11.112499999999999</v>
      </c>
      <c r="I610" s="136"/>
      <c r="J610" s="137" t="s">
        <v>2</v>
      </c>
      <c r="K610" s="137"/>
      <c r="L610" s="136"/>
      <c r="M610" s="34"/>
      <c r="P610"/>
      <c r="T610"/>
      <c r="X610"/>
    </row>
    <row r="611" spans="2:24" x14ac:dyDescent="0.2">
      <c r="B611" s="33"/>
      <c r="C611" s="4" t="s">
        <v>829</v>
      </c>
      <c r="D611" s="4"/>
      <c r="E611" s="4" t="s">
        <v>28</v>
      </c>
      <c r="F611" s="4" t="str">
        <f t="shared" si="30"/>
        <v>HSL-3-B M 12/25</v>
      </c>
      <c r="G611" s="136">
        <f t="shared" ref="G611:G674" si="31">(3/8)*25.4</f>
        <v>9.5249999999999986</v>
      </c>
      <c r="H611" s="136">
        <f t="shared" ref="H611:H674" si="32">(7/16)*25.4</f>
        <v>11.112499999999999</v>
      </c>
      <c r="I611" s="136"/>
      <c r="J611" s="137" t="s">
        <v>2</v>
      </c>
      <c r="K611" s="137"/>
      <c r="L611" s="136"/>
      <c r="M611" s="34"/>
      <c r="P611"/>
      <c r="T611"/>
      <c r="X611"/>
    </row>
    <row r="612" spans="2:24" x14ac:dyDescent="0.2">
      <c r="B612" s="33"/>
      <c r="C612" s="4" t="s">
        <v>829</v>
      </c>
      <c r="D612" s="4"/>
      <c r="E612" s="4" t="s">
        <v>27</v>
      </c>
      <c r="F612" s="4" t="str">
        <f t="shared" si="30"/>
        <v>HSL-3-B M 12/5</v>
      </c>
      <c r="G612" s="136">
        <f t="shared" si="31"/>
        <v>9.5249999999999986</v>
      </c>
      <c r="H612" s="136">
        <f t="shared" si="32"/>
        <v>11.112499999999999</v>
      </c>
      <c r="I612" s="136"/>
      <c r="J612" s="137" t="s">
        <v>2</v>
      </c>
      <c r="K612" s="137"/>
      <c r="L612" s="136"/>
      <c r="M612" s="34"/>
      <c r="P612"/>
      <c r="T612"/>
      <c r="X612"/>
    </row>
    <row r="613" spans="2:24" x14ac:dyDescent="0.2">
      <c r="B613" s="33"/>
      <c r="C613" s="4" t="s">
        <v>829</v>
      </c>
      <c r="D613" s="4"/>
      <c r="E613" s="4" t="s">
        <v>29</v>
      </c>
      <c r="F613" s="4" t="str">
        <f t="shared" si="30"/>
        <v>HSL-3-B M 12/50</v>
      </c>
      <c r="G613" s="136">
        <f t="shared" si="31"/>
        <v>9.5249999999999986</v>
      </c>
      <c r="H613" s="136">
        <f t="shared" si="32"/>
        <v>11.112499999999999</v>
      </c>
      <c r="I613" s="136"/>
      <c r="J613" s="137" t="s">
        <v>2</v>
      </c>
      <c r="K613" s="137"/>
      <c r="L613" s="136"/>
      <c r="M613" s="34"/>
      <c r="P613"/>
      <c r="T613"/>
      <c r="X613"/>
    </row>
    <row r="614" spans="2:24" x14ac:dyDescent="0.2">
      <c r="B614" s="33"/>
      <c r="C614" s="4" t="s">
        <v>829</v>
      </c>
      <c r="D614" s="4"/>
      <c r="E614" s="4" t="s">
        <v>30</v>
      </c>
      <c r="F614" s="4" t="str">
        <f t="shared" si="30"/>
        <v>HSL-3-B M 16/10</v>
      </c>
      <c r="G614" s="136">
        <f t="shared" si="31"/>
        <v>9.5249999999999986</v>
      </c>
      <c r="H614" s="136">
        <f t="shared" si="32"/>
        <v>11.112499999999999</v>
      </c>
      <c r="I614" s="136"/>
      <c r="J614" s="137" t="s">
        <v>2</v>
      </c>
      <c r="K614" s="137"/>
      <c r="L614" s="136"/>
      <c r="M614" s="34"/>
      <c r="P614"/>
      <c r="T614"/>
      <c r="X614"/>
    </row>
    <row r="615" spans="2:24" x14ac:dyDescent="0.2">
      <c r="B615" s="33"/>
      <c r="C615" s="4" t="s">
        <v>829</v>
      </c>
      <c r="D615" s="4"/>
      <c r="E615" s="4" t="s">
        <v>31</v>
      </c>
      <c r="F615" s="4" t="str">
        <f t="shared" si="30"/>
        <v>HSL-3-B M 16/25</v>
      </c>
      <c r="G615" s="136">
        <f t="shared" si="31"/>
        <v>9.5249999999999986</v>
      </c>
      <c r="H615" s="136">
        <f t="shared" si="32"/>
        <v>11.112499999999999</v>
      </c>
      <c r="I615" s="136"/>
      <c r="J615" s="137" t="s">
        <v>2</v>
      </c>
      <c r="K615" s="137"/>
      <c r="L615" s="136"/>
      <c r="M615" s="34"/>
      <c r="P615"/>
      <c r="T615"/>
      <c r="X615"/>
    </row>
    <row r="616" spans="2:24" x14ac:dyDescent="0.2">
      <c r="B616" s="33"/>
      <c r="C616" s="4" t="s">
        <v>829</v>
      </c>
      <c r="D616" s="4"/>
      <c r="E616" s="4" t="s">
        <v>32</v>
      </c>
      <c r="F616" s="4" t="str">
        <f t="shared" si="30"/>
        <v>HSL-3-B M 20/30</v>
      </c>
      <c r="G616" s="136">
        <f t="shared" si="31"/>
        <v>9.5249999999999986</v>
      </c>
      <c r="H616" s="136">
        <f t="shared" si="32"/>
        <v>11.112499999999999</v>
      </c>
      <c r="I616" s="136"/>
      <c r="J616" s="137" t="s">
        <v>2</v>
      </c>
      <c r="K616" s="137"/>
      <c r="L616" s="136"/>
      <c r="M616" s="34"/>
      <c r="P616"/>
      <c r="T616"/>
      <c r="X616"/>
    </row>
    <row r="617" spans="2:24" x14ac:dyDescent="0.2">
      <c r="B617" s="33"/>
      <c r="C617" s="4" t="s">
        <v>829</v>
      </c>
      <c r="D617" s="4"/>
      <c r="E617" s="4" t="s">
        <v>33</v>
      </c>
      <c r="F617" s="4" t="str">
        <f t="shared" si="30"/>
        <v>HSL-3-B M 24/30</v>
      </c>
      <c r="G617" s="136">
        <f t="shared" si="31"/>
        <v>9.5249999999999986</v>
      </c>
      <c r="H617" s="136">
        <f t="shared" si="32"/>
        <v>11.112499999999999</v>
      </c>
      <c r="I617" s="136"/>
      <c r="J617" s="137" t="s">
        <v>2</v>
      </c>
      <c r="K617" s="137"/>
      <c r="L617" s="136"/>
      <c r="M617" s="34"/>
      <c r="P617"/>
      <c r="T617"/>
      <c r="X617"/>
    </row>
    <row r="618" spans="2:24" x14ac:dyDescent="0.2">
      <c r="B618" s="33"/>
      <c r="C618" s="4" t="s">
        <v>829</v>
      </c>
      <c r="D618" s="4"/>
      <c r="E618" s="4" t="s">
        <v>34</v>
      </c>
      <c r="F618" s="4" t="str">
        <f t="shared" si="30"/>
        <v>HSL-3-G M 8/20</v>
      </c>
      <c r="G618" s="136">
        <f t="shared" si="31"/>
        <v>9.5249999999999986</v>
      </c>
      <c r="H618" s="136">
        <f t="shared" si="32"/>
        <v>11.112499999999999</v>
      </c>
      <c r="I618" s="136"/>
      <c r="J618" s="137" t="s">
        <v>2</v>
      </c>
      <c r="K618" s="137"/>
      <c r="L618" s="136"/>
      <c r="M618" s="34"/>
      <c r="P618"/>
      <c r="T618"/>
      <c r="X618"/>
    </row>
    <row r="619" spans="2:24" x14ac:dyDescent="0.2">
      <c r="B619" s="33"/>
      <c r="C619" s="4" t="s">
        <v>829</v>
      </c>
      <c r="D619" s="4"/>
      <c r="E619" s="4" t="s">
        <v>35</v>
      </c>
      <c r="F619" s="4" t="str">
        <f t="shared" si="30"/>
        <v>HSL-3-G M 10/20</v>
      </c>
      <c r="G619" s="136">
        <f t="shared" si="31"/>
        <v>9.5249999999999986</v>
      </c>
      <c r="H619" s="136">
        <f t="shared" si="32"/>
        <v>11.112499999999999</v>
      </c>
      <c r="I619" s="136"/>
      <c r="J619" s="137" t="s">
        <v>2</v>
      </c>
      <c r="K619" s="137"/>
      <c r="L619" s="136"/>
      <c r="M619" s="34"/>
      <c r="P619"/>
      <c r="T619"/>
      <c r="X619"/>
    </row>
    <row r="620" spans="2:24" x14ac:dyDescent="0.2">
      <c r="B620" s="33"/>
      <c r="C620" s="4" t="s">
        <v>829</v>
      </c>
      <c r="D620" s="4"/>
      <c r="E620" s="4" t="s">
        <v>36</v>
      </c>
      <c r="F620" s="4" t="str">
        <f t="shared" si="30"/>
        <v>HSL-3-G M 12/25</v>
      </c>
      <c r="G620" s="136">
        <f t="shared" si="31"/>
        <v>9.5249999999999986</v>
      </c>
      <c r="H620" s="136">
        <f t="shared" si="32"/>
        <v>11.112499999999999</v>
      </c>
      <c r="I620" s="136"/>
      <c r="J620" s="137" t="s">
        <v>2</v>
      </c>
      <c r="K620" s="137"/>
      <c r="L620" s="136"/>
      <c r="M620" s="34"/>
      <c r="P620"/>
      <c r="T620"/>
      <c r="X620"/>
    </row>
    <row r="621" spans="2:24" x14ac:dyDescent="0.2">
      <c r="B621" s="33"/>
      <c r="C621" s="4" t="s">
        <v>829</v>
      </c>
      <c r="D621" s="4"/>
      <c r="E621" s="4" t="s">
        <v>37</v>
      </c>
      <c r="F621" s="4" t="str">
        <f t="shared" si="30"/>
        <v>HSL-3-G M 12/50</v>
      </c>
      <c r="G621" s="136">
        <f t="shared" si="31"/>
        <v>9.5249999999999986</v>
      </c>
      <c r="H621" s="136">
        <f t="shared" si="32"/>
        <v>11.112499999999999</v>
      </c>
      <c r="I621" s="136"/>
      <c r="J621" s="137" t="s">
        <v>2</v>
      </c>
      <c r="K621" s="137"/>
      <c r="L621" s="136"/>
      <c r="M621" s="34"/>
      <c r="P621"/>
      <c r="T621"/>
      <c r="X621"/>
    </row>
    <row r="622" spans="2:24" x14ac:dyDescent="0.2">
      <c r="B622" s="33"/>
      <c r="C622" s="4" t="s">
        <v>829</v>
      </c>
      <c r="D622" s="4"/>
      <c r="E622" s="4" t="s">
        <v>38</v>
      </c>
      <c r="F622" s="4" t="str">
        <f t="shared" si="30"/>
        <v>HSL-3-G M 16/25</v>
      </c>
      <c r="G622" s="136">
        <f t="shared" si="31"/>
        <v>9.5249999999999986</v>
      </c>
      <c r="H622" s="136">
        <f t="shared" si="32"/>
        <v>11.112499999999999</v>
      </c>
      <c r="I622" s="136"/>
      <c r="J622" s="137" t="s">
        <v>2</v>
      </c>
      <c r="K622" s="137"/>
      <c r="L622" s="136"/>
      <c r="M622" s="34"/>
      <c r="P622"/>
      <c r="T622"/>
      <c r="X622"/>
    </row>
    <row r="623" spans="2:24" x14ac:dyDescent="0.2">
      <c r="B623" s="33"/>
      <c r="C623" s="4" t="s">
        <v>829</v>
      </c>
      <c r="D623" s="4"/>
      <c r="E623" s="4" t="s">
        <v>39</v>
      </c>
      <c r="F623" s="4" t="str">
        <f t="shared" ref="F623:F686" si="33">E623</f>
        <v>HSL-3-G M 16/50</v>
      </c>
      <c r="G623" s="136">
        <f t="shared" si="31"/>
        <v>9.5249999999999986</v>
      </c>
      <c r="H623" s="136">
        <f t="shared" si="32"/>
        <v>11.112499999999999</v>
      </c>
      <c r="I623" s="136"/>
      <c r="J623" s="137" t="s">
        <v>2</v>
      </c>
      <c r="K623" s="137"/>
      <c r="L623" s="136"/>
      <c r="M623" s="34"/>
      <c r="P623"/>
      <c r="T623"/>
      <c r="X623"/>
    </row>
    <row r="624" spans="2:24" x14ac:dyDescent="0.2">
      <c r="B624" s="33"/>
      <c r="C624" s="4" t="s">
        <v>829</v>
      </c>
      <c r="D624" s="4"/>
      <c r="E624" s="4" t="s">
        <v>40</v>
      </c>
      <c r="F624" s="4" t="str">
        <f t="shared" si="33"/>
        <v>HSL-3-G M 20/30</v>
      </c>
      <c r="G624" s="136">
        <f t="shared" si="31"/>
        <v>9.5249999999999986</v>
      </c>
      <c r="H624" s="136">
        <f t="shared" si="32"/>
        <v>11.112499999999999</v>
      </c>
      <c r="I624" s="136"/>
      <c r="J624" s="137" t="s">
        <v>2</v>
      </c>
      <c r="K624" s="137"/>
      <c r="L624" s="136"/>
      <c r="M624" s="34"/>
      <c r="P624"/>
      <c r="T624"/>
      <c r="X624"/>
    </row>
    <row r="625" spans="2:24" x14ac:dyDescent="0.2">
      <c r="B625" s="33"/>
      <c r="C625" s="4" t="s">
        <v>829</v>
      </c>
      <c r="D625" s="4"/>
      <c r="E625" s="4" t="s">
        <v>13</v>
      </c>
      <c r="F625" s="4" t="str">
        <f t="shared" si="33"/>
        <v>HSLG-R M 12/25</v>
      </c>
      <c r="G625" s="136">
        <f t="shared" si="31"/>
        <v>9.5249999999999986</v>
      </c>
      <c r="H625" s="136">
        <f t="shared" si="32"/>
        <v>11.112499999999999</v>
      </c>
      <c r="I625" s="136"/>
      <c r="J625" s="137" t="s">
        <v>2</v>
      </c>
      <c r="K625" s="137"/>
      <c r="L625" s="136"/>
      <c r="M625" s="34"/>
      <c r="P625"/>
      <c r="T625"/>
      <c r="X625"/>
    </row>
    <row r="626" spans="2:24" x14ac:dyDescent="0.2">
      <c r="B626" s="33"/>
      <c r="C626" s="4" t="s">
        <v>829</v>
      </c>
      <c r="D626" s="4"/>
      <c r="E626" s="4" t="s">
        <v>14</v>
      </c>
      <c r="F626" s="4" t="str">
        <f t="shared" si="33"/>
        <v xml:space="preserve">HSLG-R M 16/25 </v>
      </c>
      <c r="G626" s="136">
        <f t="shared" si="31"/>
        <v>9.5249999999999986</v>
      </c>
      <c r="H626" s="136">
        <f t="shared" si="32"/>
        <v>11.112499999999999</v>
      </c>
      <c r="I626" s="136"/>
      <c r="J626" s="137" t="s">
        <v>2</v>
      </c>
      <c r="K626" s="137"/>
      <c r="L626" s="136"/>
      <c r="M626" s="34"/>
      <c r="P626"/>
      <c r="T626"/>
      <c r="X626"/>
    </row>
    <row r="627" spans="2:24" x14ac:dyDescent="0.2">
      <c r="B627" s="33"/>
      <c r="C627" s="4" t="s">
        <v>829</v>
      </c>
      <c r="D627" s="4"/>
      <c r="E627" s="4" t="s">
        <v>12</v>
      </c>
      <c r="F627" s="4" t="str">
        <f t="shared" si="33"/>
        <v>HSLG-R M 20/30</v>
      </c>
      <c r="G627" s="136">
        <f t="shared" si="31"/>
        <v>9.5249999999999986</v>
      </c>
      <c r="H627" s="136">
        <f t="shared" si="32"/>
        <v>11.112499999999999</v>
      </c>
      <c r="I627" s="136"/>
      <c r="J627" s="137" t="s">
        <v>2</v>
      </c>
      <c r="K627" s="137"/>
      <c r="L627" s="136"/>
      <c r="M627" s="34"/>
      <c r="P627"/>
      <c r="T627"/>
      <c r="X627"/>
    </row>
    <row r="628" spans="2:24" x14ac:dyDescent="0.2">
      <c r="B628" s="33"/>
      <c r="C628" s="4" t="s">
        <v>829</v>
      </c>
      <c r="D628" s="4"/>
      <c r="E628" s="4" t="s">
        <v>11</v>
      </c>
      <c r="F628" s="4" t="str">
        <f t="shared" si="33"/>
        <v xml:space="preserve">HSL-I M12 TN </v>
      </c>
      <c r="G628" s="136">
        <f t="shared" si="31"/>
        <v>9.5249999999999986</v>
      </c>
      <c r="H628" s="136">
        <f t="shared" si="32"/>
        <v>11.112499999999999</v>
      </c>
      <c r="I628" s="136"/>
      <c r="J628" s="137" t="s">
        <v>2</v>
      </c>
      <c r="K628" s="137"/>
      <c r="L628" s="136"/>
      <c r="M628" s="34"/>
      <c r="P628"/>
      <c r="T628"/>
      <c r="X628"/>
    </row>
    <row r="629" spans="2:24" x14ac:dyDescent="0.2">
      <c r="B629" s="33"/>
      <c r="C629" s="4"/>
      <c r="D629" s="4"/>
      <c r="E629" s="39" t="s">
        <v>261</v>
      </c>
      <c r="F629" s="4" t="str">
        <f t="shared" si="33"/>
        <v>--------------------</v>
      </c>
      <c r="G629" s="136"/>
      <c r="H629" s="136"/>
      <c r="I629" s="136"/>
      <c r="J629" s="137"/>
      <c r="K629" s="137"/>
      <c r="L629" s="136"/>
      <c r="M629" s="34"/>
      <c r="P629"/>
      <c r="T629"/>
      <c r="X629"/>
    </row>
    <row r="630" spans="2:24" x14ac:dyDescent="0.2">
      <c r="B630" s="33"/>
      <c r="C630" s="4" t="s">
        <v>831</v>
      </c>
      <c r="D630" s="4"/>
      <c r="E630" s="4" t="s">
        <v>82</v>
      </c>
      <c r="F630" s="4" t="str">
        <f t="shared" si="33"/>
        <v>KB-TZ ½" x 3 ¾"</v>
      </c>
      <c r="G630" s="136">
        <f t="shared" si="31"/>
        <v>9.5249999999999986</v>
      </c>
      <c r="H630" s="136">
        <f t="shared" si="32"/>
        <v>11.112499999999999</v>
      </c>
      <c r="I630" s="136"/>
      <c r="J630" s="137" t="s">
        <v>2</v>
      </c>
      <c r="K630" s="137"/>
      <c r="L630" s="136"/>
      <c r="M630" s="34"/>
      <c r="P630"/>
      <c r="T630"/>
      <c r="X630"/>
    </row>
    <row r="631" spans="2:24" x14ac:dyDescent="0.2">
      <c r="B631" s="33"/>
      <c r="C631" s="4" t="s">
        <v>831</v>
      </c>
      <c r="D631" s="4"/>
      <c r="E631" s="4" t="s">
        <v>81</v>
      </c>
      <c r="F631" s="4" t="str">
        <f t="shared" si="33"/>
        <v>KB-TZ ½" x 4 ½"</v>
      </c>
      <c r="G631" s="136">
        <f t="shared" si="31"/>
        <v>9.5249999999999986</v>
      </c>
      <c r="H631" s="136">
        <f t="shared" si="32"/>
        <v>11.112499999999999</v>
      </c>
      <c r="I631" s="136"/>
      <c r="J631" s="137" t="s">
        <v>2</v>
      </c>
      <c r="K631" s="137"/>
      <c r="L631" s="136"/>
      <c r="M631" s="34"/>
      <c r="P631"/>
      <c r="T631"/>
      <c r="X631"/>
    </row>
    <row r="632" spans="2:24" x14ac:dyDescent="0.2">
      <c r="B632" s="33"/>
      <c r="C632" s="4" t="s">
        <v>831</v>
      </c>
      <c r="D632" s="4"/>
      <c r="E632" s="4" t="s">
        <v>83</v>
      </c>
      <c r="F632" s="4" t="str">
        <f t="shared" si="33"/>
        <v>KB-TZ ½" x 5 ½"</v>
      </c>
      <c r="G632" s="136">
        <f t="shared" si="31"/>
        <v>9.5249999999999986</v>
      </c>
      <c r="H632" s="136">
        <f t="shared" si="32"/>
        <v>11.112499999999999</v>
      </c>
      <c r="I632" s="136"/>
      <c r="J632" s="137" t="s">
        <v>2</v>
      </c>
      <c r="K632" s="137"/>
      <c r="L632" s="136"/>
      <c r="M632" s="34"/>
      <c r="P632"/>
      <c r="T632"/>
      <c r="X632"/>
    </row>
    <row r="633" spans="2:24" x14ac:dyDescent="0.2">
      <c r="B633" s="33"/>
      <c r="C633" s="4" t="s">
        <v>831</v>
      </c>
      <c r="D633" s="4"/>
      <c r="E633" s="4" t="s">
        <v>84</v>
      </c>
      <c r="F633" s="4" t="str">
        <f t="shared" si="33"/>
        <v>KB-TZ ½" x 7"</v>
      </c>
      <c r="G633" s="136">
        <f t="shared" si="31"/>
        <v>9.5249999999999986</v>
      </c>
      <c r="H633" s="136">
        <f t="shared" si="32"/>
        <v>11.112499999999999</v>
      </c>
      <c r="I633" s="136"/>
      <c r="J633" s="137" t="s">
        <v>2</v>
      </c>
      <c r="K633" s="137"/>
      <c r="L633" s="136"/>
      <c r="M633" s="34"/>
      <c r="P633"/>
      <c r="T633"/>
      <c r="X633"/>
    </row>
    <row r="634" spans="2:24" x14ac:dyDescent="0.2">
      <c r="B634" s="33"/>
      <c r="C634" s="4" t="s">
        <v>831</v>
      </c>
      <c r="D634" s="4"/>
      <c r="E634" s="4" t="s">
        <v>85</v>
      </c>
      <c r="F634" s="4" t="str">
        <f t="shared" si="33"/>
        <v>KB-TZ ¾" x 10"</v>
      </c>
      <c r="G634" s="136">
        <f t="shared" si="31"/>
        <v>9.5249999999999986</v>
      </c>
      <c r="H634" s="136">
        <f t="shared" si="32"/>
        <v>11.112499999999999</v>
      </c>
      <c r="I634" s="136"/>
      <c r="J634" s="137" t="s">
        <v>2</v>
      </c>
      <c r="K634" s="137"/>
      <c r="L634" s="136"/>
      <c r="M634" s="34"/>
      <c r="P634"/>
      <c r="T634"/>
      <c r="X634"/>
    </row>
    <row r="635" spans="2:24" x14ac:dyDescent="0.2">
      <c r="B635" s="33"/>
      <c r="C635" s="4" t="s">
        <v>831</v>
      </c>
      <c r="D635" s="4"/>
      <c r="E635" s="4" t="s">
        <v>86</v>
      </c>
      <c r="F635" s="4" t="str">
        <f t="shared" si="33"/>
        <v>KB-TZ ¾" x 5 ½"</v>
      </c>
      <c r="G635" s="136">
        <f t="shared" si="31"/>
        <v>9.5249999999999986</v>
      </c>
      <c r="H635" s="136">
        <f t="shared" si="32"/>
        <v>11.112499999999999</v>
      </c>
      <c r="I635" s="136"/>
      <c r="J635" s="137" t="s">
        <v>2</v>
      </c>
      <c r="K635" s="137"/>
      <c r="L635" s="136"/>
      <c r="M635" s="34"/>
      <c r="P635"/>
      <c r="T635"/>
      <c r="X635"/>
    </row>
    <row r="636" spans="2:24" x14ac:dyDescent="0.2">
      <c r="B636" s="33"/>
      <c r="C636" s="4" t="s">
        <v>831</v>
      </c>
      <c r="D636" s="4"/>
      <c r="E636" s="4" t="s">
        <v>87</v>
      </c>
      <c r="F636" s="4" t="str">
        <f t="shared" si="33"/>
        <v>KB-TZ ¾" x 8"</v>
      </c>
      <c r="G636" s="136">
        <f t="shared" si="31"/>
        <v>9.5249999999999986</v>
      </c>
      <c r="H636" s="136">
        <f t="shared" si="32"/>
        <v>11.112499999999999</v>
      </c>
      <c r="I636" s="136"/>
      <c r="J636" s="137" t="s">
        <v>2</v>
      </c>
      <c r="K636" s="137"/>
      <c r="L636" s="136"/>
      <c r="M636" s="34"/>
      <c r="P636"/>
      <c r="T636"/>
      <c r="X636"/>
    </row>
    <row r="637" spans="2:24" x14ac:dyDescent="0.2">
      <c r="B637" s="33"/>
      <c r="C637" s="4" t="s">
        <v>831</v>
      </c>
      <c r="D637" s="4"/>
      <c r="E637" s="4" t="s">
        <v>101</v>
      </c>
      <c r="F637" s="4" t="str">
        <f t="shared" si="33"/>
        <v>KB-TZ ⅜" x 3"</v>
      </c>
      <c r="G637" s="136">
        <f t="shared" si="31"/>
        <v>9.5249999999999986</v>
      </c>
      <c r="H637" s="136">
        <f t="shared" si="32"/>
        <v>11.112499999999999</v>
      </c>
      <c r="I637" s="136"/>
      <c r="J637" s="137" t="s">
        <v>2</v>
      </c>
      <c r="K637" s="137"/>
      <c r="L637" s="136"/>
      <c r="M637" s="34"/>
      <c r="P637"/>
      <c r="T637"/>
      <c r="X637"/>
    </row>
    <row r="638" spans="2:24" x14ac:dyDescent="0.2">
      <c r="B638" s="33"/>
      <c r="C638" s="4" t="s">
        <v>831</v>
      </c>
      <c r="D638" s="4"/>
      <c r="E638" s="4" t="s">
        <v>102</v>
      </c>
      <c r="F638" s="4" t="str">
        <f t="shared" si="33"/>
        <v>KB-TZ ⅜" x 3 ¾"</v>
      </c>
      <c r="G638" s="136">
        <f t="shared" si="31"/>
        <v>9.5249999999999986</v>
      </c>
      <c r="H638" s="136">
        <f t="shared" si="32"/>
        <v>11.112499999999999</v>
      </c>
      <c r="I638" s="136"/>
      <c r="J638" s="137" t="s">
        <v>2</v>
      </c>
      <c r="K638" s="137"/>
      <c r="L638" s="136"/>
      <c r="M638" s="34"/>
      <c r="P638"/>
      <c r="T638"/>
      <c r="X638"/>
    </row>
    <row r="639" spans="2:24" x14ac:dyDescent="0.2">
      <c r="B639" s="33"/>
      <c r="C639" s="4" t="s">
        <v>831</v>
      </c>
      <c r="D639" s="4"/>
      <c r="E639" s="4" t="s">
        <v>103</v>
      </c>
      <c r="F639" s="4" t="str">
        <f t="shared" si="33"/>
        <v>KB-TZ ⅜" x 5"</v>
      </c>
      <c r="G639" s="136">
        <f t="shared" si="31"/>
        <v>9.5249999999999986</v>
      </c>
      <c r="H639" s="136">
        <f t="shared" si="32"/>
        <v>11.112499999999999</v>
      </c>
      <c r="I639" s="136"/>
      <c r="J639" s="137" t="s">
        <v>2</v>
      </c>
      <c r="K639" s="137"/>
      <c r="L639" s="136"/>
      <c r="M639" s="34"/>
      <c r="P639"/>
      <c r="T639"/>
      <c r="X639"/>
    </row>
    <row r="640" spans="2:24" x14ac:dyDescent="0.2">
      <c r="B640" s="33"/>
      <c r="C640" s="4" t="s">
        <v>831</v>
      </c>
      <c r="D640" s="4"/>
      <c r="E640" s="4" t="s">
        <v>53</v>
      </c>
      <c r="F640" s="4" t="str">
        <f t="shared" si="33"/>
        <v>KB-TZ ⅝" x 10"</v>
      </c>
      <c r="G640" s="136">
        <f t="shared" si="31"/>
        <v>9.5249999999999986</v>
      </c>
      <c r="H640" s="136">
        <f t="shared" si="32"/>
        <v>11.112499999999999</v>
      </c>
      <c r="I640" s="136"/>
      <c r="J640" s="137" t="s">
        <v>2</v>
      </c>
      <c r="K640" s="137"/>
      <c r="L640" s="136"/>
      <c r="M640" s="34"/>
      <c r="P640"/>
      <c r="T640"/>
      <c r="X640"/>
    </row>
    <row r="641" spans="2:24" x14ac:dyDescent="0.2">
      <c r="B641" s="33"/>
      <c r="C641" s="4" t="s">
        <v>831</v>
      </c>
      <c r="D641" s="4"/>
      <c r="E641" s="4" t="s">
        <v>53</v>
      </c>
      <c r="F641" s="4" t="str">
        <f t="shared" si="33"/>
        <v>KB-TZ ⅝" x 10"</v>
      </c>
      <c r="G641" s="136">
        <f t="shared" si="31"/>
        <v>9.5249999999999986</v>
      </c>
      <c r="H641" s="136">
        <f t="shared" si="32"/>
        <v>11.112499999999999</v>
      </c>
      <c r="I641" s="136"/>
      <c r="J641" s="137" t="s">
        <v>2</v>
      </c>
      <c r="K641" s="137"/>
      <c r="L641" s="136"/>
      <c r="M641" s="34"/>
      <c r="P641"/>
      <c r="T641"/>
      <c r="X641"/>
    </row>
    <row r="642" spans="2:24" x14ac:dyDescent="0.2">
      <c r="B642" s="33"/>
      <c r="C642" s="4" t="s">
        <v>831</v>
      </c>
      <c r="D642" s="4"/>
      <c r="E642" s="4" t="s">
        <v>54</v>
      </c>
      <c r="F642" s="4" t="str">
        <f t="shared" si="33"/>
        <v>KB-TZ ⅝" x 4 ¾"</v>
      </c>
      <c r="G642" s="136">
        <f t="shared" si="31"/>
        <v>9.5249999999999986</v>
      </c>
      <c r="H642" s="136">
        <f t="shared" si="32"/>
        <v>11.112499999999999</v>
      </c>
      <c r="I642" s="136"/>
      <c r="J642" s="137" t="s">
        <v>2</v>
      </c>
      <c r="K642" s="137"/>
      <c r="L642" s="136"/>
      <c r="M642" s="34"/>
      <c r="P642"/>
      <c r="T642"/>
      <c r="X642"/>
    </row>
    <row r="643" spans="2:24" x14ac:dyDescent="0.2">
      <c r="B643" s="33"/>
      <c r="C643" s="4" t="s">
        <v>831</v>
      </c>
      <c r="D643" s="4"/>
      <c r="E643" s="4" t="s">
        <v>55</v>
      </c>
      <c r="F643" s="4" t="str">
        <f t="shared" si="33"/>
        <v>KB-TZ ⅝" x 6"</v>
      </c>
      <c r="G643" s="136">
        <f t="shared" si="31"/>
        <v>9.5249999999999986</v>
      </c>
      <c r="H643" s="136">
        <f t="shared" si="32"/>
        <v>11.112499999999999</v>
      </c>
      <c r="I643" s="136"/>
      <c r="J643" s="137" t="s">
        <v>2</v>
      </c>
      <c r="K643" s="137"/>
      <c r="L643" s="136"/>
      <c r="M643" s="34"/>
      <c r="P643"/>
      <c r="T643"/>
      <c r="X643"/>
    </row>
    <row r="644" spans="2:24" x14ac:dyDescent="0.2">
      <c r="B644" s="33"/>
      <c r="C644" s="4" t="s">
        <v>831</v>
      </c>
      <c r="D644" s="4"/>
      <c r="E644" s="4" t="s">
        <v>96</v>
      </c>
      <c r="F644" s="4" t="str">
        <f t="shared" si="33"/>
        <v>KB-TZ ⅝" x 8 ½"</v>
      </c>
      <c r="G644" s="136">
        <f t="shared" si="31"/>
        <v>9.5249999999999986</v>
      </c>
      <c r="H644" s="136">
        <f t="shared" si="32"/>
        <v>11.112499999999999</v>
      </c>
      <c r="I644" s="136"/>
      <c r="J644" s="137" t="s">
        <v>2</v>
      </c>
      <c r="K644" s="137"/>
      <c r="L644" s="136"/>
      <c r="M644" s="34"/>
      <c r="P644"/>
      <c r="T644"/>
      <c r="X644"/>
    </row>
    <row r="645" spans="2:24" x14ac:dyDescent="0.2">
      <c r="B645" s="33"/>
      <c r="C645" s="4" t="s">
        <v>831</v>
      </c>
      <c r="D645" s="4"/>
      <c r="E645" s="4" t="s">
        <v>88</v>
      </c>
      <c r="F645" s="4" t="str">
        <f t="shared" si="33"/>
        <v>KB-TZ SS304 ¾" x 8"</v>
      </c>
      <c r="G645" s="136">
        <f t="shared" si="31"/>
        <v>9.5249999999999986</v>
      </c>
      <c r="H645" s="136">
        <f t="shared" si="32"/>
        <v>11.112499999999999</v>
      </c>
      <c r="I645" s="136"/>
      <c r="J645" s="137" t="s">
        <v>2</v>
      </c>
      <c r="K645" s="137"/>
      <c r="L645" s="136"/>
      <c r="M645" s="34"/>
      <c r="P645"/>
      <c r="T645"/>
      <c r="X645"/>
    </row>
    <row r="646" spans="2:24" x14ac:dyDescent="0.2">
      <c r="B646" s="33"/>
      <c r="C646" s="4" t="s">
        <v>831</v>
      </c>
      <c r="D646" s="4"/>
      <c r="E646" s="4" t="s">
        <v>89</v>
      </c>
      <c r="F646" s="4" t="str">
        <f t="shared" si="33"/>
        <v>KB-TZ SS304 ½" x 3 ¾"</v>
      </c>
      <c r="G646" s="136">
        <f t="shared" si="31"/>
        <v>9.5249999999999986</v>
      </c>
      <c r="H646" s="136">
        <f t="shared" si="32"/>
        <v>11.112499999999999</v>
      </c>
      <c r="I646" s="136"/>
      <c r="J646" s="137" t="s">
        <v>2</v>
      </c>
      <c r="K646" s="137"/>
      <c r="L646" s="136"/>
      <c r="M646" s="34"/>
      <c r="P646"/>
      <c r="T646"/>
      <c r="X646"/>
    </row>
    <row r="647" spans="2:24" x14ac:dyDescent="0.2">
      <c r="B647" s="33"/>
      <c r="C647" s="4" t="s">
        <v>831</v>
      </c>
      <c r="D647" s="4"/>
      <c r="E647" s="4" t="s">
        <v>90</v>
      </c>
      <c r="F647" s="4" t="str">
        <f t="shared" si="33"/>
        <v>KB-TZ SS304 ½" x 4 ½"</v>
      </c>
      <c r="G647" s="136">
        <f t="shared" si="31"/>
        <v>9.5249999999999986</v>
      </c>
      <c r="H647" s="136">
        <f t="shared" si="32"/>
        <v>11.112499999999999</v>
      </c>
      <c r="I647" s="136"/>
      <c r="J647" s="137" t="s">
        <v>2</v>
      </c>
      <c r="K647" s="137"/>
      <c r="L647" s="136"/>
      <c r="M647" s="34"/>
      <c r="P647"/>
      <c r="T647"/>
      <c r="X647"/>
    </row>
    <row r="648" spans="2:24" x14ac:dyDescent="0.2">
      <c r="B648" s="33"/>
      <c r="C648" s="4" t="s">
        <v>831</v>
      </c>
      <c r="D648" s="4"/>
      <c r="E648" s="4" t="s">
        <v>94</v>
      </c>
      <c r="F648" s="4" t="str">
        <f t="shared" si="33"/>
        <v>KB-TZ SS304 ½" x 5 ½"</v>
      </c>
      <c r="G648" s="136">
        <f t="shared" si="31"/>
        <v>9.5249999999999986</v>
      </c>
      <c r="H648" s="136">
        <f t="shared" si="32"/>
        <v>11.112499999999999</v>
      </c>
      <c r="I648" s="136"/>
      <c r="J648" s="137" t="s">
        <v>2</v>
      </c>
      <c r="K648" s="137"/>
      <c r="L648" s="136"/>
      <c r="M648" s="34"/>
      <c r="P648"/>
      <c r="T648"/>
      <c r="X648"/>
    </row>
    <row r="649" spans="2:24" x14ac:dyDescent="0.2">
      <c r="B649" s="33"/>
      <c r="C649" s="4" t="s">
        <v>831</v>
      </c>
      <c r="D649" s="4"/>
      <c r="E649" s="4" t="s">
        <v>91</v>
      </c>
      <c r="F649" s="4" t="str">
        <f t="shared" si="33"/>
        <v>KB-TZ SS304 ½" x 7"</v>
      </c>
      <c r="G649" s="136">
        <f t="shared" si="31"/>
        <v>9.5249999999999986</v>
      </c>
      <c r="H649" s="136">
        <f t="shared" si="32"/>
        <v>11.112499999999999</v>
      </c>
      <c r="I649" s="136"/>
      <c r="J649" s="137" t="s">
        <v>2</v>
      </c>
      <c r="K649" s="137"/>
      <c r="L649" s="136"/>
      <c r="M649" s="34"/>
      <c r="P649"/>
      <c r="T649"/>
      <c r="X649"/>
    </row>
    <row r="650" spans="2:24" x14ac:dyDescent="0.2">
      <c r="B650" s="33"/>
      <c r="C650" s="4" t="s">
        <v>831</v>
      </c>
      <c r="D650" s="4"/>
      <c r="E650" s="4" t="s">
        <v>93</v>
      </c>
      <c r="F650" s="4" t="str">
        <f t="shared" si="33"/>
        <v>KB-TZ SS304 ¾" x 5 ½"</v>
      </c>
      <c r="G650" s="136">
        <f t="shared" si="31"/>
        <v>9.5249999999999986</v>
      </c>
      <c r="H650" s="136">
        <f t="shared" si="32"/>
        <v>11.112499999999999</v>
      </c>
      <c r="I650" s="136"/>
      <c r="J650" s="137" t="s">
        <v>2</v>
      </c>
      <c r="K650" s="137"/>
      <c r="L650" s="136"/>
      <c r="M650" s="34"/>
      <c r="P650"/>
      <c r="T650"/>
      <c r="X650"/>
    </row>
    <row r="651" spans="2:24" x14ac:dyDescent="0.2">
      <c r="B651" s="33"/>
      <c r="C651" s="4" t="s">
        <v>831</v>
      </c>
      <c r="D651" s="4"/>
      <c r="E651" s="4" t="s">
        <v>92</v>
      </c>
      <c r="F651" s="4" t="str">
        <f t="shared" si="33"/>
        <v>KB-TZ SS304 ¾" x 10"</v>
      </c>
      <c r="G651" s="136">
        <f t="shared" si="31"/>
        <v>9.5249999999999986</v>
      </c>
      <c r="H651" s="136">
        <f t="shared" si="32"/>
        <v>11.112499999999999</v>
      </c>
      <c r="I651" s="136"/>
      <c r="J651" s="137" t="s">
        <v>2</v>
      </c>
      <c r="K651" s="137"/>
      <c r="L651" s="136"/>
      <c r="M651" s="34"/>
      <c r="P651"/>
      <c r="T651"/>
      <c r="X651"/>
    </row>
    <row r="652" spans="2:24" x14ac:dyDescent="0.2">
      <c r="B652" s="33"/>
      <c r="C652" s="4" t="s">
        <v>831</v>
      </c>
      <c r="D652" s="4"/>
      <c r="E652" s="4" t="s">
        <v>104</v>
      </c>
      <c r="F652" s="4" t="str">
        <f t="shared" si="33"/>
        <v>KB-TZ SS304 ⅜" x 3"</v>
      </c>
      <c r="G652" s="136">
        <f t="shared" si="31"/>
        <v>9.5249999999999986</v>
      </c>
      <c r="H652" s="136">
        <f t="shared" si="32"/>
        <v>11.112499999999999</v>
      </c>
      <c r="I652" s="136"/>
      <c r="J652" s="137" t="s">
        <v>2</v>
      </c>
      <c r="K652" s="137"/>
      <c r="L652" s="136"/>
      <c r="M652" s="34"/>
      <c r="P652"/>
      <c r="T652"/>
      <c r="X652"/>
    </row>
    <row r="653" spans="2:24" x14ac:dyDescent="0.2">
      <c r="B653" s="33"/>
      <c r="C653" s="4" t="s">
        <v>831</v>
      </c>
      <c r="D653" s="4"/>
      <c r="E653" s="4" t="s">
        <v>758</v>
      </c>
      <c r="F653" s="4" t="str">
        <f t="shared" si="33"/>
        <v>KB-TZ SS304 ⅜" x 3 ¾"</v>
      </c>
      <c r="G653" s="136">
        <f t="shared" si="31"/>
        <v>9.5249999999999986</v>
      </c>
      <c r="H653" s="136">
        <f t="shared" si="32"/>
        <v>11.112499999999999</v>
      </c>
      <c r="I653" s="136"/>
      <c r="J653" s="137" t="s">
        <v>2</v>
      </c>
      <c r="K653" s="137"/>
      <c r="L653" s="136"/>
      <c r="M653" s="34"/>
      <c r="P653"/>
      <c r="T653"/>
      <c r="X653"/>
    </row>
    <row r="654" spans="2:24" x14ac:dyDescent="0.2">
      <c r="B654" s="33"/>
      <c r="C654" s="4" t="s">
        <v>831</v>
      </c>
      <c r="D654" s="4"/>
      <c r="E654" s="4" t="s">
        <v>105</v>
      </c>
      <c r="F654" s="4" t="str">
        <f t="shared" si="33"/>
        <v>KB-TZ SS304 ⅜" x 5"</v>
      </c>
      <c r="G654" s="136">
        <f t="shared" si="31"/>
        <v>9.5249999999999986</v>
      </c>
      <c r="H654" s="136">
        <f t="shared" si="32"/>
        <v>11.112499999999999</v>
      </c>
      <c r="I654" s="136"/>
      <c r="J654" s="137" t="s">
        <v>2</v>
      </c>
      <c r="K654" s="137"/>
      <c r="L654" s="136"/>
      <c r="M654" s="34"/>
      <c r="P654"/>
      <c r="T654"/>
      <c r="X654"/>
    </row>
    <row r="655" spans="2:24" x14ac:dyDescent="0.2">
      <c r="B655" s="33"/>
      <c r="C655" s="4" t="s">
        <v>831</v>
      </c>
      <c r="D655" s="4"/>
      <c r="E655" s="4" t="s">
        <v>50</v>
      </c>
      <c r="F655" s="4" t="str">
        <f t="shared" si="33"/>
        <v>KB-TZ SS304 ⅝" x 10"</v>
      </c>
      <c r="G655" s="136">
        <f t="shared" si="31"/>
        <v>9.5249999999999986</v>
      </c>
      <c r="H655" s="136">
        <f t="shared" si="32"/>
        <v>11.112499999999999</v>
      </c>
      <c r="I655" s="136"/>
      <c r="J655" s="137" t="s">
        <v>2</v>
      </c>
      <c r="K655" s="137"/>
      <c r="L655" s="136"/>
      <c r="M655" s="34"/>
      <c r="P655"/>
      <c r="T655"/>
      <c r="X655"/>
    </row>
    <row r="656" spans="2:24" x14ac:dyDescent="0.2">
      <c r="B656" s="33"/>
      <c r="C656" s="4" t="s">
        <v>831</v>
      </c>
      <c r="D656" s="4"/>
      <c r="E656" s="4" t="s">
        <v>51</v>
      </c>
      <c r="F656" s="4" t="str">
        <f t="shared" si="33"/>
        <v>KB-TZ SS304 ⅝" x 4 ¾"</v>
      </c>
      <c r="G656" s="136">
        <f t="shared" si="31"/>
        <v>9.5249999999999986</v>
      </c>
      <c r="H656" s="136">
        <f t="shared" si="32"/>
        <v>11.112499999999999</v>
      </c>
      <c r="I656" s="136"/>
      <c r="J656" s="137" t="s">
        <v>2</v>
      </c>
      <c r="K656" s="137"/>
      <c r="L656" s="136"/>
      <c r="M656" s="34"/>
      <c r="P656"/>
      <c r="T656"/>
      <c r="X656"/>
    </row>
    <row r="657" spans="2:24" x14ac:dyDescent="0.2">
      <c r="B657" s="33"/>
      <c r="C657" s="4" t="s">
        <v>831</v>
      </c>
      <c r="D657" s="4"/>
      <c r="E657" s="4" t="s">
        <v>52</v>
      </c>
      <c r="F657" s="4" t="str">
        <f t="shared" si="33"/>
        <v>KB-TZ SS304 ⅝" x 6"</v>
      </c>
      <c r="G657" s="136">
        <f t="shared" si="31"/>
        <v>9.5249999999999986</v>
      </c>
      <c r="H657" s="136">
        <f t="shared" si="32"/>
        <v>11.112499999999999</v>
      </c>
      <c r="I657" s="136"/>
      <c r="J657" s="137" t="s">
        <v>2</v>
      </c>
      <c r="K657" s="137"/>
      <c r="L657" s="136"/>
      <c r="M657" s="34"/>
      <c r="P657"/>
      <c r="T657"/>
      <c r="X657"/>
    </row>
    <row r="658" spans="2:24" x14ac:dyDescent="0.2">
      <c r="B658" s="33"/>
      <c r="C658" s="4" t="s">
        <v>831</v>
      </c>
      <c r="D658" s="4"/>
      <c r="E658" s="4" t="s">
        <v>97</v>
      </c>
      <c r="F658" s="4" t="str">
        <f t="shared" si="33"/>
        <v>KB-TZ SS304 ⅝" x 8 ½"</v>
      </c>
      <c r="G658" s="136">
        <f t="shared" si="31"/>
        <v>9.5249999999999986</v>
      </c>
      <c r="H658" s="136">
        <f t="shared" si="32"/>
        <v>11.112499999999999</v>
      </c>
      <c r="I658" s="136"/>
      <c r="J658" s="137" t="s">
        <v>2</v>
      </c>
      <c r="K658" s="137"/>
      <c r="L658" s="136"/>
      <c r="M658" s="34"/>
      <c r="P658"/>
      <c r="T658"/>
      <c r="X658"/>
    </row>
    <row r="659" spans="2:24" x14ac:dyDescent="0.2">
      <c r="B659" s="33"/>
      <c r="C659" s="4" t="s">
        <v>831</v>
      </c>
      <c r="D659" s="4"/>
      <c r="E659" s="4" t="s">
        <v>759</v>
      </c>
      <c r="F659" s="4" t="str">
        <f t="shared" si="33"/>
        <v>KB-TZ SS316 ½" x 3 ¾"</v>
      </c>
      <c r="G659" s="136">
        <f t="shared" si="31"/>
        <v>9.5249999999999986</v>
      </c>
      <c r="H659" s="136">
        <f t="shared" si="32"/>
        <v>11.112499999999999</v>
      </c>
      <c r="I659" s="136"/>
      <c r="J659" s="137" t="s">
        <v>2</v>
      </c>
      <c r="K659" s="137"/>
      <c r="L659" s="136"/>
      <c r="M659" s="34"/>
      <c r="P659"/>
      <c r="T659"/>
      <c r="X659"/>
    </row>
    <row r="660" spans="2:24" x14ac:dyDescent="0.2">
      <c r="B660" s="33"/>
      <c r="C660" s="4" t="s">
        <v>831</v>
      </c>
      <c r="D660" s="4"/>
      <c r="E660" s="4" t="s">
        <v>760</v>
      </c>
      <c r="F660" s="4" t="str">
        <f t="shared" si="33"/>
        <v>KB-TZ SS316 ½" x 4 ½"</v>
      </c>
      <c r="G660" s="136">
        <f t="shared" si="31"/>
        <v>9.5249999999999986</v>
      </c>
      <c r="H660" s="136">
        <f t="shared" si="32"/>
        <v>11.112499999999999</v>
      </c>
      <c r="I660" s="136"/>
      <c r="J660" s="137" t="s">
        <v>2</v>
      </c>
      <c r="K660" s="137"/>
      <c r="L660" s="136"/>
      <c r="M660" s="34"/>
      <c r="P660"/>
      <c r="T660"/>
      <c r="X660"/>
    </row>
    <row r="661" spans="2:24" x14ac:dyDescent="0.2">
      <c r="B661" s="33"/>
      <c r="C661" s="4" t="s">
        <v>831</v>
      </c>
      <c r="D661" s="4"/>
      <c r="E661" s="4" t="s">
        <v>761</v>
      </c>
      <c r="F661" s="4" t="str">
        <f t="shared" si="33"/>
        <v>KB-TZ SS316 ½" x 5 ½"</v>
      </c>
      <c r="G661" s="136">
        <f t="shared" si="31"/>
        <v>9.5249999999999986</v>
      </c>
      <c r="H661" s="136">
        <f t="shared" si="32"/>
        <v>11.112499999999999</v>
      </c>
      <c r="I661" s="136"/>
      <c r="J661" s="137" t="s">
        <v>2</v>
      </c>
      <c r="K661" s="137"/>
      <c r="L661" s="136"/>
      <c r="M661" s="34"/>
      <c r="P661"/>
      <c r="T661"/>
      <c r="X661"/>
    </row>
    <row r="662" spans="2:24" x14ac:dyDescent="0.2">
      <c r="B662" s="33"/>
      <c r="C662" s="4" t="s">
        <v>831</v>
      </c>
      <c r="D662" s="4"/>
      <c r="E662" s="4" t="s">
        <v>41</v>
      </c>
      <c r="F662" s="4" t="str">
        <f t="shared" si="33"/>
        <v>KB-TZ SS316 ¾" x 10"</v>
      </c>
      <c r="G662" s="136">
        <f t="shared" si="31"/>
        <v>9.5249999999999986</v>
      </c>
      <c r="H662" s="136">
        <f t="shared" si="32"/>
        <v>11.112499999999999</v>
      </c>
      <c r="I662" s="136"/>
      <c r="J662" s="137" t="s">
        <v>2</v>
      </c>
      <c r="K662" s="137"/>
      <c r="L662" s="136"/>
      <c r="M662" s="34"/>
      <c r="P662"/>
      <c r="T662"/>
      <c r="X662"/>
    </row>
    <row r="663" spans="2:24" x14ac:dyDescent="0.2">
      <c r="B663" s="33"/>
      <c r="C663" s="4" t="s">
        <v>831</v>
      </c>
      <c r="D663" s="4"/>
      <c r="E663" s="4" t="s">
        <v>762</v>
      </c>
      <c r="F663" s="4" t="str">
        <f t="shared" si="33"/>
        <v>KB-TZ SS316 ¾" x 5 ½"</v>
      </c>
      <c r="G663" s="136">
        <f t="shared" si="31"/>
        <v>9.5249999999999986</v>
      </c>
      <c r="H663" s="136">
        <f t="shared" si="32"/>
        <v>11.112499999999999</v>
      </c>
      <c r="I663" s="136"/>
      <c r="J663" s="137" t="s">
        <v>2</v>
      </c>
      <c r="K663" s="137"/>
      <c r="L663" s="136"/>
      <c r="M663" s="34"/>
      <c r="P663"/>
      <c r="T663"/>
      <c r="X663"/>
    </row>
    <row r="664" spans="2:24" x14ac:dyDescent="0.2">
      <c r="B664" s="33"/>
      <c r="C664" s="4" t="s">
        <v>831</v>
      </c>
      <c r="D664" s="4"/>
      <c r="E664" s="4" t="s">
        <v>153</v>
      </c>
      <c r="F664" s="4" t="str">
        <f t="shared" si="33"/>
        <v>KB-TZ SS316 ⅜" x 3"</v>
      </c>
      <c r="G664" s="136">
        <f t="shared" si="31"/>
        <v>9.5249999999999986</v>
      </c>
      <c r="H664" s="136">
        <f t="shared" si="32"/>
        <v>11.112499999999999</v>
      </c>
      <c r="I664" s="136"/>
      <c r="J664" s="137" t="s">
        <v>2</v>
      </c>
      <c r="K664" s="137"/>
      <c r="L664" s="136"/>
      <c r="M664" s="34"/>
      <c r="P664"/>
      <c r="T664"/>
      <c r="X664"/>
    </row>
    <row r="665" spans="2:24" x14ac:dyDescent="0.2">
      <c r="B665" s="33"/>
      <c r="C665" s="4" t="s">
        <v>831</v>
      </c>
      <c r="D665" s="4"/>
      <c r="E665" s="4" t="s">
        <v>763</v>
      </c>
      <c r="F665" s="4" t="str">
        <f t="shared" si="33"/>
        <v>KB-TZ SS316 ⅜" x 3 ¾"</v>
      </c>
      <c r="G665" s="136">
        <f t="shared" si="31"/>
        <v>9.5249999999999986</v>
      </c>
      <c r="H665" s="136">
        <f t="shared" si="32"/>
        <v>11.112499999999999</v>
      </c>
      <c r="I665" s="136"/>
      <c r="J665" s="137" t="s">
        <v>2</v>
      </c>
      <c r="K665" s="137"/>
      <c r="L665" s="136"/>
      <c r="M665" s="34"/>
      <c r="P665"/>
      <c r="T665"/>
      <c r="X665"/>
    </row>
    <row r="666" spans="2:24" x14ac:dyDescent="0.2">
      <c r="B666" s="33"/>
      <c r="C666" s="4" t="s">
        <v>831</v>
      </c>
      <c r="D666" s="4"/>
      <c r="E666" s="4" t="s">
        <v>764</v>
      </c>
      <c r="F666" s="4" t="str">
        <f t="shared" si="33"/>
        <v>KB-TZ SS316 ⅝" x 4 ¾"</v>
      </c>
      <c r="G666" s="136">
        <f t="shared" si="31"/>
        <v>9.5249999999999986</v>
      </c>
      <c r="H666" s="136">
        <f t="shared" si="32"/>
        <v>11.112499999999999</v>
      </c>
      <c r="I666" s="136"/>
      <c r="J666" s="137" t="s">
        <v>2</v>
      </c>
      <c r="K666" s="137"/>
      <c r="L666" s="136"/>
      <c r="M666" s="34"/>
      <c r="P666"/>
      <c r="T666"/>
      <c r="X666"/>
    </row>
    <row r="667" spans="2:24" x14ac:dyDescent="0.2">
      <c r="B667" s="33"/>
      <c r="C667" s="4" t="s">
        <v>831</v>
      </c>
      <c r="D667" s="4"/>
      <c r="E667" s="4" t="s">
        <v>49</v>
      </c>
      <c r="F667" s="4" t="str">
        <f t="shared" si="33"/>
        <v>KB-TZ SS316 ⅝" x 6"</v>
      </c>
      <c r="G667" s="136">
        <f t="shared" si="31"/>
        <v>9.5249999999999986</v>
      </c>
      <c r="H667" s="136">
        <f t="shared" si="32"/>
        <v>11.112499999999999</v>
      </c>
      <c r="I667" s="136"/>
      <c r="J667" s="137" t="s">
        <v>2</v>
      </c>
      <c r="K667" s="137"/>
      <c r="L667" s="136"/>
      <c r="M667" s="34"/>
      <c r="P667"/>
      <c r="T667"/>
      <c r="X667"/>
    </row>
    <row r="668" spans="2:24" x14ac:dyDescent="0.2">
      <c r="B668" s="33"/>
      <c r="C668" s="4"/>
      <c r="D668" s="4"/>
      <c r="E668" s="39" t="s">
        <v>261</v>
      </c>
      <c r="F668" s="4" t="str">
        <f t="shared" si="33"/>
        <v>--------------------</v>
      </c>
      <c r="G668" s="136"/>
      <c r="H668" s="136"/>
      <c r="I668" s="136"/>
      <c r="J668" s="137"/>
      <c r="K668" s="137"/>
      <c r="L668" s="136"/>
      <c r="M668" s="34"/>
      <c r="P668"/>
      <c r="T668"/>
      <c r="X668"/>
    </row>
    <row r="669" spans="2:24" x14ac:dyDescent="0.2">
      <c r="B669" s="33"/>
      <c r="C669" s="4" t="s">
        <v>832</v>
      </c>
      <c r="D669" s="4"/>
      <c r="E669" s="4" t="s">
        <v>127</v>
      </c>
      <c r="F669" s="4" t="str">
        <f t="shared" si="33"/>
        <v>METAL HIT ¼" x 1"</v>
      </c>
      <c r="G669" s="136">
        <f t="shared" si="31"/>
        <v>9.5249999999999986</v>
      </c>
      <c r="H669" s="136">
        <f t="shared" si="32"/>
        <v>11.112499999999999</v>
      </c>
      <c r="I669" s="136"/>
      <c r="J669" s="137" t="s">
        <v>2</v>
      </c>
      <c r="K669" s="137"/>
      <c r="L669" s="136"/>
      <c r="M669" s="34"/>
      <c r="P669"/>
      <c r="T669"/>
      <c r="X669"/>
    </row>
    <row r="670" spans="2:24" x14ac:dyDescent="0.2">
      <c r="B670" s="33"/>
      <c r="C670" s="4" t="s">
        <v>832</v>
      </c>
      <c r="D670" s="4"/>
      <c r="E670" s="4" t="s">
        <v>128</v>
      </c>
      <c r="F670" s="4" t="str">
        <f t="shared" si="33"/>
        <v>METAL HIT ¼" x 1 ½"</v>
      </c>
      <c r="G670" s="136">
        <f t="shared" si="31"/>
        <v>9.5249999999999986</v>
      </c>
      <c r="H670" s="136">
        <f t="shared" si="32"/>
        <v>11.112499999999999</v>
      </c>
      <c r="I670" s="136"/>
      <c r="J670" s="137" t="s">
        <v>2</v>
      </c>
      <c r="K670" s="137"/>
      <c r="L670" s="136"/>
      <c r="M670" s="34"/>
      <c r="P670"/>
      <c r="T670"/>
      <c r="X670"/>
    </row>
    <row r="671" spans="2:24" x14ac:dyDescent="0.2">
      <c r="B671" s="33"/>
      <c r="C671" s="4"/>
      <c r="D671" s="4"/>
      <c r="E671" s="39" t="s">
        <v>261</v>
      </c>
      <c r="F671" s="4" t="str">
        <f t="shared" si="33"/>
        <v>--------------------</v>
      </c>
      <c r="G671" s="136"/>
      <c r="H671" s="136"/>
      <c r="I671" s="136"/>
      <c r="J671" s="137"/>
      <c r="K671" s="137"/>
      <c r="L671" s="136"/>
      <c r="M671" s="34"/>
      <c r="P671"/>
      <c r="T671"/>
      <c r="X671"/>
    </row>
    <row r="672" spans="2:24" x14ac:dyDescent="0.2">
      <c r="B672" s="33"/>
      <c r="C672" s="4" t="s">
        <v>833</v>
      </c>
      <c r="D672" s="4"/>
      <c r="E672" s="4" t="s">
        <v>248</v>
      </c>
      <c r="F672" s="4" t="str">
        <f t="shared" si="33"/>
        <v>KH 1/2" x 3 1/2"</v>
      </c>
      <c r="G672" s="136">
        <f t="shared" si="31"/>
        <v>9.5249999999999986</v>
      </c>
      <c r="H672" s="136">
        <f t="shared" si="32"/>
        <v>11.112499999999999</v>
      </c>
      <c r="I672" s="136"/>
      <c r="J672" s="137" t="s">
        <v>2</v>
      </c>
      <c r="K672" s="137"/>
      <c r="L672" s="136"/>
      <c r="M672" s="34"/>
      <c r="P672"/>
      <c r="T672"/>
      <c r="X672"/>
    </row>
    <row r="673" spans="2:24" x14ac:dyDescent="0.2">
      <c r="B673" s="33"/>
      <c r="C673" s="4" t="s">
        <v>833</v>
      </c>
      <c r="D673" s="4"/>
      <c r="E673" s="4" t="s">
        <v>247</v>
      </c>
      <c r="F673" s="4" t="str">
        <f t="shared" si="33"/>
        <v>KH 1/2" x 3"</v>
      </c>
      <c r="G673" s="136">
        <f t="shared" si="31"/>
        <v>9.5249999999999986</v>
      </c>
      <c r="H673" s="136">
        <f t="shared" si="32"/>
        <v>11.112499999999999</v>
      </c>
      <c r="I673" s="136"/>
      <c r="J673" s="137" t="s">
        <v>2</v>
      </c>
      <c r="K673" s="137"/>
      <c r="L673" s="136"/>
      <c r="M673" s="34"/>
      <c r="P673"/>
      <c r="T673"/>
      <c r="X673"/>
    </row>
    <row r="674" spans="2:24" x14ac:dyDescent="0.2">
      <c r="B674" s="33"/>
      <c r="C674" s="4" t="s">
        <v>833</v>
      </c>
      <c r="D674" s="4"/>
      <c r="E674" s="4" t="s">
        <v>250</v>
      </c>
      <c r="F674" s="4" t="str">
        <f t="shared" si="33"/>
        <v>KH 1/2" x 4 1/2"</v>
      </c>
      <c r="G674" s="136">
        <f t="shared" si="31"/>
        <v>9.5249999999999986</v>
      </c>
      <c r="H674" s="136">
        <f t="shared" si="32"/>
        <v>11.112499999999999</v>
      </c>
      <c r="I674" s="136"/>
      <c r="J674" s="137" t="s">
        <v>2</v>
      </c>
      <c r="K674" s="137"/>
      <c r="L674" s="136"/>
      <c r="M674" s="34"/>
      <c r="P674"/>
      <c r="T674"/>
      <c r="X674"/>
    </row>
    <row r="675" spans="2:24" x14ac:dyDescent="0.2">
      <c r="B675" s="33"/>
      <c r="C675" s="4" t="s">
        <v>833</v>
      </c>
      <c r="D675" s="4"/>
      <c r="E675" s="4" t="s">
        <v>249</v>
      </c>
      <c r="F675" s="4" t="str">
        <f t="shared" si="33"/>
        <v>KH 1/2" x 4"</v>
      </c>
      <c r="G675" s="136">
        <f t="shared" ref="G675:G689" si="34">(3/8)*25.4</f>
        <v>9.5249999999999986</v>
      </c>
      <c r="H675" s="136">
        <f t="shared" ref="H675:H689" si="35">(7/16)*25.4</f>
        <v>11.112499999999999</v>
      </c>
      <c r="I675" s="136"/>
      <c r="J675" s="137" t="s">
        <v>2</v>
      </c>
      <c r="K675" s="137"/>
      <c r="L675" s="136"/>
      <c r="M675" s="34"/>
      <c r="P675"/>
      <c r="T675"/>
      <c r="X675"/>
    </row>
    <row r="676" spans="2:24" x14ac:dyDescent="0.2">
      <c r="B676" s="33"/>
      <c r="C676" s="4" t="s">
        <v>833</v>
      </c>
      <c r="D676" s="4"/>
      <c r="E676" s="4" t="s">
        <v>251</v>
      </c>
      <c r="F676" s="4" t="str">
        <f t="shared" si="33"/>
        <v>KH 1/2" x 5"</v>
      </c>
      <c r="G676" s="136">
        <f t="shared" si="34"/>
        <v>9.5249999999999986</v>
      </c>
      <c r="H676" s="136">
        <f t="shared" si="35"/>
        <v>11.112499999999999</v>
      </c>
      <c r="I676" s="136"/>
      <c r="J676" s="137" t="s">
        <v>2</v>
      </c>
      <c r="K676" s="137"/>
      <c r="L676" s="136"/>
      <c r="M676" s="34"/>
      <c r="P676"/>
      <c r="T676"/>
      <c r="X676"/>
    </row>
    <row r="677" spans="2:24" x14ac:dyDescent="0.2">
      <c r="B677" s="33"/>
      <c r="C677" s="4" t="s">
        <v>833</v>
      </c>
      <c r="D677" s="4"/>
      <c r="E677" s="4" t="s">
        <v>252</v>
      </c>
      <c r="F677" s="4" t="str">
        <f t="shared" si="33"/>
        <v>KH 1/2" x 6"</v>
      </c>
      <c r="G677" s="136">
        <f t="shared" si="34"/>
        <v>9.5249999999999986</v>
      </c>
      <c r="H677" s="136">
        <f t="shared" si="35"/>
        <v>11.112499999999999</v>
      </c>
      <c r="I677" s="136"/>
      <c r="J677" s="137" t="s">
        <v>2</v>
      </c>
      <c r="K677" s="137"/>
      <c r="L677" s="136"/>
      <c r="M677" s="34"/>
      <c r="P677"/>
      <c r="T677"/>
      <c r="X677"/>
    </row>
    <row r="678" spans="2:24" x14ac:dyDescent="0.2">
      <c r="B678" s="33"/>
      <c r="C678" s="4" t="s">
        <v>833</v>
      </c>
      <c r="D678" s="4"/>
      <c r="E678" s="4" t="s">
        <v>256</v>
      </c>
      <c r="F678" s="4" t="str">
        <f t="shared" si="33"/>
        <v>KH 3/4" x 4 1/2"</v>
      </c>
      <c r="G678" s="136">
        <f t="shared" si="34"/>
        <v>9.5249999999999986</v>
      </c>
      <c r="H678" s="136">
        <f t="shared" si="35"/>
        <v>11.112499999999999</v>
      </c>
      <c r="I678" s="136"/>
      <c r="J678" s="137" t="s">
        <v>2</v>
      </c>
      <c r="K678" s="137"/>
      <c r="L678" s="136"/>
      <c r="M678" s="34"/>
      <c r="P678"/>
      <c r="T678"/>
      <c r="X678"/>
    </row>
    <row r="679" spans="2:24" x14ac:dyDescent="0.2">
      <c r="B679" s="33"/>
      <c r="C679" s="4" t="s">
        <v>833</v>
      </c>
      <c r="D679" s="4"/>
      <c r="E679" s="4" t="s">
        <v>257</v>
      </c>
      <c r="F679" s="4" t="str">
        <f t="shared" si="33"/>
        <v>KH 3/4" x 5 1/2"</v>
      </c>
      <c r="G679" s="136">
        <f t="shared" si="34"/>
        <v>9.5249999999999986</v>
      </c>
      <c r="H679" s="136">
        <f t="shared" si="35"/>
        <v>11.112499999999999</v>
      </c>
      <c r="I679" s="136"/>
      <c r="J679" s="137" t="s">
        <v>2</v>
      </c>
      <c r="K679" s="137"/>
      <c r="L679" s="136"/>
      <c r="M679" s="34"/>
      <c r="P679"/>
      <c r="T679"/>
      <c r="X679"/>
    </row>
    <row r="680" spans="2:24" x14ac:dyDescent="0.2">
      <c r="B680" s="33"/>
      <c r="C680" s="4" t="s">
        <v>833</v>
      </c>
      <c r="D680" s="4"/>
      <c r="E680" s="4" t="s">
        <v>258</v>
      </c>
      <c r="F680" s="4" t="str">
        <f t="shared" si="33"/>
        <v>KH 3/4" x 7"</v>
      </c>
      <c r="G680" s="136">
        <f t="shared" si="34"/>
        <v>9.5249999999999986</v>
      </c>
      <c r="H680" s="136">
        <f t="shared" si="35"/>
        <v>11.112499999999999</v>
      </c>
      <c r="I680" s="136"/>
      <c r="J680" s="137" t="s">
        <v>2</v>
      </c>
      <c r="K680" s="137"/>
      <c r="L680" s="136"/>
      <c r="M680" s="34"/>
      <c r="P680"/>
      <c r="T680"/>
      <c r="X680"/>
    </row>
    <row r="681" spans="2:24" x14ac:dyDescent="0.2">
      <c r="B681" s="33"/>
      <c r="C681" s="4" t="s">
        <v>833</v>
      </c>
      <c r="D681" s="4"/>
      <c r="E681" s="4" t="s">
        <v>242</v>
      </c>
      <c r="F681" s="4" t="str">
        <f t="shared" si="33"/>
        <v>KH 3/4" x 9"</v>
      </c>
      <c r="G681" s="136">
        <f t="shared" si="34"/>
        <v>9.5249999999999986</v>
      </c>
      <c r="H681" s="136">
        <f t="shared" si="35"/>
        <v>11.112499999999999</v>
      </c>
      <c r="I681" s="136"/>
      <c r="J681" s="137" t="s">
        <v>2</v>
      </c>
      <c r="K681" s="137"/>
      <c r="L681" s="136"/>
      <c r="M681" s="34"/>
      <c r="P681"/>
      <c r="T681"/>
      <c r="X681"/>
    </row>
    <row r="682" spans="2:24" x14ac:dyDescent="0.2">
      <c r="B682" s="33"/>
      <c r="C682" s="4" t="s">
        <v>833</v>
      </c>
      <c r="D682" s="4"/>
      <c r="E682" s="4" t="s">
        <v>241</v>
      </c>
      <c r="F682" s="4" t="str">
        <f t="shared" si="33"/>
        <v>KH 3/8" x 2 1/8"</v>
      </c>
      <c r="G682" s="136">
        <f t="shared" si="34"/>
        <v>9.5249999999999986</v>
      </c>
      <c r="H682" s="136">
        <f t="shared" si="35"/>
        <v>11.112499999999999</v>
      </c>
      <c r="I682" s="136"/>
      <c r="J682" s="137" t="s">
        <v>2</v>
      </c>
      <c r="K682" s="137"/>
      <c r="L682" s="136"/>
      <c r="M682" s="34"/>
      <c r="P682"/>
      <c r="T682"/>
      <c r="X682"/>
    </row>
    <row r="683" spans="2:24" x14ac:dyDescent="0.2">
      <c r="B683" s="33"/>
      <c r="C683" s="4" t="s">
        <v>833</v>
      </c>
      <c r="D683" s="4"/>
      <c r="E683" s="4" t="s">
        <v>244</v>
      </c>
      <c r="F683" s="4" t="str">
        <f t="shared" si="33"/>
        <v>KH 3/8" x 3 1/2"</v>
      </c>
      <c r="G683" s="136">
        <f t="shared" si="34"/>
        <v>9.5249999999999986</v>
      </c>
      <c r="H683" s="136">
        <f t="shared" si="35"/>
        <v>11.112499999999999</v>
      </c>
      <c r="I683" s="136"/>
      <c r="J683" s="137" t="s">
        <v>2</v>
      </c>
      <c r="K683" s="137"/>
      <c r="L683" s="136"/>
      <c r="M683" s="34"/>
      <c r="P683"/>
      <c r="T683"/>
      <c r="X683"/>
    </row>
    <row r="684" spans="2:24" x14ac:dyDescent="0.2">
      <c r="B684" s="33"/>
      <c r="C684" s="4" t="s">
        <v>833</v>
      </c>
      <c r="D684" s="4"/>
      <c r="E684" s="4" t="s">
        <v>243</v>
      </c>
      <c r="F684" s="4" t="str">
        <f t="shared" si="33"/>
        <v>KH 3/8" x 3"</v>
      </c>
      <c r="G684" s="136">
        <f t="shared" si="34"/>
        <v>9.5249999999999986</v>
      </c>
      <c r="H684" s="136">
        <f t="shared" si="35"/>
        <v>11.112499999999999</v>
      </c>
      <c r="I684" s="136"/>
      <c r="J684" s="137" t="s">
        <v>2</v>
      </c>
      <c r="K684" s="137"/>
      <c r="L684" s="136"/>
      <c r="M684" s="34"/>
      <c r="P684"/>
      <c r="T684"/>
      <c r="X684"/>
    </row>
    <row r="685" spans="2:24" x14ac:dyDescent="0.2">
      <c r="B685" s="33"/>
      <c r="C685" s="4" t="s">
        <v>833</v>
      </c>
      <c r="D685" s="4"/>
      <c r="E685" s="4" t="s">
        <v>245</v>
      </c>
      <c r="F685" s="4" t="str">
        <f t="shared" si="33"/>
        <v>KH 3/8" x 4"</v>
      </c>
      <c r="G685" s="136">
        <f t="shared" si="34"/>
        <v>9.5249999999999986</v>
      </c>
      <c r="H685" s="136">
        <f t="shared" si="35"/>
        <v>11.112499999999999</v>
      </c>
      <c r="I685" s="136"/>
      <c r="J685" s="137" t="s">
        <v>2</v>
      </c>
      <c r="K685" s="137"/>
      <c r="L685" s="136"/>
      <c r="M685" s="34"/>
      <c r="P685"/>
      <c r="T685"/>
      <c r="X685"/>
    </row>
    <row r="686" spans="2:24" x14ac:dyDescent="0.2">
      <c r="B686" s="33"/>
      <c r="C686" s="4" t="s">
        <v>833</v>
      </c>
      <c r="D686" s="4"/>
      <c r="E686" s="4" t="s">
        <v>246</v>
      </c>
      <c r="F686" s="4" t="str">
        <f t="shared" si="33"/>
        <v>KH 3/8" x 5"</v>
      </c>
      <c r="G686" s="136">
        <f t="shared" si="34"/>
        <v>9.5249999999999986</v>
      </c>
      <c r="H686" s="136">
        <f t="shared" si="35"/>
        <v>11.112499999999999</v>
      </c>
      <c r="I686" s="136"/>
      <c r="J686" s="137" t="s">
        <v>2</v>
      </c>
      <c r="K686" s="137"/>
      <c r="L686" s="136"/>
      <c r="M686" s="34"/>
      <c r="P686"/>
      <c r="T686"/>
      <c r="X686"/>
    </row>
    <row r="687" spans="2:24" x14ac:dyDescent="0.2">
      <c r="B687" s="33"/>
      <c r="C687" s="4" t="s">
        <v>833</v>
      </c>
      <c r="D687" s="4"/>
      <c r="E687" s="4" t="s">
        <v>253</v>
      </c>
      <c r="F687" s="4" t="str">
        <f>E687</f>
        <v>KH 5/8" x 4"</v>
      </c>
      <c r="G687" s="136">
        <f t="shared" si="34"/>
        <v>9.5249999999999986</v>
      </c>
      <c r="H687" s="136">
        <f t="shared" si="35"/>
        <v>11.112499999999999</v>
      </c>
      <c r="I687" s="136"/>
      <c r="J687" s="137" t="s">
        <v>2</v>
      </c>
      <c r="K687" s="137"/>
      <c r="L687" s="136"/>
      <c r="M687" s="34"/>
      <c r="P687"/>
      <c r="T687"/>
      <c r="X687"/>
    </row>
    <row r="688" spans="2:24" x14ac:dyDescent="0.2">
      <c r="B688" s="33"/>
      <c r="C688" s="4" t="s">
        <v>833</v>
      </c>
      <c r="D688" s="4"/>
      <c r="E688" s="4" t="s">
        <v>254</v>
      </c>
      <c r="F688" s="4" t="str">
        <f>E688</f>
        <v>KH 5/8" x 5 1/2"</v>
      </c>
      <c r="G688" s="136">
        <f t="shared" si="34"/>
        <v>9.5249999999999986</v>
      </c>
      <c r="H688" s="136">
        <f t="shared" si="35"/>
        <v>11.112499999999999</v>
      </c>
      <c r="I688" s="136"/>
      <c r="J688" s="137" t="s">
        <v>2</v>
      </c>
      <c r="K688" s="137"/>
      <c r="L688" s="136"/>
      <c r="M688" s="34"/>
      <c r="P688"/>
      <c r="T688"/>
      <c r="X688"/>
    </row>
    <row r="689" spans="2:24" x14ac:dyDescent="0.2">
      <c r="B689" s="33"/>
      <c r="C689" s="4" t="s">
        <v>833</v>
      </c>
      <c r="D689" s="4"/>
      <c r="E689" s="4" t="s">
        <v>255</v>
      </c>
      <c r="F689" s="4" t="str">
        <f>E689</f>
        <v>KH 5/8" x 6 1/2"</v>
      </c>
      <c r="G689" s="136">
        <f t="shared" si="34"/>
        <v>9.5249999999999986</v>
      </c>
      <c r="H689" s="136">
        <f t="shared" si="35"/>
        <v>11.112499999999999</v>
      </c>
      <c r="I689" s="136"/>
      <c r="J689" s="137" t="s">
        <v>2</v>
      </c>
      <c r="K689" s="137"/>
      <c r="L689" s="136"/>
      <c r="M689" s="34"/>
      <c r="P689"/>
      <c r="T689"/>
      <c r="X689"/>
    </row>
    <row r="690" spans="2:24" x14ac:dyDescent="0.2">
      <c r="B690" s="33"/>
      <c r="C690" s="4" t="s">
        <v>833</v>
      </c>
      <c r="D690" s="4"/>
      <c r="E690" s="39" t="s">
        <v>261</v>
      </c>
      <c r="F690" s="4" t="str">
        <f>E690</f>
        <v>--------------------</v>
      </c>
      <c r="G690" s="136"/>
      <c r="H690" s="136"/>
      <c r="I690" s="136"/>
      <c r="J690" s="137"/>
      <c r="K690" s="137"/>
      <c r="L690" s="136"/>
      <c r="M690" s="34"/>
      <c r="P690"/>
      <c r="T690"/>
      <c r="X690"/>
    </row>
    <row r="691" spans="2:24" ht="13.5" thickBot="1" x14ac:dyDescent="0.25">
      <c r="B691" s="35"/>
      <c r="C691" s="3"/>
      <c r="D691" s="3"/>
      <c r="E691" s="3"/>
      <c r="F691" s="3"/>
      <c r="G691" s="3"/>
      <c r="H691" s="3"/>
      <c r="I691" s="3"/>
      <c r="J691" s="3"/>
      <c r="K691" s="3"/>
      <c r="L691" s="3"/>
      <c r="M691" s="36"/>
      <c r="P691"/>
      <c r="T691"/>
      <c r="X691"/>
    </row>
    <row r="692" spans="2:24" x14ac:dyDescent="0.2">
      <c r="P692"/>
      <c r="T692"/>
      <c r="X692"/>
    </row>
    <row r="693" spans="2:24" x14ac:dyDescent="0.2">
      <c r="P693"/>
      <c r="T693"/>
      <c r="X693"/>
    </row>
    <row r="694" spans="2:24" x14ac:dyDescent="0.2">
      <c r="P694"/>
      <c r="T694"/>
      <c r="X694"/>
    </row>
    <row r="695" spans="2:24" x14ac:dyDescent="0.2">
      <c r="P695"/>
      <c r="T695"/>
      <c r="X695"/>
    </row>
    <row r="696" spans="2:24" x14ac:dyDescent="0.2">
      <c r="P696"/>
      <c r="T696"/>
      <c r="X696"/>
    </row>
    <row r="697" spans="2:24" x14ac:dyDescent="0.2">
      <c r="P697"/>
      <c r="T697"/>
      <c r="X697"/>
    </row>
    <row r="698" spans="2:24" x14ac:dyDescent="0.2">
      <c r="P698"/>
      <c r="T698"/>
      <c r="X698"/>
    </row>
    <row r="699" spans="2:24" x14ac:dyDescent="0.2">
      <c r="P699"/>
      <c r="X699"/>
    </row>
    <row r="700" spans="2:24" x14ac:dyDescent="0.2">
      <c r="P700"/>
      <c r="X700"/>
    </row>
    <row r="701" spans="2:24" x14ac:dyDescent="0.2">
      <c r="P701"/>
      <c r="X701"/>
    </row>
    <row r="702" spans="2:24" x14ac:dyDescent="0.2">
      <c r="P702"/>
      <c r="X702"/>
    </row>
    <row r="703" spans="2:24" x14ac:dyDescent="0.2">
      <c r="P703"/>
      <c r="X703"/>
    </row>
    <row r="704" spans="2:24" x14ac:dyDescent="0.2">
      <c r="P704"/>
      <c r="X704"/>
    </row>
    <row r="705" spans="16:24" x14ac:dyDescent="0.2">
      <c r="P705"/>
      <c r="X705"/>
    </row>
    <row r="706" spans="16:24" x14ac:dyDescent="0.2">
      <c r="P706"/>
      <c r="X706"/>
    </row>
    <row r="707" spans="16:24" x14ac:dyDescent="0.2">
      <c r="P707"/>
    </row>
    <row r="708" spans="16:24" x14ac:dyDescent="0.2">
      <c r="P708"/>
    </row>
    <row r="709" spans="16:24" x14ac:dyDescent="0.2">
      <c r="P709"/>
    </row>
    <row r="710" spans="16:24" x14ac:dyDescent="0.2">
      <c r="P710"/>
    </row>
    <row r="711" spans="16:24" x14ac:dyDescent="0.2">
      <c r="P711"/>
    </row>
    <row r="712" spans="16:24" x14ac:dyDescent="0.2">
      <c r="P712"/>
    </row>
    <row r="713" spans="16:24" x14ac:dyDescent="0.2">
      <c r="P713"/>
    </row>
    <row r="714" spans="16:24" x14ac:dyDescent="0.2">
      <c r="P714"/>
    </row>
    <row r="715" spans="16:24" x14ac:dyDescent="0.2">
      <c r="P715"/>
    </row>
    <row r="716" spans="16:24" x14ac:dyDescent="0.2">
      <c r="P716"/>
    </row>
    <row r="717" spans="16:24" x14ac:dyDescent="0.2">
      <c r="P717"/>
    </row>
    <row r="718" spans="16:24" x14ac:dyDescent="0.2">
      <c r="P718"/>
    </row>
    <row r="719" spans="16:24" x14ac:dyDescent="0.2">
      <c r="P719"/>
    </row>
    <row r="720" spans="16:24" x14ac:dyDescent="0.2">
      <c r="P720"/>
    </row>
    <row r="721" spans="16:16" x14ac:dyDescent="0.2">
      <c r="P721"/>
    </row>
    <row r="722" spans="16:16" x14ac:dyDescent="0.2">
      <c r="P722"/>
    </row>
  </sheetData>
  <sortState ref="P6:P21">
    <sortCondition ref="P6"/>
  </sortState>
  <mergeCells count="14">
    <mergeCell ref="AD3:AT4"/>
    <mergeCell ref="Z111:AA111"/>
    <mergeCell ref="S3:U4"/>
    <mergeCell ref="W3:Y4"/>
    <mergeCell ref="C3:C4"/>
    <mergeCell ref="H3:H4"/>
    <mergeCell ref="G3:G4"/>
    <mergeCell ref="E3:E4"/>
    <mergeCell ref="O3:Q4"/>
    <mergeCell ref="J3:J4"/>
    <mergeCell ref="I3:I4"/>
    <mergeCell ref="L3:L4"/>
    <mergeCell ref="K3:K4"/>
    <mergeCell ref="F3:F4"/>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KY1132"/>
  <sheetViews>
    <sheetView tabSelected="1" view="pageBreakPreview" zoomScaleNormal="85" zoomScaleSheetLayoutView="100" workbookViewId="0">
      <selection activeCell="A3" sqref="A3:M3"/>
    </sheetView>
  </sheetViews>
  <sheetFormatPr defaultColWidth="2.7109375" defaultRowHeight="14.25" x14ac:dyDescent="0.2"/>
  <cols>
    <col min="1" max="35" width="2.7109375" style="55" customWidth="1"/>
    <col min="36" max="37" width="2.7109375" style="88" customWidth="1"/>
    <col min="38" max="50" width="2.7109375" style="55" customWidth="1"/>
    <col min="51" max="78" width="2.7109375" style="61" customWidth="1"/>
    <col min="79" max="86" width="2.7109375" style="55" customWidth="1"/>
    <col min="87" max="95" width="2.7109375" style="61" customWidth="1"/>
    <col min="96" max="97" width="2.7109375" style="55" customWidth="1"/>
    <col min="98" max="98" width="2.7109375" style="55"/>
    <col min="99" max="100" width="2.7109375" style="55" customWidth="1"/>
    <col min="101" max="102" width="2.7109375" style="217" customWidth="1"/>
    <col min="103" max="103" width="2.7109375" style="217"/>
    <col min="104" max="107" width="2.7109375" style="217" customWidth="1"/>
    <col min="108" max="108" width="2.7109375" style="217"/>
    <col min="109" max="110" width="2.7109375" style="217" customWidth="1"/>
    <col min="111" max="111" width="2.7109375" style="55"/>
    <col min="112" max="112" width="2.7109375" style="55" customWidth="1"/>
    <col min="113" max="113" width="2.7109375" style="55"/>
    <col min="114" max="114" width="2.7109375" style="61" customWidth="1"/>
    <col min="115" max="126" width="2.7109375" style="61"/>
    <col min="127" max="16384" width="2.7109375" style="55"/>
  </cols>
  <sheetData>
    <row r="1" spans="1:155" s="59" customFormat="1" ht="3.75" customHeight="1" thickBo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8"/>
      <c r="AB1" s="58"/>
      <c r="AC1" s="58"/>
      <c r="AD1" s="58"/>
      <c r="AE1" s="58"/>
      <c r="AF1" s="58"/>
      <c r="AG1" s="58"/>
      <c r="AH1" s="58"/>
      <c r="AI1" s="58"/>
      <c r="AJ1" s="89"/>
      <c r="AK1" s="89"/>
    </row>
    <row r="2" spans="1:155" s="59" customFormat="1" ht="12.75" customHeight="1" x14ac:dyDescent="0.2">
      <c r="A2" s="415" t="s">
        <v>297</v>
      </c>
      <c r="B2" s="415"/>
      <c r="C2" s="415"/>
      <c r="D2" s="415"/>
      <c r="E2" s="415"/>
      <c r="F2" s="415"/>
      <c r="G2" s="415"/>
      <c r="H2" s="415"/>
      <c r="I2" s="415"/>
      <c r="J2" s="415"/>
      <c r="K2" s="415"/>
      <c r="L2" s="415"/>
      <c r="M2" s="415"/>
      <c r="N2" s="415" t="s">
        <v>298</v>
      </c>
      <c r="O2" s="415"/>
      <c r="P2" s="415"/>
      <c r="Q2" s="415"/>
      <c r="R2" s="415"/>
      <c r="S2" s="415"/>
      <c r="T2" s="415"/>
      <c r="U2" s="415"/>
      <c r="V2" s="415"/>
      <c r="W2" s="415"/>
      <c r="X2" s="415"/>
      <c r="Y2" s="415"/>
      <c r="Z2" s="415"/>
      <c r="AA2" s="416" t="s">
        <v>299</v>
      </c>
      <c r="AB2" s="416"/>
      <c r="AC2" s="416"/>
      <c r="AD2" s="416"/>
      <c r="AE2" s="416"/>
      <c r="AF2" s="416"/>
      <c r="AG2" s="416"/>
      <c r="AH2" s="416"/>
      <c r="AI2" s="416"/>
      <c r="AJ2" s="416"/>
      <c r="AK2" s="128"/>
    </row>
    <row r="3" spans="1:155" s="59" customFormat="1" ht="12.75" customHeight="1" x14ac:dyDescent="0.2">
      <c r="A3" s="410" t="s">
        <v>959</v>
      </c>
      <c r="B3" s="410"/>
      <c r="C3" s="410"/>
      <c r="D3" s="410"/>
      <c r="E3" s="410"/>
      <c r="F3" s="410"/>
      <c r="G3" s="410"/>
      <c r="H3" s="410"/>
      <c r="I3" s="410"/>
      <c r="J3" s="410"/>
      <c r="K3" s="410"/>
      <c r="L3" s="410"/>
      <c r="M3" s="410"/>
      <c r="N3" s="410" t="s">
        <v>930</v>
      </c>
      <c r="O3" s="410"/>
      <c r="P3" s="410"/>
      <c r="Q3" s="410"/>
      <c r="R3" s="410"/>
      <c r="S3" s="410"/>
      <c r="T3" s="410"/>
      <c r="U3" s="410"/>
      <c r="V3" s="410"/>
      <c r="W3" s="410"/>
      <c r="X3" s="410"/>
      <c r="Y3" s="410"/>
      <c r="Z3" s="410"/>
      <c r="AA3" s="411">
        <f ca="1">TODAY()</f>
        <v>42508</v>
      </c>
      <c r="AB3" s="411"/>
      <c r="AC3" s="411"/>
      <c r="AD3" s="411"/>
      <c r="AE3" s="411"/>
      <c r="AF3" s="411"/>
      <c r="AG3" s="411"/>
      <c r="AH3" s="411"/>
      <c r="AI3" s="411"/>
      <c r="AJ3" s="411"/>
      <c r="AK3" s="143"/>
    </row>
    <row r="4" spans="1:155" s="59" customFormat="1" ht="13.5" customHeight="1" thickBot="1" x14ac:dyDescent="0.25">
      <c r="A4" s="413" t="s">
        <v>300</v>
      </c>
      <c r="B4" s="414"/>
      <c r="C4" s="414"/>
      <c r="D4" s="414"/>
      <c r="E4" s="414"/>
      <c r="F4" s="414"/>
      <c r="G4" s="414"/>
      <c r="H4" s="414"/>
      <c r="I4" s="414"/>
      <c r="J4" s="414"/>
      <c r="K4" s="414"/>
      <c r="L4" s="414"/>
      <c r="M4" s="414"/>
      <c r="N4" s="413" t="s">
        <v>934</v>
      </c>
      <c r="O4" s="414"/>
      <c r="P4" s="414"/>
      <c r="Q4" s="414"/>
      <c r="R4" s="414"/>
      <c r="S4" s="414"/>
      <c r="T4" s="414"/>
      <c r="U4" s="414"/>
      <c r="V4" s="414"/>
      <c r="W4" s="414"/>
      <c r="X4" s="414"/>
      <c r="Y4" s="414"/>
      <c r="Z4" s="414"/>
      <c r="AA4" s="412"/>
      <c r="AB4" s="412"/>
      <c r="AC4" s="412"/>
      <c r="AD4" s="412"/>
      <c r="AE4" s="412"/>
      <c r="AF4" s="412"/>
      <c r="AG4" s="412"/>
      <c r="AH4" s="412"/>
      <c r="AI4" s="412"/>
      <c r="AJ4" s="412"/>
      <c r="AK4" s="144"/>
    </row>
    <row r="5" spans="1:155" s="59" customFormat="1" ht="13.5" customHeight="1" x14ac:dyDescent="0.2">
      <c r="A5" s="415" t="s">
        <v>301</v>
      </c>
      <c r="B5" s="415"/>
      <c r="C5" s="415"/>
      <c r="D5" s="415"/>
      <c r="E5" s="415"/>
      <c r="F5" s="415"/>
      <c r="G5" s="415"/>
      <c r="H5" s="415"/>
      <c r="I5" s="415"/>
      <c r="J5" s="415"/>
      <c r="K5" s="415"/>
      <c r="L5" s="415"/>
      <c r="M5" s="415"/>
      <c r="N5" s="415"/>
      <c r="O5" s="415"/>
      <c r="P5" s="415"/>
      <c r="Q5" s="415"/>
      <c r="R5" s="415"/>
      <c r="S5" s="415"/>
      <c r="T5" s="415"/>
      <c r="U5" s="415"/>
      <c r="V5" s="415"/>
      <c r="W5" s="415"/>
      <c r="X5" s="415"/>
      <c r="Y5" s="415"/>
      <c r="Z5" s="415"/>
      <c r="AA5" s="416" t="s">
        <v>305</v>
      </c>
      <c r="AB5" s="416"/>
      <c r="AC5" s="416"/>
      <c r="AD5" s="416"/>
      <c r="AE5" s="416"/>
      <c r="AF5" s="416"/>
      <c r="AG5" s="416"/>
      <c r="AH5" s="416"/>
      <c r="AI5" s="416"/>
      <c r="AJ5" s="416"/>
      <c r="AK5" s="128"/>
    </row>
    <row r="6" spans="1:155" s="59" customFormat="1" ht="13.5" customHeight="1" thickBot="1" x14ac:dyDescent="0.25">
      <c r="A6" s="439" t="s">
        <v>929</v>
      </c>
      <c r="B6" s="440"/>
      <c r="C6" s="440"/>
      <c r="D6" s="440"/>
      <c r="E6" s="440"/>
      <c r="F6" s="440"/>
      <c r="G6" s="440"/>
      <c r="H6" s="440"/>
      <c r="I6" s="440"/>
      <c r="J6" s="440"/>
      <c r="K6" s="440"/>
      <c r="L6" s="440"/>
      <c r="M6" s="440"/>
      <c r="N6" s="440"/>
      <c r="O6" s="440"/>
      <c r="P6" s="440"/>
      <c r="Q6" s="440"/>
      <c r="R6" s="440"/>
      <c r="S6" s="440"/>
      <c r="T6" s="440"/>
      <c r="U6" s="440"/>
      <c r="V6" s="440"/>
      <c r="W6" s="440"/>
      <c r="X6" s="440"/>
      <c r="Y6" s="440"/>
      <c r="Z6" s="440"/>
      <c r="AA6" s="417" t="str">
        <f ca="1">CONCATENATE("HES - ",(YEAR($AA$3)-2000),IF(MONTH($AA$3)&lt;10,"0",),MONTH($AA$3)," - ","FE"," - ",LEFT(TRIM(A3),5)," - ")</f>
        <v xml:space="preserve">HES - 1605 - FE - NOMBR - </v>
      </c>
      <c r="AB6" s="417"/>
      <c r="AC6" s="417"/>
      <c r="AD6" s="417"/>
      <c r="AE6" s="417"/>
      <c r="AF6" s="417"/>
      <c r="AG6" s="417"/>
      <c r="AH6" s="417"/>
      <c r="AI6" s="418" t="s">
        <v>394</v>
      </c>
      <c r="AJ6" s="418"/>
      <c r="AK6" s="145"/>
    </row>
    <row r="7" spans="1:155" s="59" customFormat="1" ht="12.75" customHeight="1" x14ac:dyDescent="0.2">
      <c r="A7" s="415" t="s">
        <v>302</v>
      </c>
      <c r="B7" s="415"/>
      <c r="C7" s="415"/>
      <c r="D7" s="415"/>
      <c r="E7" s="415"/>
      <c r="F7" s="415"/>
      <c r="G7" s="415"/>
      <c r="H7" s="415"/>
      <c r="I7" s="415"/>
      <c r="J7" s="415"/>
      <c r="K7" s="415"/>
      <c r="L7" s="415"/>
      <c r="M7" s="415"/>
      <c r="N7" s="415"/>
      <c r="O7" s="415"/>
      <c r="P7" s="415"/>
      <c r="Q7" s="415"/>
      <c r="R7" s="415"/>
      <c r="S7" s="415"/>
      <c r="T7" s="415"/>
      <c r="U7" s="415"/>
      <c r="V7" s="415"/>
      <c r="W7" s="415"/>
      <c r="X7" s="415"/>
      <c r="Y7" s="415"/>
      <c r="Z7" s="415"/>
      <c r="AA7" s="60"/>
      <c r="AB7" s="60"/>
      <c r="AC7" s="60"/>
      <c r="AD7" s="60"/>
      <c r="AE7" s="60"/>
      <c r="AF7" s="60"/>
      <c r="AG7" s="60"/>
      <c r="AH7" s="60"/>
      <c r="AI7" s="60"/>
      <c r="AJ7" s="90"/>
      <c r="AK7" s="129"/>
    </row>
    <row r="8" spans="1:155" ht="12.75" x14ac:dyDescent="0.2">
      <c r="A8" s="419" t="s">
        <v>303</v>
      </c>
      <c r="B8" s="419"/>
      <c r="C8" s="419"/>
      <c r="D8" s="419"/>
      <c r="E8" s="419"/>
      <c r="F8" s="419"/>
      <c r="G8" s="419"/>
      <c r="H8" s="419"/>
      <c r="I8" s="419"/>
      <c r="J8" s="419"/>
      <c r="K8" s="419"/>
      <c r="L8" s="419"/>
      <c r="M8" s="419"/>
      <c r="N8" s="419"/>
      <c r="O8" s="419"/>
      <c r="P8" s="419"/>
      <c r="Q8" s="419"/>
      <c r="R8" s="419"/>
      <c r="S8" s="419"/>
      <c r="T8" s="419"/>
      <c r="U8" s="419"/>
      <c r="V8" s="419"/>
      <c r="W8" s="419"/>
      <c r="X8" s="419"/>
      <c r="Y8" s="419"/>
      <c r="Z8" s="41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c r="CE8" s="59"/>
      <c r="CF8" s="59"/>
      <c r="CG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c r="DK8" s="59"/>
      <c r="DL8" s="59"/>
      <c r="DM8" s="59"/>
      <c r="DN8" s="59"/>
      <c r="DO8" s="59"/>
      <c r="DP8" s="59"/>
      <c r="DQ8" s="59"/>
      <c r="DR8" s="59"/>
      <c r="DS8" s="59"/>
      <c r="DT8" s="59"/>
      <c r="DU8" s="59"/>
      <c r="DV8" s="59"/>
      <c r="DW8" s="59"/>
      <c r="DX8" s="59"/>
      <c r="DY8" s="59"/>
      <c r="DZ8" s="59"/>
      <c r="EA8" s="59"/>
      <c r="EB8" s="59"/>
      <c r="EC8" s="59"/>
      <c r="ED8" s="59"/>
      <c r="EE8" s="59"/>
      <c r="EF8" s="59"/>
      <c r="EG8" s="59"/>
      <c r="EH8" s="59"/>
      <c r="EI8" s="59"/>
      <c r="EJ8" s="59"/>
      <c r="EK8" s="59"/>
      <c r="EL8" s="59"/>
      <c r="EM8" s="59"/>
      <c r="EN8" s="59"/>
      <c r="EO8" s="59"/>
      <c r="EP8" s="59"/>
      <c r="EQ8" s="59"/>
      <c r="ER8" s="59"/>
      <c r="ES8" s="59"/>
      <c r="ET8" s="59"/>
      <c r="EU8" s="59"/>
      <c r="EV8" s="59"/>
      <c r="EW8" s="59"/>
      <c r="EX8" s="59"/>
      <c r="EY8" s="59"/>
    </row>
    <row r="9" spans="1:155" ht="12.75" x14ac:dyDescent="0.2">
      <c r="A9" s="54"/>
      <c r="B9" s="54"/>
      <c r="C9" s="54"/>
      <c r="D9" s="54"/>
      <c r="E9" s="54"/>
      <c r="F9" s="54"/>
      <c r="G9" s="54"/>
      <c r="H9" s="54"/>
      <c r="I9" s="54"/>
      <c r="J9" s="54"/>
      <c r="K9" s="54"/>
      <c r="L9" s="54"/>
      <c r="M9" s="54"/>
      <c r="N9" s="54"/>
      <c r="O9" s="54"/>
      <c r="P9" s="54"/>
      <c r="Q9" s="54"/>
      <c r="R9" s="54"/>
      <c r="S9" s="54"/>
      <c r="T9" s="54"/>
      <c r="U9" s="54"/>
      <c r="V9" s="54"/>
      <c r="W9" s="54"/>
      <c r="X9" s="54"/>
      <c r="Y9" s="54"/>
      <c r="Z9" s="54"/>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c r="CE9" s="59"/>
      <c r="CF9" s="59"/>
      <c r="CG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59"/>
      <c r="DK9" s="59"/>
      <c r="DL9" s="59"/>
      <c r="DM9" s="59"/>
      <c r="DN9" s="59"/>
      <c r="DO9" s="59"/>
      <c r="DP9" s="59"/>
      <c r="DQ9" s="59"/>
      <c r="DR9" s="59"/>
      <c r="DS9" s="59"/>
      <c r="DT9" s="59"/>
      <c r="DU9" s="59"/>
      <c r="DV9" s="59"/>
      <c r="DW9" s="59"/>
      <c r="DX9" s="59"/>
      <c r="DY9" s="59"/>
      <c r="DZ9" s="59"/>
      <c r="EA9" s="59"/>
      <c r="EB9" s="59"/>
      <c r="EC9" s="59"/>
      <c r="ED9" s="59"/>
      <c r="EE9" s="59"/>
      <c r="EF9" s="59"/>
      <c r="EG9" s="59"/>
      <c r="EH9" s="59"/>
      <c r="EI9" s="59"/>
      <c r="EJ9" s="59"/>
      <c r="EK9" s="59"/>
      <c r="EL9" s="59"/>
      <c r="EM9" s="59"/>
      <c r="EN9" s="59"/>
      <c r="EO9" s="59"/>
      <c r="EP9" s="59"/>
      <c r="EQ9" s="59"/>
      <c r="ER9" s="59"/>
      <c r="ES9" s="59"/>
      <c r="ET9" s="59"/>
      <c r="EU9" s="59"/>
      <c r="EV9" s="59"/>
      <c r="EW9" s="59"/>
      <c r="EX9" s="59"/>
      <c r="EY9" s="59"/>
    </row>
    <row r="10" spans="1:155" ht="12.75" x14ac:dyDescent="0.2">
      <c r="A10" s="54"/>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c r="CE10" s="59"/>
      <c r="CF10" s="59"/>
      <c r="CG10" s="59"/>
      <c r="CI10" s="59"/>
      <c r="CJ10" s="59"/>
      <c r="CK10" s="59"/>
      <c r="CL10" s="59"/>
      <c r="CM10" s="59"/>
      <c r="CN10" s="59"/>
      <c r="CO10" s="59"/>
      <c r="CP10" s="59"/>
      <c r="CQ10" s="59"/>
      <c r="CR10" s="59"/>
      <c r="CS10" s="59"/>
      <c r="CT10" s="59"/>
      <c r="CU10" s="59"/>
      <c r="CV10" s="59"/>
      <c r="CW10" s="59"/>
      <c r="CX10" s="59"/>
      <c r="CY10" s="59"/>
      <c r="CZ10" s="59"/>
      <c r="DA10" s="59"/>
      <c r="DB10" s="59"/>
      <c r="DC10" s="59"/>
      <c r="DD10" s="59"/>
      <c r="DE10" s="59"/>
      <c r="DF10" s="59"/>
      <c r="DG10" s="59"/>
      <c r="DH10" s="59"/>
      <c r="DI10" s="59"/>
      <c r="DJ10" s="59"/>
      <c r="DK10" s="59"/>
      <c r="DL10" s="59"/>
      <c r="DM10" s="59"/>
      <c r="DN10" s="59"/>
      <c r="DO10" s="59"/>
      <c r="DP10" s="59"/>
      <c r="DQ10" s="59"/>
      <c r="DR10" s="59"/>
      <c r="DS10" s="59"/>
      <c r="DT10" s="59"/>
      <c r="DU10" s="59"/>
      <c r="DV10" s="59"/>
      <c r="DW10" s="59"/>
      <c r="DX10" s="59"/>
      <c r="DY10" s="59"/>
      <c r="DZ10" s="59"/>
      <c r="EA10" s="59"/>
      <c r="EB10" s="59"/>
      <c r="EC10" s="59"/>
      <c r="ED10" s="59"/>
      <c r="EE10" s="59"/>
      <c r="EF10" s="59"/>
      <c r="EG10" s="59"/>
      <c r="EH10" s="59"/>
      <c r="EI10" s="59"/>
      <c r="EJ10" s="59"/>
      <c r="EK10" s="59"/>
      <c r="EL10" s="59"/>
      <c r="EM10" s="59"/>
      <c r="EN10" s="59"/>
      <c r="EO10" s="59"/>
      <c r="EP10" s="59"/>
      <c r="EQ10" s="59"/>
      <c r="ER10" s="59"/>
      <c r="ES10" s="59"/>
      <c r="ET10" s="59"/>
      <c r="EU10" s="59"/>
      <c r="EV10" s="59"/>
      <c r="EW10" s="59"/>
      <c r="EX10" s="59"/>
      <c r="EY10" s="59"/>
    </row>
    <row r="11" spans="1:155" ht="15.75" x14ac:dyDescent="0.2">
      <c r="A11" s="420" t="s">
        <v>304</v>
      </c>
      <c r="B11" s="420"/>
      <c r="C11" s="420"/>
      <c r="D11" s="420"/>
      <c r="E11" s="420"/>
      <c r="F11" s="420"/>
      <c r="G11" s="420"/>
      <c r="H11" s="420"/>
      <c r="I11" s="420"/>
      <c r="J11" s="420"/>
      <c r="K11" s="420"/>
      <c r="L11" s="420"/>
      <c r="M11" s="420"/>
      <c r="N11" s="420"/>
      <c r="O11" s="420"/>
      <c r="P11" s="420"/>
      <c r="Q11" s="420"/>
      <c r="R11" s="420"/>
      <c r="S11" s="420"/>
      <c r="T11" s="420"/>
      <c r="U11" s="420"/>
      <c r="V11" s="420"/>
      <c r="W11" s="420"/>
      <c r="X11" s="420"/>
      <c r="Y11" s="420"/>
      <c r="Z11" s="420"/>
      <c r="AA11" s="420"/>
      <c r="AB11" s="420"/>
      <c r="AC11" s="420"/>
      <c r="AD11" s="420"/>
      <c r="AE11" s="420"/>
      <c r="AF11" s="420"/>
      <c r="AG11" s="420"/>
      <c r="AH11" s="420"/>
      <c r="AI11" s="420"/>
      <c r="AJ11" s="420"/>
      <c r="AK11" s="181"/>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c r="CE11" s="59"/>
      <c r="CF11" s="59"/>
      <c r="CG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row>
    <row r="12" spans="1:155" ht="12.75" x14ac:dyDescent="0.2">
      <c r="A12" s="54"/>
      <c r="B12" s="54"/>
      <c r="C12" s="54"/>
      <c r="D12" s="54"/>
      <c r="E12" s="54"/>
      <c r="F12" s="54"/>
      <c r="G12" s="54"/>
      <c r="H12" s="54"/>
      <c r="I12" s="54"/>
      <c r="J12" s="54"/>
      <c r="K12" s="54"/>
      <c r="L12" s="54"/>
      <c r="M12" s="54"/>
      <c r="N12" s="54"/>
      <c r="O12" s="54"/>
      <c r="P12" s="54"/>
      <c r="Q12" s="54"/>
      <c r="R12" s="54"/>
      <c r="S12" s="54"/>
      <c r="T12" s="54"/>
      <c r="U12" s="54"/>
      <c r="V12" s="54"/>
      <c r="W12" s="54"/>
      <c r="X12" s="54"/>
      <c r="Y12" s="54"/>
      <c r="Z12" s="54"/>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c r="CE12" s="59"/>
      <c r="CF12" s="59"/>
      <c r="CG12" s="59"/>
      <c r="CI12" s="59"/>
      <c r="CJ12" s="59"/>
      <c r="CK12" s="59"/>
      <c r="CL12" s="59"/>
      <c r="CM12" s="59"/>
      <c r="CN12" s="59"/>
      <c r="CO12" s="59"/>
      <c r="CP12" s="59"/>
      <c r="CQ12" s="59"/>
      <c r="CR12" s="59"/>
      <c r="CS12" s="59"/>
      <c r="CT12" s="59"/>
      <c r="CU12" s="59"/>
      <c r="CV12" s="59"/>
      <c r="CW12" s="59"/>
      <c r="CX12" s="59"/>
      <c r="CY12" s="59"/>
      <c r="CZ12" s="59"/>
      <c r="DA12" s="59"/>
      <c r="DB12" s="59"/>
      <c r="DC12" s="59"/>
      <c r="DD12" s="59"/>
      <c r="DE12" s="59"/>
      <c r="DF12" s="59"/>
      <c r="DG12" s="59"/>
      <c r="DH12" s="59"/>
      <c r="DI12" s="59"/>
      <c r="DJ12" s="59"/>
      <c r="DK12" s="59"/>
      <c r="DL12" s="59"/>
      <c r="DM12" s="59"/>
      <c r="DN12" s="59"/>
      <c r="DO12" s="59"/>
      <c r="DP12" s="59"/>
      <c r="DQ12" s="59"/>
      <c r="DR12" s="59"/>
      <c r="DS12" s="59"/>
      <c r="DT12" s="59"/>
      <c r="DU12" s="59"/>
      <c r="DV12" s="59"/>
      <c r="DW12" s="59"/>
      <c r="DX12" s="59"/>
      <c r="DY12" s="59"/>
      <c r="DZ12" s="59"/>
      <c r="EA12" s="59"/>
      <c r="EB12" s="59"/>
      <c r="EC12" s="59"/>
      <c r="ED12" s="59"/>
      <c r="EE12" s="59"/>
      <c r="EF12" s="59"/>
      <c r="EG12" s="59"/>
      <c r="EH12" s="59"/>
      <c r="EI12" s="59"/>
      <c r="EJ12" s="59"/>
      <c r="EK12" s="59"/>
      <c r="EL12" s="59"/>
      <c r="EM12" s="59"/>
      <c r="EN12" s="59"/>
      <c r="EO12" s="59"/>
      <c r="EP12" s="59"/>
      <c r="EQ12" s="59"/>
      <c r="ER12" s="59"/>
      <c r="ES12" s="59"/>
      <c r="ET12" s="59"/>
      <c r="EU12" s="59"/>
      <c r="EV12" s="59"/>
      <c r="EW12" s="59"/>
      <c r="EX12" s="59"/>
      <c r="EY12" s="59"/>
    </row>
    <row r="13" spans="1:155" ht="18.75" x14ac:dyDescent="0.2">
      <c r="A13" s="334" t="s">
        <v>582</v>
      </c>
      <c r="B13" s="334"/>
      <c r="C13" s="334"/>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178"/>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c r="CE13" s="59"/>
      <c r="CF13" s="59"/>
      <c r="CG13" s="59"/>
      <c r="CI13" s="59"/>
      <c r="CJ13" s="59"/>
      <c r="CK13" s="59"/>
      <c r="CL13" s="59"/>
      <c r="CM13" s="59"/>
      <c r="CN13" s="59"/>
      <c r="CO13" s="59"/>
      <c r="CP13" s="59"/>
      <c r="CQ13" s="59"/>
      <c r="CR13" s="59"/>
      <c r="CS13" s="59"/>
      <c r="CT13" s="59"/>
      <c r="CU13" s="59"/>
      <c r="CV13" s="59"/>
      <c r="CW13" s="59"/>
      <c r="CX13" s="59"/>
      <c r="CY13" s="59"/>
      <c r="CZ13" s="59"/>
      <c r="DA13" s="59"/>
      <c r="DB13" s="59"/>
      <c r="DC13" s="59"/>
      <c r="DD13" s="59"/>
      <c r="DE13" s="59"/>
      <c r="DF13" s="59"/>
      <c r="DG13" s="59"/>
      <c r="DH13" s="59"/>
      <c r="DI13" s="59"/>
      <c r="DJ13" s="59"/>
      <c r="DK13" s="59"/>
      <c r="DL13" s="59"/>
      <c r="DM13" s="59"/>
      <c r="DN13" s="59"/>
      <c r="DO13" s="59"/>
      <c r="DP13" s="59"/>
      <c r="DQ13" s="59"/>
      <c r="DR13" s="59"/>
      <c r="DS13" s="59"/>
      <c r="DT13" s="59"/>
      <c r="DU13" s="59"/>
      <c r="DV13" s="59"/>
      <c r="DW13" s="59"/>
      <c r="DX13" s="59"/>
      <c r="DY13" s="59"/>
      <c r="DZ13" s="59"/>
      <c r="EA13" s="59"/>
      <c r="EB13" s="59"/>
      <c r="EC13" s="59"/>
      <c r="ED13" s="59"/>
      <c r="EE13" s="59"/>
      <c r="EF13" s="59"/>
      <c r="EG13" s="59"/>
      <c r="EH13" s="59"/>
      <c r="EI13" s="59"/>
      <c r="EJ13" s="59"/>
      <c r="EK13" s="59"/>
      <c r="EL13" s="59"/>
      <c r="EM13" s="59"/>
      <c r="EN13" s="59"/>
      <c r="EO13" s="59"/>
      <c r="EP13" s="59"/>
      <c r="EQ13" s="59"/>
      <c r="ER13" s="59"/>
      <c r="ES13" s="59"/>
      <c r="ET13" s="59"/>
      <c r="EU13" s="59"/>
      <c r="EV13" s="59"/>
      <c r="EW13" s="59"/>
      <c r="EX13" s="59"/>
      <c r="EY13" s="59"/>
    </row>
    <row r="14" spans="1:155" x14ac:dyDescent="0.2">
      <c r="A14" s="54"/>
      <c r="B14" s="54"/>
      <c r="C14" s="54"/>
      <c r="D14" s="54"/>
      <c r="E14" s="54"/>
      <c r="F14" s="54"/>
      <c r="G14" s="54"/>
      <c r="H14" s="54"/>
      <c r="I14" s="54"/>
      <c r="J14" s="54"/>
      <c r="K14" s="54"/>
      <c r="L14" s="54"/>
      <c r="M14" s="54"/>
      <c r="N14" s="54"/>
      <c r="O14" s="54"/>
      <c r="P14" s="54"/>
      <c r="Q14" s="54"/>
      <c r="R14" s="54"/>
      <c r="S14" s="54"/>
      <c r="T14" s="54"/>
      <c r="U14" s="54"/>
      <c r="V14" s="54"/>
      <c r="W14" s="54"/>
      <c r="X14" s="54"/>
      <c r="Y14" s="54"/>
      <c r="Z14" s="54"/>
    </row>
    <row r="15" spans="1:155" ht="15" x14ac:dyDescent="0.2">
      <c r="A15" s="54"/>
      <c r="B15" s="248" t="s">
        <v>306</v>
      </c>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8"/>
      <c r="AH15" s="248"/>
      <c r="AI15" s="248"/>
    </row>
    <row r="16" spans="1:155" x14ac:dyDescent="0.2">
      <c r="A16" s="54"/>
      <c r="B16" s="54"/>
      <c r="C16" s="54"/>
      <c r="D16" s="54"/>
      <c r="E16" s="54"/>
      <c r="F16" s="54"/>
      <c r="G16" s="54"/>
      <c r="H16" s="54"/>
      <c r="I16" s="54"/>
      <c r="J16" s="54"/>
      <c r="K16" s="54"/>
      <c r="L16" s="54"/>
      <c r="M16" s="54"/>
      <c r="N16" s="54"/>
      <c r="O16" s="54"/>
      <c r="P16" s="54"/>
      <c r="Q16" s="54"/>
      <c r="R16" s="54"/>
      <c r="S16" s="54"/>
      <c r="T16" s="54"/>
      <c r="U16" s="54"/>
      <c r="V16" s="54"/>
      <c r="W16" s="54"/>
      <c r="X16" s="54"/>
      <c r="Y16" s="54"/>
      <c r="Z16" s="54"/>
    </row>
    <row r="17" spans="1:37" ht="14.25" customHeight="1" x14ac:dyDescent="0.2">
      <c r="A17" s="54"/>
      <c r="B17" s="286" t="s">
        <v>659</v>
      </c>
      <c r="C17" s="286"/>
      <c r="D17" s="286"/>
      <c r="E17" s="286"/>
      <c r="F17" s="286"/>
      <c r="G17" s="286"/>
      <c r="H17" s="286"/>
      <c r="I17" s="286"/>
      <c r="J17" s="286"/>
      <c r="K17" s="286"/>
      <c r="L17" s="286"/>
      <c r="M17" s="286"/>
      <c r="N17" s="286"/>
      <c r="O17" s="286"/>
      <c r="P17" s="286"/>
      <c r="Q17" s="286"/>
      <c r="R17" s="286"/>
      <c r="S17" s="286"/>
      <c r="T17" s="286"/>
      <c r="U17" s="286"/>
      <c r="V17" s="286"/>
      <c r="W17" s="286"/>
      <c r="X17" s="286"/>
      <c r="Y17" s="286"/>
      <c r="Z17" s="286"/>
      <c r="AA17" s="286"/>
      <c r="AB17" s="286"/>
      <c r="AC17" s="286"/>
      <c r="AD17" s="286"/>
      <c r="AE17" s="286"/>
      <c r="AF17" s="286"/>
      <c r="AG17" s="286"/>
      <c r="AH17" s="286"/>
      <c r="AI17" s="286"/>
      <c r="AJ17" s="286"/>
      <c r="AK17" s="173"/>
    </row>
    <row r="18" spans="1:37" x14ac:dyDescent="0.2">
      <c r="A18" s="54"/>
      <c r="B18" s="286"/>
      <c r="C18" s="286"/>
      <c r="D18" s="286"/>
      <c r="E18" s="286"/>
      <c r="F18" s="286"/>
      <c r="G18" s="286"/>
      <c r="H18" s="286"/>
      <c r="I18" s="286"/>
      <c r="J18" s="286"/>
      <c r="K18" s="286"/>
      <c r="L18" s="286"/>
      <c r="M18" s="286"/>
      <c r="N18" s="286"/>
      <c r="O18" s="286"/>
      <c r="P18" s="286"/>
      <c r="Q18" s="286"/>
      <c r="R18" s="286"/>
      <c r="S18" s="286"/>
      <c r="T18" s="286"/>
      <c r="U18" s="286"/>
      <c r="V18" s="286"/>
      <c r="W18" s="286"/>
      <c r="X18" s="286"/>
      <c r="Y18" s="286"/>
      <c r="Z18" s="286"/>
      <c r="AA18" s="286"/>
      <c r="AB18" s="286"/>
      <c r="AC18" s="286"/>
      <c r="AD18" s="286"/>
      <c r="AE18" s="286"/>
      <c r="AF18" s="286"/>
      <c r="AG18" s="286"/>
      <c r="AH18" s="286"/>
      <c r="AI18" s="286"/>
      <c r="AJ18" s="286"/>
      <c r="AK18" s="173"/>
    </row>
    <row r="19" spans="1:37" x14ac:dyDescent="0.2">
      <c r="A19" s="54"/>
      <c r="B19" s="286"/>
      <c r="C19" s="286"/>
      <c r="D19" s="286"/>
      <c r="E19" s="286"/>
      <c r="F19" s="286"/>
      <c r="G19" s="286"/>
      <c r="H19" s="286"/>
      <c r="I19" s="286"/>
      <c r="J19" s="286"/>
      <c r="K19" s="286"/>
      <c r="L19" s="286"/>
      <c r="M19" s="286"/>
      <c r="N19" s="286"/>
      <c r="O19" s="286"/>
      <c r="P19" s="286"/>
      <c r="Q19" s="286"/>
      <c r="R19" s="286"/>
      <c r="S19" s="286"/>
      <c r="T19" s="286"/>
      <c r="U19" s="286"/>
      <c r="V19" s="286"/>
      <c r="W19" s="286"/>
      <c r="X19" s="286"/>
      <c r="Y19" s="286"/>
      <c r="Z19" s="286"/>
      <c r="AA19" s="286"/>
      <c r="AB19" s="286"/>
      <c r="AC19" s="286"/>
      <c r="AD19" s="286"/>
      <c r="AE19" s="286"/>
      <c r="AF19" s="286"/>
      <c r="AG19" s="286"/>
      <c r="AH19" s="286"/>
      <c r="AI19" s="286"/>
      <c r="AJ19" s="286"/>
      <c r="AK19" s="173"/>
    </row>
    <row r="20" spans="1:37" x14ac:dyDescent="0.2">
      <c r="A20" s="54"/>
      <c r="B20" s="286"/>
      <c r="C20" s="286"/>
      <c r="D20" s="286"/>
      <c r="E20" s="286"/>
      <c r="F20" s="286"/>
      <c r="G20" s="286"/>
      <c r="H20" s="286"/>
      <c r="I20" s="286"/>
      <c r="J20" s="286"/>
      <c r="K20" s="286"/>
      <c r="L20" s="286"/>
      <c r="M20" s="286"/>
      <c r="N20" s="286"/>
      <c r="O20" s="286"/>
      <c r="P20" s="286"/>
      <c r="Q20" s="286"/>
      <c r="R20" s="286"/>
      <c r="S20" s="286"/>
      <c r="T20" s="286"/>
      <c r="U20" s="286"/>
      <c r="V20" s="286"/>
      <c r="W20" s="286"/>
      <c r="X20" s="286"/>
      <c r="Y20" s="286"/>
      <c r="Z20" s="286"/>
      <c r="AA20" s="286"/>
      <c r="AB20" s="286"/>
      <c r="AC20" s="286"/>
      <c r="AD20" s="286"/>
      <c r="AE20" s="286"/>
      <c r="AF20" s="286"/>
      <c r="AG20" s="286"/>
      <c r="AH20" s="286"/>
      <c r="AI20" s="286"/>
      <c r="AJ20" s="286"/>
      <c r="AK20" s="173"/>
    </row>
    <row r="21" spans="1:37" x14ac:dyDescent="0.2">
      <c r="A21" s="54"/>
      <c r="B21" s="286"/>
      <c r="C21" s="286"/>
      <c r="D21" s="286"/>
      <c r="E21" s="286"/>
      <c r="F21" s="286"/>
      <c r="G21" s="286"/>
      <c r="H21" s="286"/>
      <c r="I21" s="286"/>
      <c r="J21" s="286"/>
      <c r="K21" s="286"/>
      <c r="L21" s="286"/>
      <c r="M21" s="286"/>
      <c r="N21" s="286"/>
      <c r="O21" s="286"/>
      <c r="P21" s="286"/>
      <c r="Q21" s="286"/>
      <c r="R21" s="286"/>
      <c r="S21" s="286"/>
      <c r="T21" s="286"/>
      <c r="U21" s="286"/>
      <c r="V21" s="286"/>
      <c r="W21" s="286"/>
      <c r="X21" s="286"/>
      <c r="Y21" s="286"/>
      <c r="Z21" s="286"/>
      <c r="AA21" s="286"/>
      <c r="AB21" s="286"/>
      <c r="AC21" s="286"/>
      <c r="AD21" s="286"/>
      <c r="AE21" s="286"/>
      <c r="AF21" s="286"/>
      <c r="AG21" s="286"/>
      <c r="AH21" s="286"/>
      <c r="AI21" s="286"/>
      <c r="AJ21" s="286"/>
      <c r="AK21" s="173"/>
    </row>
    <row r="22" spans="1:37" x14ac:dyDescent="0.2">
      <c r="A22" s="54"/>
      <c r="B22" s="286"/>
      <c r="C22" s="286"/>
      <c r="D22" s="286"/>
      <c r="E22" s="286"/>
      <c r="F22" s="286"/>
      <c r="G22" s="286"/>
      <c r="H22" s="286"/>
      <c r="I22" s="286"/>
      <c r="J22" s="286"/>
      <c r="K22" s="286"/>
      <c r="L22" s="286"/>
      <c r="M22" s="286"/>
      <c r="N22" s="286"/>
      <c r="O22" s="286"/>
      <c r="P22" s="286"/>
      <c r="Q22" s="286"/>
      <c r="R22" s="286"/>
      <c r="S22" s="286"/>
      <c r="T22" s="286"/>
      <c r="U22" s="286"/>
      <c r="V22" s="286"/>
      <c r="W22" s="286"/>
      <c r="X22" s="286"/>
      <c r="Y22" s="286"/>
      <c r="Z22" s="286"/>
      <c r="AA22" s="286"/>
      <c r="AB22" s="286"/>
      <c r="AC22" s="286"/>
      <c r="AD22" s="286"/>
      <c r="AE22" s="286"/>
      <c r="AF22" s="286"/>
      <c r="AG22" s="286"/>
      <c r="AH22" s="286"/>
      <c r="AI22" s="286"/>
      <c r="AJ22" s="286"/>
      <c r="AK22" s="173"/>
    </row>
    <row r="23" spans="1:37" x14ac:dyDescent="0.2">
      <c r="A23" s="54"/>
      <c r="B23" s="54"/>
      <c r="C23" s="54"/>
      <c r="D23" s="54"/>
      <c r="E23" s="54"/>
      <c r="F23" s="54"/>
      <c r="G23" s="54"/>
      <c r="H23" s="54"/>
      <c r="I23" s="54"/>
      <c r="J23" s="54"/>
      <c r="K23" s="54"/>
      <c r="L23" s="54"/>
      <c r="M23" s="54"/>
      <c r="N23" s="54"/>
      <c r="O23" s="54"/>
      <c r="P23" s="54"/>
      <c r="Q23" s="54"/>
      <c r="R23" s="54"/>
      <c r="S23" s="54"/>
      <c r="T23" s="54"/>
      <c r="U23" s="54"/>
      <c r="V23" s="54"/>
      <c r="W23" s="54"/>
      <c r="X23" s="54"/>
      <c r="Y23" s="54"/>
      <c r="Z23" s="54"/>
    </row>
    <row r="24" spans="1:37" x14ac:dyDescent="0.2">
      <c r="A24" s="54"/>
      <c r="B24" s="54"/>
      <c r="C24" s="54"/>
      <c r="D24" s="54"/>
      <c r="E24" s="54"/>
      <c r="F24" s="54"/>
      <c r="G24" s="54"/>
      <c r="H24" s="54"/>
      <c r="I24" s="54"/>
      <c r="J24" s="54"/>
      <c r="K24" s="54"/>
      <c r="L24" s="54"/>
      <c r="M24" s="54"/>
      <c r="N24" s="54"/>
      <c r="O24" s="54"/>
      <c r="P24" s="54"/>
      <c r="Q24" s="54"/>
      <c r="R24" s="54"/>
      <c r="S24" s="54"/>
      <c r="T24" s="54"/>
      <c r="U24" s="54"/>
      <c r="V24" s="54"/>
      <c r="W24" s="54"/>
      <c r="X24" s="54"/>
      <c r="Y24" s="54"/>
      <c r="Z24" s="54"/>
    </row>
    <row r="25" spans="1:37" ht="15" x14ac:dyDescent="0.2">
      <c r="A25" s="54"/>
      <c r="B25" s="248" t="s">
        <v>307</v>
      </c>
      <c r="C25" s="248"/>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8"/>
      <c r="AD25" s="248"/>
      <c r="AE25" s="248"/>
      <c r="AF25" s="248"/>
      <c r="AG25" s="248"/>
      <c r="AH25" s="248"/>
      <c r="AI25" s="248"/>
    </row>
    <row r="26" spans="1:37" x14ac:dyDescent="0.2">
      <c r="A26" s="54"/>
      <c r="B26" s="54"/>
      <c r="C26" s="54"/>
      <c r="D26" s="54"/>
      <c r="E26" s="54"/>
      <c r="F26" s="54"/>
      <c r="G26" s="54"/>
      <c r="H26" s="54"/>
      <c r="I26" s="54"/>
      <c r="J26" s="54"/>
      <c r="K26" s="54"/>
      <c r="L26" s="54"/>
      <c r="M26" s="54"/>
      <c r="N26" s="54"/>
      <c r="O26" s="54"/>
      <c r="P26" s="54"/>
      <c r="Q26" s="54"/>
      <c r="R26" s="54"/>
      <c r="S26" s="54"/>
      <c r="T26" s="54"/>
      <c r="U26" s="54"/>
      <c r="V26" s="54"/>
      <c r="W26" s="54"/>
      <c r="X26" s="54"/>
      <c r="Y26" s="54"/>
      <c r="Z26" s="54"/>
    </row>
    <row r="27" spans="1:37" ht="14.25" customHeight="1" x14ac:dyDescent="0.2">
      <c r="A27" s="54"/>
      <c r="B27" s="286" t="s">
        <v>452</v>
      </c>
      <c r="C27" s="286"/>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6"/>
      <c r="AJ27" s="286"/>
      <c r="AK27" s="173"/>
    </row>
    <row r="28" spans="1:37" ht="14.25" customHeight="1" x14ac:dyDescent="0.2">
      <c r="A28" s="54"/>
      <c r="B28" s="286"/>
      <c r="C28" s="286"/>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286"/>
      <c r="AB28" s="286"/>
      <c r="AC28" s="286"/>
      <c r="AD28" s="286"/>
      <c r="AE28" s="286"/>
      <c r="AF28" s="286"/>
      <c r="AG28" s="286"/>
      <c r="AH28" s="286"/>
      <c r="AI28" s="286"/>
      <c r="AJ28" s="286"/>
      <c r="AK28" s="173"/>
    </row>
    <row r="29" spans="1:37" ht="14.25" customHeight="1" x14ac:dyDescent="0.2">
      <c r="A29" s="54"/>
      <c r="B29" s="286"/>
      <c r="C29" s="286"/>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286"/>
      <c r="AB29" s="286"/>
      <c r="AC29" s="286"/>
      <c r="AD29" s="286"/>
      <c r="AE29" s="286"/>
      <c r="AF29" s="286"/>
      <c r="AG29" s="286"/>
      <c r="AH29" s="286"/>
      <c r="AI29" s="286"/>
      <c r="AJ29" s="286"/>
      <c r="AK29" s="173"/>
    </row>
    <row r="30" spans="1:37" x14ac:dyDescent="0.2">
      <c r="A30" s="54"/>
      <c r="B30" s="286"/>
      <c r="C30" s="286"/>
      <c r="D30" s="286"/>
      <c r="E30" s="286"/>
      <c r="F30" s="286"/>
      <c r="G30" s="286"/>
      <c r="H30" s="286"/>
      <c r="I30" s="286"/>
      <c r="J30" s="286"/>
      <c r="K30" s="286"/>
      <c r="L30" s="286"/>
      <c r="M30" s="286"/>
      <c r="N30" s="286"/>
      <c r="O30" s="286"/>
      <c r="P30" s="286"/>
      <c r="Q30" s="286"/>
      <c r="R30" s="286"/>
      <c r="S30" s="286"/>
      <c r="T30" s="286"/>
      <c r="U30" s="286"/>
      <c r="V30" s="286"/>
      <c r="W30" s="286"/>
      <c r="X30" s="286"/>
      <c r="Y30" s="286"/>
      <c r="Z30" s="286"/>
      <c r="AA30" s="286"/>
      <c r="AB30" s="286"/>
      <c r="AC30" s="286"/>
      <c r="AD30" s="286"/>
      <c r="AE30" s="286"/>
      <c r="AF30" s="286"/>
      <c r="AG30" s="286"/>
      <c r="AH30" s="286"/>
      <c r="AI30" s="286"/>
      <c r="AJ30" s="286"/>
      <c r="AK30" s="173"/>
    </row>
    <row r="31" spans="1:37" x14ac:dyDescent="0.2">
      <c r="A31" s="54"/>
      <c r="B31" s="54"/>
      <c r="C31" s="54"/>
      <c r="D31" s="54"/>
      <c r="E31" s="54"/>
      <c r="F31" s="54"/>
      <c r="G31" s="54"/>
      <c r="H31" s="54"/>
      <c r="I31" s="54"/>
      <c r="J31" s="54"/>
      <c r="K31" s="54"/>
      <c r="L31" s="54"/>
      <c r="M31" s="54"/>
      <c r="N31" s="54"/>
      <c r="O31" s="54"/>
      <c r="P31" s="54"/>
      <c r="Q31" s="54"/>
      <c r="R31" s="54"/>
      <c r="S31" s="54"/>
      <c r="T31" s="54"/>
      <c r="U31" s="54"/>
      <c r="V31" s="54"/>
      <c r="W31" s="54"/>
      <c r="X31" s="54"/>
      <c r="Y31" s="54"/>
      <c r="Z31" s="54"/>
    </row>
    <row r="32" spans="1:37" x14ac:dyDescent="0.2">
      <c r="A32" s="54"/>
      <c r="B32" s="54"/>
      <c r="C32" s="54"/>
      <c r="D32" s="54"/>
      <c r="E32" s="54"/>
      <c r="F32" s="54"/>
      <c r="G32" s="54"/>
      <c r="H32" s="54"/>
      <c r="I32" s="54"/>
      <c r="J32" s="54"/>
      <c r="K32" s="54"/>
      <c r="L32" s="54"/>
      <c r="M32" s="54"/>
      <c r="N32" s="54"/>
      <c r="O32" s="54"/>
      <c r="P32" s="54"/>
      <c r="Q32" s="54"/>
      <c r="R32" s="54"/>
      <c r="S32" s="54"/>
      <c r="T32" s="54"/>
      <c r="U32" s="54"/>
      <c r="V32" s="54"/>
      <c r="W32" s="54"/>
      <c r="X32" s="54"/>
      <c r="Y32" s="54"/>
      <c r="Z32" s="54"/>
    </row>
    <row r="33" spans="1:37" ht="15" x14ac:dyDescent="0.2">
      <c r="A33" s="54"/>
      <c r="B33" s="248" t="s">
        <v>308</v>
      </c>
      <c r="C33" s="248"/>
      <c r="D33" s="248"/>
      <c r="E33" s="248"/>
      <c r="F33" s="248"/>
      <c r="G33" s="248"/>
      <c r="H33" s="248"/>
      <c r="I33" s="248"/>
      <c r="J33" s="248"/>
      <c r="K33" s="248"/>
      <c r="L33" s="248"/>
      <c r="M33" s="248"/>
      <c r="N33" s="248"/>
      <c r="O33" s="248"/>
      <c r="P33" s="248"/>
      <c r="Q33" s="248"/>
      <c r="R33" s="248"/>
      <c r="S33" s="248"/>
      <c r="T33" s="248"/>
      <c r="U33" s="248"/>
      <c r="V33" s="248"/>
      <c r="W33" s="248"/>
      <c r="X33" s="248"/>
      <c r="Y33" s="248"/>
      <c r="Z33" s="248"/>
      <c r="AA33" s="248"/>
      <c r="AB33" s="248"/>
      <c r="AC33" s="248"/>
      <c r="AD33" s="248"/>
      <c r="AE33" s="248"/>
      <c r="AF33" s="248"/>
      <c r="AG33" s="248"/>
      <c r="AH33" s="248"/>
      <c r="AI33" s="248"/>
    </row>
    <row r="34" spans="1:37" x14ac:dyDescent="0.2">
      <c r="A34" s="54"/>
      <c r="B34" s="54"/>
      <c r="C34" s="54"/>
      <c r="D34" s="54"/>
      <c r="E34" s="54"/>
      <c r="F34" s="54"/>
      <c r="G34" s="54"/>
      <c r="H34" s="54"/>
      <c r="I34" s="54"/>
      <c r="J34" s="54"/>
      <c r="K34" s="54"/>
      <c r="L34" s="54"/>
      <c r="M34" s="54"/>
      <c r="N34" s="54"/>
      <c r="O34" s="54"/>
      <c r="P34" s="54"/>
      <c r="Q34" s="54"/>
      <c r="R34" s="54"/>
      <c r="S34" s="54"/>
      <c r="T34" s="54"/>
      <c r="U34" s="54"/>
      <c r="V34" s="54"/>
      <c r="W34" s="54"/>
      <c r="X34" s="54"/>
      <c r="Y34" s="54"/>
      <c r="Z34" s="54"/>
    </row>
    <row r="35" spans="1:37" ht="14.25" customHeight="1" x14ac:dyDescent="0.2">
      <c r="A35" s="54"/>
      <c r="B35" s="286" t="s">
        <v>309</v>
      </c>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c r="AH35" s="286"/>
      <c r="AI35" s="286"/>
      <c r="AJ35" s="286"/>
      <c r="AK35" s="173"/>
    </row>
    <row r="36" spans="1:37" ht="14.25" customHeight="1" x14ac:dyDescent="0.2">
      <c r="A36" s="54"/>
      <c r="B36" s="286"/>
      <c r="C36" s="286"/>
      <c r="D36" s="286"/>
      <c r="E36" s="286"/>
      <c r="F36" s="286"/>
      <c r="G36" s="286"/>
      <c r="H36" s="286"/>
      <c r="I36" s="286"/>
      <c r="J36" s="286"/>
      <c r="K36" s="286"/>
      <c r="L36" s="286"/>
      <c r="M36" s="286"/>
      <c r="N36" s="286"/>
      <c r="O36" s="286"/>
      <c r="P36" s="286"/>
      <c r="Q36" s="286"/>
      <c r="R36" s="286"/>
      <c r="S36" s="286"/>
      <c r="T36" s="286"/>
      <c r="U36" s="286"/>
      <c r="V36" s="286"/>
      <c r="W36" s="286"/>
      <c r="X36" s="286"/>
      <c r="Y36" s="286"/>
      <c r="Z36" s="286"/>
      <c r="AA36" s="286"/>
      <c r="AB36" s="286"/>
      <c r="AC36" s="286"/>
      <c r="AD36" s="286"/>
      <c r="AE36" s="286"/>
      <c r="AF36" s="286"/>
      <c r="AG36" s="286"/>
      <c r="AH36" s="286"/>
      <c r="AI36" s="286"/>
      <c r="AJ36" s="286"/>
      <c r="AK36" s="173"/>
    </row>
    <row r="37" spans="1:37" x14ac:dyDescent="0.2">
      <c r="A37" s="54"/>
      <c r="B37" s="286"/>
      <c r="C37" s="286"/>
      <c r="D37" s="286"/>
      <c r="E37" s="286"/>
      <c r="F37" s="286"/>
      <c r="G37" s="286"/>
      <c r="H37" s="286"/>
      <c r="I37" s="286"/>
      <c r="J37" s="286"/>
      <c r="K37" s="286"/>
      <c r="L37" s="286"/>
      <c r="M37" s="286"/>
      <c r="N37" s="286"/>
      <c r="O37" s="286"/>
      <c r="P37" s="286"/>
      <c r="Q37" s="286"/>
      <c r="R37" s="286"/>
      <c r="S37" s="286"/>
      <c r="T37" s="286"/>
      <c r="U37" s="286"/>
      <c r="V37" s="286"/>
      <c r="W37" s="286"/>
      <c r="X37" s="286"/>
      <c r="Y37" s="286"/>
      <c r="Z37" s="286"/>
      <c r="AA37" s="286"/>
      <c r="AB37" s="286"/>
      <c r="AC37" s="286"/>
      <c r="AD37" s="286"/>
      <c r="AE37" s="286"/>
      <c r="AF37" s="286"/>
      <c r="AG37" s="286"/>
      <c r="AH37" s="286"/>
      <c r="AI37" s="286"/>
      <c r="AJ37" s="286"/>
      <c r="AK37" s="173"/>
    </row>
    <row r="38" spans="1:37" x14ac:dyDescent="0.2">
      <c r="A38" s="54"/>
      <c r="B38" s="67"/>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91"/>
      <c r="AK38" s="182"/>
    </row>
    <row r="39" spans="1:37" x14ac:dyDescent="0.2">
      <c r="A39" s="54"/>
      <c r="B39" s="67"/>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91"/>
      <c r="AK39" s="182"/>
    </row>
    <row r="40" spans="1:37" ht="15" x14ac:dyDescent="0.2">
      <c r="A40" s="54"/>
      <c r="B40" s="248" t="s">
        <v>392</v>
      </c>
      <c r="C40" s="248"/>
      <c r="D40" s="248"/>
      <c r="E40" s="248"/>
      <c r="F40" s="248"/>
      <c r="G40" s="248"/>
      <c r="H40" s="248"/>
      <c r="I40" s="248"/>
      <c r="J40" s="248"/>
      <c r="K40" s="248"/>
      <c r="L40" s="248"/>
      <c r="M40" s="248"/>
      <c r="N40" s="248"/>
      <c r="O40" s="248"/>
      <c r="P40" s="248"/>
      <c r="Q40" s="248"/>
      <c r="R40" s="248"/>
      <c r="S40" s="248"/>
      <c r="T40" s="248"/>
      <c r="U40" s="248"/>
      <c r="V40" s="248"/>
      <c r="W40" s="248"/>
      <c r="X40" s="248"/>
      <c r="Y40" s="248"/>
      <c r="Z40" s="248"/>
      <c r="AA40" s="248"/>
      <c r="AB40" s="248"/>
      <c r="AC40" s="248"/>
      <c r="AD40" s="248"/>
      <c r="AE40" s="248"/>
      <c r="AF40" s="248"/>
      <c r="AG40" s="248"/>
      <c r="AH40" s="248"/>
      <c r="AI40" s="248"/>
    </row>
    <row r="41" spans="1:37" x14ac:dyDescent="0.2">
      <c r="A41" s="54"/>
      <c r="B41" s="54"/>
      <c r="C41" s="54"/>
      <c r="D41" s="54"/>
      <c r="E41" s="54"/>
      <c r="F41" s="54"/>
      <c r="G41" s="54"/>
      <c r="H41" s="54"/>
      <c r="I41" s="54"/>
      <c r="J41" s="54"/>
      <c r="K41" s="54"/>
      <c r="L41" s="54"/>
      <c r="M41" s="54"/>
      <c r="N41" s="54"/>
      <c r="O41" s="54"/>
      <c r="P41" s="54"/>
      <c r="Q41" s="54"/>
      <c r="R41" s="54"/>
      <c r="S41" s="54"/>
      <c r="T41" s="54"/>
      <c r="U41" s="54"/>
      <c r="V41" s="54"/>
      <c r="W41" s="54"/>
      <c r="X41" s="54"/>
      <c r="Y41" s="54"/>
      <c r="Z41" s="54"/>
    </row>
    <row r="42" spans="1:37" ht="14.25" customHeight="1" x14ac:dyDescent="0.2">
      <c r="A42" s="54"/>
      <c r="B42" s="286" t="s">
        <v>957</v>
      </c>
      <c r="C42" s="286"/>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c r="AI42" s="286"/>
      <c r="AJ42" s="286"/>
      <c r="AK42" s="173"/>
    </row>
    <row r="43" spans="1:37" ht="14.25" customHeight="1" x14ac:dyDescent="0.2">
      <c r="A43" s="54"/>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c r="AH43" s="286"/>
      <c r="AI43" s="286"/>
      <c r="AJ43" s="286"/>
      <c r="AK43" s="173"/>
    </row>
    <row r="44" spans="1:37" x14ac:dyDescent="0.2">
      <c r="A44" s="54"/>
      <c r="B44" s="286"/>
      <c r="C44" s="286"/>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286"/>
      <c r="AF44" s="286"/>
      <c r="AG44" s="286"/>
      <c r="AH44" s="286"/>
      <c r="AI44" s="286"/>
      <c r="AJ44" s="286"/>
      <c r="AK44" s="173"/>
    </row>
    <row r="45" spans="1:37" x14ac:dyDescent="0.2">
      <c r="A45" s="54"/>
      <c r="B45" s="78"/>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91"/>
      <c r="AK45" s="182"/>
    </row>
    <row r="46" spans="1:37" x14ac:dyDescent="0.2">
      <c r="A46" s="54"/>
      <c r="B46" s="157"/>
      <c r="C46" s="158"/>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158"/>
      <c r="AB46" s="158"/>
      <c r="AC46" s="158"/>
      <c r="AD46" s="158"/>
      <c r="AE46" s="158"/>
      <c r="AF46" s="158"/>
      <c r="AG46" s="158"/>
      <c r="AH46" s="158"/>
      <c r="AI46" s="158"/>
      <c r="AJ46" s="91"/>
      <c r="AK46" s="182"/>
    </row>
    <row r="47" spans="1:37" ht="15" x14ac:dyDescent="0.2">
      <c r="A47" s="54" t="s">
        <v>271</v>
      </c>
      <c r="B47" s="248" t="s">
        <v>872</v>
      </c>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91"/>
      <c r="AK47" s="182"/>
    </row>
    <row r="48" spans="1:37" x14ac:dyDescent="0.2">
      <c r="A48" s="54"/>
      <c r="B48" s="54"/>
      <c r="C48" s="54"/>
      <c r="D48" s="54"/>
      <c r="E48" s="54"/>
      <c r="F48" s="54"/>
      <c r="G48" s="54"/>
      <c r="H48" s="54"/>
      <c r="I48" s="54"/>
      <c r="J48" s="54"/>
      <c r="K48" s="54"/>
      <c r="L48" s="54"/>
      <c r="M48" s="54"/>
      <c r="N48" s="54"/>
      <c r="O48" s="54"/>
      <c r="P48" s="54"/>
      <c r="Q48" s="54"/>
      <c r="R48" s="54"/>
      <c r="S48" s="54"/>
      <c r="T48" s="54"/>
      <c r="U48" s="54"/>
      <c r="V48" s="54"/>
      <c r="W48" s="54"/>
      <c r="X48" s="54"/>
      <c r="Y48" s="54"/>
      <c r="Z48" s="54"/>
    </row>
    <row r="49" spans="1:116" ht="14.25" customHeight="1" x14ac:dyDescent="0.2">
      <c r="A49" s="54"/>
      <c r="B49" s="286"/>
      <c r="C49" s="286"/>
      <c r="D49" s="286"/>
      <c r="E49" s="286"/>
      <c r="F49" s="286"/>
      <c r="G49" s="286"/>
      <c r="H49" s="286"/>
      <c r="I49" s="286"/>
      <c r="J49" s="286"/>
      <c r="K49" s="286"/>
      <c r="L49" s="286"/>
      <c r="M49" s="286"/>
      <c r="N49" s="286"/>
      <c r="O49" s="286"/>
      <c r="P49" s="286"/>
      <c r="Q49" s="286"/>
      <c r="R49" s="286"/>
      <c r="S49" s="286"/>
      <c r="T49" s="286"/>
      <c r="U49" s="286"/>
      <c r="V49" s="286"/>
      <c r="W49" s="286"/>
      <c r="X49" s="286"/>
      <c r="Y49" s="286"/>
      <c r="Z49" s="286"/>
      <c r="AA49" s="286"/>
      <c r="AB49" s="286"/>
      <c r="AC49" s="286"/>
      <c r="AD49" s="286"/>
      <c r="AE49" s="286"/>
      <c r="AF49" s="286"/>
      <c r="AG49" s="286"/>
      <c r="AH49" s="286"/>
      <c r="AI49" s="286"/>
      <c r="AJ49" s="286"/>
      <c r="AK49" s="173"/>
    </row>
    <row r="50" spans="1:116" ht="14.25" customHeight="1" x14ac:dyDescent="0.2">
      <c r="A50" s="54"/>
      <c r="B50" s="286"/>
      <c r="C50" s="286"/>
      <c r="D50" s="286"/>
      <c r="E50" s="286"/>
      <c r="F50" s="286"/>
      <c r="G50" s="286"/>
      <c r="H50" s="286"/>
      <c r="I50" s="286"/>
      <c r="J50" s="286"/>
      <c r="K50" s="286"/>
      <c r="L50" s="286"/>
      <c r="M50" s="286"/>
      <c r="N50" s="286"/>
      <c r="O50" s="286"/>
      <c r="P50" s="286"/>
      <c r="Q50" s="286"/>
      <c r="R50" s="286"/>
      <c r="S50" s="286"/>
      <c r="T50" s="286"/>
      <c r="U50" s="286"/>
      <c r="V50" s="286"/>
      <c r="W50" s="286"/>
      <c r="X50" s="286"/>
      <c r="Y50" s="286"/>
      <c r="Z50" s="286"/>
      <c r="AA50" s="286"/>
      <c r="AB50" s="286"/>
      <c r="AC50" s="286"/>
      <c r="AD50" s="286"/>
      <c r="AE50" s="286"/>
      <c r="AF50" s="286"/>
      <c r="AG50" s="286"/>
      <c r="AH50" s="286"/>
      <c r="AI50" s="286"/>
      <c r="AJ50" s="286"/>
      <c r="AK50" s="194"/>
    </row>
    <row r="51" spans="1:116" ht="14.25" customHeight="1" x14ac:dyDescent="0.2">
      <c r="A51" s="54"/>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c r="AH51" s="286"/>
      <c r="AI51" s="286"/>
      <c r="AJ51" s="286"/>
      <c r="AK51" s="194"/>
    </row>
    <row r="52" spans="1:116" x14ac:dyDescent="0.2">
      <c r="A52" s="54"/>
      <c r="B52" s="286"/>
      <c r="C52" s="286"/>
      <c r="D52" s="286"/>
      <c r="E52" s="286"/>
      <c r="F52" s="286"/>
      <c r="G52" s="286"/>
      <c r="H52" s="286"/>
      <c r="I52" s="286"/>
      <c r="J52" s="286"/>
      <c r="K52" s="286"/>
      <c r="L52" s="286"/>
      <c r="M52" s="286"/>
      <c r="N52" s="286"/>
      <c r="O52" s="286"/>
      <c r="P52" s="286"/>
      <c r="Q52" s="286"/>
      <c r="R52" s="286"/>
      <c r="S52" s="286"/>
      <c r="T52" s="286"/>
      <c r="U52" s="286"/>
      <c r="V52" s="286"/>
      <c r="W52" s="286"/>
      <c r="X52" s="286"/>
      <c r="Y52" s="286"/>
      <c r="Z52" s="286"/>
      <c r="AA52" s="286"/>
      <c r="AB52" s="286"/>
      <c r="AC52" s="286"/>
      <c r="AD52" s="286"/>
      <c r="AE52" s="286"/>
      <c r="AF52" s="286"/>
      <c r="AG52" s="286"/>
      <c r="AH52" s="286"/>
      <c r="AI52" s="286"/>
      <c r="AJ52" s="286"/>
      <c r="AK52" s="173"/>
    </row>
    <row r="53" spans="1:116" x14ac:dyDescent="0.2">
      <c r="A53" s="54"/>
      <c r="B53" s="54"/>
      <c r="C53" s="54"/>
      <c r="D53" s="54"/>
      <c r="E53" s="54"/>
      <c r="F53" s="54"/>
      <c r="G53" s="54"/>
      <c r="H53" s="54"/>
      <c r="I53" s="54"/>
      <c r="J53" s="54"/>
      <c r="K53" s="54"/>
      <c r="L53" s="54"/>
      <c r="M53" s="54"/>
      <c r="N53" s="54"/>
      <c r="O53" s="54"/>
      <c r="P53" s="54"/>
      <c r="Q53" s="54"/>
      <c r="R53" s="54"/>
      <c r="S53" s="54"/>
      <c r="T53" s="54"/>
      <c r="U53" s="54"/>
      <c r="V53" s="54"/>
      <c r="W53" s="54"/>
      <c r="X53" s="54"/>
      <c r="Y53" s="54"/>
      <c r="Z53" s="54"/>
    </row>
    <row r="54" spans="1:116" ht="18.75" x14ac:dyDescent="0.2">
      <c r="A54" s="334" t="s">
        <v>393</v>
      </c>
      <c r="B54" s="334"/>
      <c r="C54" s="334"/>
      <c r="D54" s="334"/>
      <c r="E54" s="334"/>
      <c r="F54" s="334"/>
      <c r="G54" s="334"/>
      <c r="H54" s="334"/>
      <c r="I54" s="334"/>
      <c r="J54" s="334"/>
      <c r="K54" s="334"/>
      <c r="L54" s="334"/>
      <c r="M54" s="334"/>
      <c r="N54" s="334"/>
      <c r="O54" s="334"/>
      <c r="P54" s="334"/>
      <c r="Q54" s="334"/>
      <c r="R54" s="334"/>
      <c r="S54" s="334"/>
      <c r="T54" s="334"/>
      <c r="U54" s="334"/>
      <c r="V54" s="334"/>
      <c r="W54" s="334"/>
      <c r="X54" s="334"/>
      <c r="Y54" s="334"/>
      <c r="Z54" s="334"/>
      <c r="AA54" s="334"/>
      <c r="AB54" s="334"/>
      <c r="AC54" s="334"/>
      <c r="AD54" s="334"/>
      <c r="AE54" s="334"/>
      <c r="AF54" s="334"/>
      <c r="AG54" s="334"/>
      <c r="AH54" s="334"/>
      <c r="AI54" s="334"/>
      <c r="AJ54" s="334"/>
      <c r="AK54" s="178"/>
    </row>
    <row r="55" spans="1:116" x14ac:dyDescent="0.2">
      <c r="A55" s="54"/>
      <c r="B55" s="54"/>
      <c r="C55" s="54"/>
      <c r="D55" s="54"/>
      <c r="E55" s="54"/>
      <c r="F55" s="54"/>
      <c r="G55" s="54"/>
      <c r="H55" s="54"/>
      <c r="I55" s="54"/>
      <c r="J55" s="54"/>
      <c r="K55" s="54"/>
      <c r="L55" s="54"/>
      <c r="M55" s="54"/>
      <c r="N55" s="54"/>
      <c r="O55" s="54"/>
      <c r="P55" s="54"/>
      <c r="Q55" s="54"/>
      <c r="R55" s="54"/>
      <c r="S55" s="54"/>
      <c r="T55" s="54"/>
      <c r="U55" s="54"/>
      <c r="V55" s="54"/>
      <c r="W55" s="54"/>
      <c r="X55" s="54"/>
      <c r="Y55" s="54"/>
      <c r="Z55" s="54"/>
    </row>
    <row r="56" spans="1:116" ht="15" x14ac:dyDescent="0.2">
      <c r="A56" s="54"/>
      <c r="B56" s="248" t="s">
        <v>417</v>
      </c>
      <c r="C56" s="248"/>
      <c r="D56" s="248"/>
      <c r="E56" s="248"/>
      <c r="F56" s="248"/>
      <c r="G56" s="248"/>
      <c r="H56" s="248"/>
      <c r="I56" s="248"/>
      <c r="J56" s="248"/>
      <c r="K56" s="248"/>
      <c r="L56" s="248"/>
      <c r="M56" s="248"/>
      <c r="N56" s="248"/>
      <c r="O56" s="248"/>
      <c r="P56" s="248"/>
      <c r="Q56" s="248"/>
      <c r="R56" s="248"/>
      <c r="S56" s="248"/>
      <c r="T56" s="248"/>
      <c r="U56" s="248"/>
      <c r="V56" s="248"/>
      <c r="W56" s="248"/>
      <c r="X56" s="248"/>
      <c r="Y56" s="248"/>
      <c r="Z56" s="248"/>
      <c r="AA56" s="248"/>
      <c r="AB56" s="248"/>
      <c r="AC56" s="248"/>
      <c r="AD56" s="248"/>
      <c r="AE56" s="248"/>
      <c r="AF56" s="248"/>
      <c r="AG56" s="248"/>
      <c r="AH56" s="248"/>
      <c r="AI56" s="248"/>
      <c r="AJ56" s="248"/>
      <c r="AK56" s="176"/>
    </row>
    <row r="57" spans="1:116" x14ac:dyDescent="0.2">
      <c r="A57" s="54"/>
      <c r="B57" s="54"/>
      <c r="C57" s="54"/>
      <c r="D57" s="54"/>
      <c r="E57" s="54"/>
      <c r="F57" s="54"/>
      <c r="G57" s="54"/>
      <c r="H57" s="54"/>
      <c r="I57" s="54"/>
      <c r="J57" s="54"/>
      <c r="K57" s="54"/>
      <c r="L57" s="54"/>
      <c r="M57" s="54"/>
      <c r="N57" s="54"/>
      <c r="O57" s="54"/>
      <c r="P57" s="54"/>
      <c r="Q57" s="54"/>
      <c r="R57" s="54"/>
      <c r="S57" s="54"/>
      <c r="T57" s="54"/>
      <c r="U57" s="54"/>
      <c r="V57" s="54"/>
      <c r="W57" s="54"/>
      <c r="X57" s="54"/>
      <c r="Y57" s="54"/>
      <c r="Z57" s="54"/>
    </row>
    <row r="58" spans="1:116" x14ac:dyDescent="0.2">
      <c r="A58" s="54"/>
      <c r="B58" s="54"/>
      <c r="C58" s="324" t="s">
        <v>430</v>
      </c>
      <c r="D58" s="333"/>
      <c r="E58" s="333"/>
      <c r="F58" s="333"/>
      <c r="G58" s="333"/>
      <c r="H58" s="333"/>
      <c r="I58" s="333"/>
      <c r="J58" s="333"/>
      <c r="K58" s="333"/>
      <c r="L58" s="333"/>
      <c r="M58" s="333"/>
      <c r="N58" s="333"/>
      <c r="O58" s="333"/>
      <c r="P58" s="333"/>
      <c r="Q58" s="333"/>
      <c r="R58" s="333"/>
      <c r="S58" s="333"/>
      <c r="T58" s="333"/>
      <c r="U58" s="333"/>
      <c r="V58" s="333"/>
      <c r="W58" s="333"/>
      <c r="X58" s="333"/>
      <c r="Y58" s="333"/>
      <c r="Z58" s="333"/>
      <c r="AA58" s="333"/>
      <c r="AB58" s="333"/>
      <c r="AC58" s="333"/>
      <c r="AD58" s="333"/>
      <c r="AE58" s="333"/>
      <c r="AF58" s="333"/>
      <c r="AG58" s="333"/>
      <c r="AH58" s="333"/>
      <c r="AI58" s="333"/>
      <c r="AJ58" s="333"/>
      <c r="AK58" s="175"/>
    </row>
    <row r="59" spans="1:116" ht="15" thickBot="1" x14ac:dyDescent="0.25">
      <c r="A59" s="54"/>
      <c r="B59" s="54"/>
      <c r="C59" s="54"/>
      <c r="D59" s="54"/>
      <c r="E59" s="54"/>
      <c r="F59" s="54"/>
      <c r="G59" s="54"/>
      <c r="H59" s="54"/>
      <c r="I59" s="54"/>
      <c r="J59" s="54"/>
      <c r="K59" s="54"/>
      <c r="L59" s="54"/>
      <c r="M59" s="54"/>
      <c r="N59" s="54"/>
      <c r="O59" s="54"/>
      <c r="P59" s="54"/>
      <c r="Q59" s="54"/>
      <c r="R59" s="54"/>
      <c r="S59" s="54"/>
      <c r="T59" s="54"/>
      <c r="U59" s="54"/>
      <c r="V59" s="54"/>
      <c r="W59" s="54"/>
      <c r="X59" s="54"/>
      <c r="Y59" s="54"/>
      <c r="Z59" s="54"/>
    </row>
    <row r="60" spans="1:116" ht="15" customHeight="1" x14ac:dyDescent="0.2">
      <c r="A60" s="54"/>
      <c r="B60" s="455" t="s">
        <v>986</v>
      </c>
      <c r="C60" s="456"/>
      <c r="D60" s="394" t="s">
        <v>935</v>
      </c>
      <c r="E60" s="366"/>
      <c r="F60" s="366"/>
      <c r="G60" s="366"/>
      <c r="H60" s="366"/>
      <c r="I60" s="366"/>
      <c r="J60" s="366"/>
      <c r="K60" s="366"/>
      <c r="L60" s="366"/>
      <c r="M60" s="366"/>
      <c r="N60" s="366"/>
      <c r="O60" s="519">
        <v>0</v>
      </c>
      <c r="P60" s="519"/>
      <c r="Q60" s="519"/>
      <c r="R60" s="519"/>
      <c r="S60" s="519"/>
      <c r="T60" s="519"/>
      <c r="U60" s="519"/>
      <c r="V60" s="519"/>
      <c r="W60" s="519"/>
      <c r="X60" s="519"/>
      <c r="Y60" s="518">
        <v>0</v>
      </c>
      <c r="Z60" s="518"/>
      <c r="AA60" s="518"/>
      <c r="AB60" s="518"/>
      <c r="AC60" s="518"/>
      <c r="AD60" s="518"/>
      <c r="AE60" s="518"/>
      <c r="AF60" s="518"/>
      <c r="AJ60" s="55"/>
      <c r="AK60" s="55"/>
    </row>
    <row r="61" spans="1:116" x14ac:dyDescent="0.2">
      <c r="A61" s="54"/>
      <c r="B61" s="457"/>
      <c r="C61" s="458"/>
      <c r="D61" s="348" t="s">
        <v>404</v>
      </c>
      <c r="E61" s="296"/>
      <c r="F61" s="296"/>
      <c r="G61" s="296"/>
      <c r="H61" s="296"/>
      <c r="I61" s="296"/>
      <c r="J61" s="296"/>
      <c r="K61" s="296"/>
      <c r="L61" s="296"/>
      <c r="M61" s="296"/>
      <c r="N61" s="296"/>
      <c r="O61" s="443" t="s">
        <v>972</v>
      </c>
      <c r="P61" s="443"/>
      <c r="Q61" s="443"/>
      <c r="R61" s="443"/>
      <c r="S61" s="443"/>
      <c r="T61" s="443"/>
      <c r="U61" s="443"/>
      <c r="V61" s="443"/>
      <c r="W61" s="443"/>
      <c r="X61" s="443"/>
      <c r="Y61" s="443"/>
      <c r="Z61" s="443"/>
      <c r="AA61" s="443"/>
      <c r="AB61" s="443"/>
      <c r="AC61" s="443"/>
      <c r="AD61" s="443"/>
      <c r="AE61" s="443"/>
      <c r="AF61" s="443"/>
      <c r="AJ61" s="55"/>
      <c r="AK61" s="55"/>
      <c r="AL61" s="160" t="str">
        <f>IF(O62="Adhesivo","chem",IF(O63="Sobre-excavado","undercut",IF(O63="Expansivo controlado por torque","torque",IF(O63="Expansivo controlado por desplazamiento","despl","mlock"))))</f>
        <v>mlock</v>
      </c>
    </row>
    <row r="62" spans="1:116" x14ac:dyDescent="0.2">
      <c r="A62" s="54"/>
      <c r="B62" s="457"/>
      <c r="C62" s="458"/>
      <c r="D62" s="348"/>
      <c r="E62" s="296"/>
      <c r="F62" s="296"/>
      <c r="G62" s="296"/>
      <c r="H62" s="296"/>
      <c r="I62" s="296"/>
      <c r="J62" s="296"/>
      <c r="K62" s="296"/>
      <c r="L62" s="296"/>
      <c r="M62" s="296"/>
      <c r="N62" s="296"/>
      <c r="O62" s="427" t="s">
        <v>892</v>
      </c>
      <c r="P62" s="427"/>
      <c r="Q62" s="427"/>
      <c r="R62" s="427"/>
      <c r="S62" s="427"/>
      <c r="T62" s="427"/>
      <c r="U62" s="427"/>
      <c r="V62" s="427"/>
      <c r="W62" s="427"/>
      <c r="X62" s="427"/>
      <c r="Y62" s="427"/>
      <c r="Z62" s="427"/>
      <c r="AA62" s="427"/>
      <c r="AB62" s="427"/>
      <c r="AC62" s="427"/>
      <c r="AD62" s="427"/>
      <c r="AE62" s="427"/>
      <c r="AF62" s="427"/>
      <c r="AJ62" s="55"/>
      <c r="AK62" s="55"/>
    </row>
    <row r="63" spans="1:116" ht="15" customHeight="1" x14ac:dyDescent="0.2">
      <c r="A63" s="54"/>
      <c r="B63" s="457"/>
      <c r="C63" s="458"/>
      <c r="D63" s="348"/>
      <c r="E63" s="296"/>
      <c r="F63" s="296"/>
      <c r="G63" s="296"/>
      <c r="H63" s="296"/>
      <c r="I63" s="296"/>
      <c r="J63" s="296"/>
      <c r="K63" s="296"/>
      <c r="L63" s="296"/>
      <c r="M63" s="296"/>
      <c r="N63" s="296"/>
      <c r="O63" s="505" t="s">
        <v>881</v>
      </c>
      <c r="P63" s="505"/>
      <c r="Q63" s="505"/>
      <c r="R63" s="505"/>
      <c r="S63" s="505"/>
      <c r="T63" s="505"/>
      <c r="U63" s="505"/>
      <c r="V63" s="505"/>
      <c r="W63" s="505"/>
      <c r="X63" s="505"/>
      <c r="Y63" s="505"/>
      <c r="Z63" s="505"/>
      <c r="AA63" s="505"/>
      <c r="AB63" s="505"/>
      <c r="AC63" s="505"/>
      <c r="AD63" s="505"/>
      <c r="AE63" s="505"/>
      <c r="AF63" s="505"/>
      <c r="AY63" s="62"/>
      <c r="AZ63" s="62"/>
      <c r="BA63" s="62"/>
      <c r="CI63" s="62"/>
      <c r="DJ63" s="62"/>
      <c r="DK63" s="62"/>
      <c r="DL63" s="62"/>
    </row>
    <row r="64" spans="1:116" x14ac:dyDescent="0.2">
      <c r="A64" s="54"/>
      <c r="B64" s="457"/>
      <c r="C64" s="458"/>
      <c r="D64" s="348" t="s">
        <v>406</v>
      </c>
      <c r="E64" s="296"/>
      <c r="F64" s="296"/>
      <c r="G64" s="296"/>
      <c r="H64" s="296"/>
      <c r="I64" s="296"/>
      <c r="J64" s="296"/>
      <c r="K64" s="296"/>
      <c r="L64" s="296"/>
      <c r="M64" s="296"/>
      <c r="N64" s="296"/>
      <c r="O64" s="428" t="s">
        <v>407</v>
      </c>
      <c r="P64" s="428"/>
      <c r="Q64" s="428"/>
      <c r="R64" s="428"/>
      <c r="S64" s="428"/>
      <c r="T64" s="428"/>
      <c r="U64" s="428"/>
      <c r="V64" s="430">
        <v>1</v>
      </c>
      <c r="W64" s="430"/>
      <c r="X64" s="430"/>
      <c r="Y64" s="449">
        <f>Z68+Z71</f>
        <v>450</v>
      </c>
      <c r="Z64" s="449"/>
      <c r="AA64" s="449"/>
      <c r="AB64" s="449"/>
      <c r="AC64" s="449"/>
      <c r="AD64" s="449"/>
      <c r="AE64" s="449"/>
      <c r="AF64" s="449"/>
      <c r="AG64" s="69"/>
      <c r="AH64" s="69"/>
      <c r="AY64" s="62"/>
      <c r="AZ64" s="62"/>
      <c r="BA64" s="62"/>
      <c r="CI64" s="62"/>
      <c r="DJ64" s="62"/>
      <c r="DK64" s="62"/>
      <c r="DL64" s="62"/>
    </row>
    <row r="65" spans="1:116" ht="7.5" customHeight="1" x14ac:dyDescent="0.2">
      <c r="A65" s="54"/>
      <c r="B65" s="457"/>
      <c r="C65" s="458"/>
      <c r="D65" s="246"/>
      <c r="E65" s="247"/>
      <c r="F65" s="247"/>
      <c r="G65" s="247"/>
      <c r="H65" s="247"/>
      <c r="I65" s="247"/>
      <c r="J65" s="247"/>
      <c r="K65" s="247"/>
      <c r="L65" s="247"/>
      <c r="M65" s="247"/>
      <c r="N65" s="247"/>
      <c r="O65" s="247"/>
      <c r="P65" s="247"/>
      <c r="Q65" s="247"/>
      <c r="R65" s="247"/>
      <c r="S65" s="247"/>
      <c r="T65" s="247"/>
      <c r="U65" s="247"/>
      <c r="V65" s="247"/>
      <c r="W65" s="247"/>
      <c r="X65" s="247"/>
      <c r="Y65" s="247"/>
      <c r="Z65" s="247"/>
      <c r="AA65" s="247"/>
      <c r="AB65" s="247"/>
      <c r="AC65" s="247"/>
      <c r="AD65" s="247"/>
      <c r="AE65" s="247"/>
      <c r="AF65" s="247"/>
      <c r="AG65" s="69"/>
      <c r="AH65" s="69"/>
      <c r="AY65" s="62"/>
      <c r="AZ65" s="62"/>
      <c r="BA65" s="62"/>
      <c r="CI65" s="62"/>
      <c r="DJ65" s="62"/>
      <c r="DK65" s="62"/>
      <c r="DL65" s="62"/>
    </row>
    <row r="66" spans="1:116" x14ac:dyDescent="0.2">
      <c r="A66" s="54"/>
      <c r="B66" s="457"/>
      <c r="C66" s="458"/>
      <c r="D66" s="348" t="s">
        <v>374</v>
      </c>
      <c r="E66" s="296"/>
      <c r="F66" s="296"/>
      <c r="G66" s="296"/>
      <c r="H66" s="296"/>
      <c r="I66" s="296"/>
      <c r="J66" s="296"/>
      <c r="K66" s="296"/>
      <c r="L66" s="296"/>
      <c r="M66" s="296"/>
      <c r="N66" s="296" t="s">
        <v>399</v>
      </c>
      <c r="O66" s="257" t="s">
        <v>505</v>
      </c>
      <c r="P66" s="257"/>
      <c r="Q66" s="257"/>
      <c r="R66" s="257"/>
      <c r="S66" s="257"/>
      <c r="T66" s="257"/>
      <c r="U66" s="257"/>
      <c r="V66" s="257"/>
      <c r="W66" s="257"/>
      <c r="X66" s="257"/>
      <c r="Y66" s="257"/>
      <c r="Z66" s="404">
        <f>IF($V$64="","",IF($V$64&lt;6,$V$64*25.4,$V$64))</f>
        <v>25.4</v>
      </c>
      <c r="AA66" s="404"/>
      <c r="AB66" s="404"/>
      <c r="AC66" s="404"/>
      <c r="AD66" s="404"/>
      <c r="AE66" s="404"/>
      <c r="AF66" s="404"/>
      <c r="AG66" s="69"/>
      <c r="AH66" s="69"/>
      <c r="AY66" s="62"/>
      <c r="AZ66" s="62"/>
      <c r="BA66" s="62"/>
      <c r="CI66" s="62"/>
      <c r="DJ66" s="62"/>
      <c r="DK66" s="62"/>
      <c r="DL66" s="62"/>
    </row>
    <row r="67" spans="1:116" x14ac:dyDescent="0.2">
      <c r="A67" s="54"/>
      <c r="B67" s="457"/>
      <c r="C67" s="458"/>
      <c r="D67" s="348"/>
      <c r="E67" s="296"/>
      <c r="F67" s="296"/>
      <c r="G67" s="296"/>
      <c r="H67" s="296"/>
      <c r="I67" s="296"/>
      <c r="J67" s="296"/>
      <c r="K67" s="296"/>
      <c r="L67" s="296"/>
      <c r="M67" s="296"/>
      <c r="N67" s="296"/>
      <c r="O67" s="257" t="s">
        <v>633</v>
      </c>
      <c r="P67" s="257"/>
      <c r="Q67" s="257"/>
      <c r="R67" s="257"/>
      <c r="S67" s="257"/>
      <c r="T67" s="257"/>
      <c r="U67" s="257"/>
      <c r="V67" s="257"/>
      <c r="W67" s="257"/>
      <c r="X67" s="257"/>
      <c r="Y67" s="257"/>
      <c r="Z67" s="347" t="s">
        <v>2</v>
      </c>
      <c r="AA67" s="401"/>
      <c r="AB67" s="401"/>
      <c r="AC67" s="401"/>
      <c r="AD67" s="401"/>
      <c r="AE67" s="401"/>
      <c r="AF67" s="401"/>
      <c r="AG67" s="69"/>
      <c r="AH67" s="69"/>
      <c r="AY67" s="62"/>
      <c r="AZ67" s="62"/>
      <c r="BA67" s="62"/>
      <c r="CI67" s="62"/>
      <c r="DJ67" s="62"/>
      <c r="DK67" s="62"/>
      <c r="DL67" s="62"/>
    </row>
    <row r="68" spans="1:116" x14ac:dyDescent="0.2">
      <c r="A68" s="54"/>
      <c r="B68" s="457"/>
      <c r="C68" s="458"/>
      <c r="D68" s="348" t="s">
        <v>422</v>
      </c>
      <c r="E68" s="296"/>
      <c r="F68" s="296"/>
      <c r="G68" s="296"/>
      <c r="H68" s="296"/>
      <c r="I68" s="296"/>
      <c r="J68" s="296"/>
      <c r="K68" s="296"/>
      <c r="L68" s="296"/>
      <c r="M68" s="296"/>
      <c r="N68" s="296"/>
      <c r="O68" s="257" t="s">
        <v>506</v>
      </c>
      <c r="P68" s="257"/>
      <c r="Q68" s="257"/>
      <c r="R68" s="257"/>
      <c r="S68" s="257"/>
      <c r="T68" s="257"/>
      <c r="U68" s="257"/>
      <c r="V68" s="257"/>
      <c r="W68" s="257"/>
      <c r="X68" s="257"/>
      <c r="Y68" s="257"/>
      <c r="Z68" s="403">
        <v>450</v>
      </c>
      <c r="AA68" s="403"/>
      <c r="AB68" s="403"/>
      <c r="AC68" s="403"/>
      <c r="AD68" s="403"/>
      <c r="AE68" s="403"/>
      <c r="AF68" s="403"/>
      <c r="AG68" s="69"/>
      <c r="AH68" s="69"/>
      <c r="AY68" s="62"/>
      <c r="AZ68" s="62"/>
      <c r="BA68" s="62"/>
      <c r="CI68" s="62"/>
      <c r="DJ68" s="62"/>
      <c r="DK68" s="62"/>
      <c r="DL68" s="62"/>
    </row>
    <row r="69" spans="1:116" x14ac:dyDescent="0.2">
      <c r="A69" s="54"/>
      <c r="B69" s="457"/>
      <c r="C69" s="458"/>
      <c r="D69" s="348"/>
      <c r="E69" s="296"/>
      <c r="F69" s="296"/>
      <c r="G69" s="296"/>
      <c r="H69" s="296"/>
      <c r="I69" s="296"/>
      <c r="J69" s="296"/>
      <c r="K69" s="296"/>
      <c r="L69" s="296"/>
      <c r="M69" s="296"/>
      <c r="N69" s="296"/>
      <c r="O69" s="257" t="s">
        <v>507</v>
      </c>
      <c r="P69" s="257"/>
      <c r="Q69" s="257"/>
      <c r="R69" s="257"/>
      <c r="S69" s="257"/>
      <c r="T69" s="257"/>
      <c r="U69" s="257"/>
      <c r="V69" s="257"/>
      <c r="W69" s="257"/>
      <c r="X69" s="257"/>
      <c r="Y69" s="257"/>
      <c r="Z69" s="403">
        <f>IFERROR(4*Z66,"")</f>
        <v>101.6</v>
      </c>
      <c r="AA69" s="403"/>
      <c r="AB69" s="403"/>
      <c r="AC69" s="403"/>
      <c r="AD69" s="403"/>
      <c r="AE69" s="403"/>
      <c r="AF69" s="403"/>
      <c r="AG69" s="69"/>
      <c r="AH69" s="69"/>
      <c r="AY69" s="62"/>
      <c r="AZ69" s="62"/>
      <c r="BA69" s="62"/>
      <c r="CI69" s="62"/>
      <c r="DJ69" s="62"/>
      <c r="DK69" s="62"/>
      <c r="DL69" s="62"/>
    </row>
    <row r="70" spans="1:116" x14ac:dyDescent="0.2">
      <c r="A70" s="54"/>
      <c r="B70" s="457"/>
      <c r="C70" s="458"/>
      <c r="D70" s="348"/>
      <c r="E70" s="296"/>
      <c r="F70" s="296"/>
      <c r="G70" s="296"/>
      <c r="H70" s="296"/>
      <c r="I70" s="296"/>
      <c r="J70" s="296"/>
      <c r="K70" s="296"/>
      <c r="L70" s="296"/>
      <c r="M70" s="296"/>
      <c r="N70" s="296"/>
      <c r="O70" s="257" t="s">
        <v>508</v>
      </c>
      <c r="P70" s="257"/>
      <c r="Q70" s="257"/>
      <c r="R70" s="257"/>
      <c r="S70" s="257"/>
      <c r="T70" s="257"/>
      <c r="U70" s="257"/>
      <c r="V70" s="257"/>
      <c r="W70" s="257"/>
      <c r="X70" s="257"/>
      <c r="Y70" s="257"/>
      <c r="Z70" s="403">
        <f>IFERROR(20*Z66,"")</f>
        <v>508</v>
      </c>
      <c r="AA70" s="403"/>
      <c r="AB70" s="403"/>
      <c r="AC70" s="403"/>
      <c r="AD70" s="403"/>
      <c r="AE70" s="403"/>
      <c r="AF70" s="403"/>
      <c r="AG70" s="69"/>
      <c r="AH70" s="69"/>
      <c r="AJ70" s="87"/>
      <c r="AK70" s="87"/>
      <c r="AY70" s="62"/>
      <c r="AZ70" s="62"/>
      <c r="BA70" s="62"/>
      <c r="CI70" s="62"/>
      <c r="DJ70" s="62"/>
      <c r="DK70" s="62"/>
      <c r="DL70" s="62"/>
    </row>
    <row r="71" spans="1:116" x14ac:dyDescent="0.2">
      <c r="A71" s="54"/>
      <c r="B71" s="457"/>
      <c r="C71" s="458"/>
      <c r="D71" s="348" t="s">
        <v>900</v>
      </c>
      <c r="E71" s="296"/>
      <c r="F71" s="296"/>
      <c r="G71" s="296"/>
      <c r="H71" s="296"/>
      <c r="I71" s="296"/>
      <c r="J71" s="296"/>
      <c r="K71" s="296"/>
      <c r="L71" s="296"/>
      <c r="M71" s="296"/>
      <c r="N71" s="296"/>
      <c r="O71" s="257" t="s">
        <v>899</v>
      </c>
      <c r="P71" s="257"/>
      <c r="Q71" s="257"/>
      <c r="R71" s="257"/>
      <c r="S71" s="257"/>
      <c r="T71" s="257"/>
      <c r="U71" s="257"/>
      <c r="V71" s="257"/>
      <c r="W71" s="257"/>
      <c r="X71" s="257"/>
      <c r="Y71" s="257"/>
      <c r="Z71" s="403"/>
      <c r="AA71" s="403"/>
      <c r="AB71" s="403"/>
      <c r="AC71" s="403"/>
      <c r="AD71" s="403"/>
      <c r="AE71" s="403"/>
      <c r="AF71" s="403"/>
      <c r="AG71" s="69"/>
      <c r="AH71" s="69"/>
      <c r="AI71" s="83"/>
      <c r="AJ71" s="83"/>
      <c r="AK71" s="172"/>
      <c r="AY71" s="62"/>
      <c r="AZ71" s="62"/>
      <c r="BA71" s="62"/>
      <c r="CI71" s="62"/>
      <c r="DJ71" s="62"/>
      <c r="DK71" s="62"/>
      <c r="DL71" s="62"/>
    </row>
    <row r="72" spans="1:116" ht="7.5" customHeight="1" x14ac:dyDescent="0.2">
      <c r="A72" s="54"/>
      <c r="B72" s="457"/>
      <c r="C72" s="458"/>
      <c r="D72" s="246"/>
      <c r="E72" s="247"/>
      <c r="F72" s="247"/>
      <c r="G72" s="247"/>
      <c r="H72" s="247"/>
      <c r="I72" s="247"/>
      <c r="J72" s="247"/>
      <c r="K72" s="247"/>
      <c r="L72" s="247"/>
      <c r="M72" s="247"/>
      <c r="N72" s="247"/>
      <c r="O72" s="247"/>
      <c r="P72" s="247"/>
      <c r="Q72" s="247"/>
      <c r="R72" s="247"/>
      <c r="S72" s="247"/>
      <c r="T72" s="247"/>
      <c r="U72" s="247"/>
      <c r="V72" s="247"/>
      <c r="W72" s="247"/>
      <c r="X72" s="247"/>
      <c r="Y72" s="247"/>
      <c r="Z72" s="247"/>
      <c r="AA72" s="247"/>
      <c r="AB72" s="247"/>
      <c r="AC72" s="247"/>
      <c r="AD72" s="247"/>
      <c r="AE72" s="247"/>
      <c r="AF72" s="247"/>
      <c r="AG72" s="172"/>
      <c r="AH72" s="172"/>
      <c r="AY72" s="62"/>
      <c r="AZ72" s="62"/>
      <c r="BA72" s="62"/>
      <c r="CI72" s="62"/>
      <c r="DJ72" s="62"/>
      <c r="DK72" s="62"/>
      <c r="DL72" s="62"/>
    </row>
    <row r="73" spans="1:116" x14ac:dyDescent="0.2">
      <c r="A73" s="54"/>
      <c r="B73" s="457"/>
      <c r="C73" s="458"/>
      <c r="D73" s="348" t="s">
        <v>426</v>
      </c>
      <c r="E73" s="296"/>
      <c r="F73" s="296"/>
      <c r="G73" s="296"/>
      <c r="H73" s="296"/>
      <c r="I73" s="296"/>
      <c r="J73" s="296"/>
      <c r="K73" s="296"/>
      <c r="L73" s="296"/>
      <c r="M73" s="296"/>
      <c r="N73" s="296"/>
      <c r="O73" s="257" t="s">
        <v>902</v>
      </c>
      <c r="P73" s="257"/>
      <c r="Q73" s="257"/>
      <c r="R73" s="257"/>
      <c r="S73" s="257"/>
      <c r="T73" s="257"/>
      <c r="U73" s="257"/>
      <c r="V73" s="257"/>
      <c r="W73" s="257"/>
      <c r="X73" s="257"/>
      <c r="Y73" s="257"/>
      <c r="Z73" s="404">
        <f>IFERROR(MIN($BL$213:$BO$282,$BR$213:$BU$282),"")</f>
        <v>250</v>
      </c>
      <c r="AA73" s="404"/>
      <c r="AB73" s="404"/>
      <c r="AC73" s="404"/>
      <c r="AD73" s="404"/>
      <c r="AE73" s="404"/>
      <c r="AF73" s="404"/>
      <c r="AG73" s="69"/>
      <c r="AH73" s="69"/>
      <c r="AY73" s="62"/>
      <c r="AZ73" s="62"/>
      <c r="BA73" s="62"/>
      <c r="CI73" s="62"/>
      <c r="DJ73" s="62"/>
      <c r="DK73" s="62"/>
      <c r="DL73" s="62"/>
    </row>
    <row r="74" spans="1:116" x14ac:dyDescent="0.2">
      <c r="A74" s="54"/>
      <c r="B74" s="457"/>
      <c r="C74" s="458"/>
      <c r="D74" s="348"/>
      <c r="E74" s="296"/>
      <c r="F74" s="296"/>
      <c r="G74" s="296"/>
      <c r="H74" s="296"/>
      <c r="I74" s="296"/>
      <c r="J74" s="296"/>
      <c r="K74" s="296"/>
      <c r="L74" s="296"/>
      <c r="M74" s="296"/>
      <c r="N74" s="296"/>
      <c r="O74" s="257" t="s">
        <v>901</v>
      </c>
      <c r="P74" s="257"/>
      <c r="Q74" s="257"/>
      <c r="R74" s="257"/>
      <c r="S74" s="257"/>
      <c r="T74" s="257"/>
      <c r="U74" s="257"/>
      <c r="V74" s="257"/>
      <c r="W74" s="257"/>
      <c r="X74" s="257"/>
      <c r="Y74" s="257"/>
      <c r="Z74" s="404">
        <f>IFERROR(MIN($BX$213:$CA$282,$CD$213:$CG$282),"")</f>
        <v>250</v>
      </c>
      <c r="AA74" s="404"/>
      <c r="AB74" s="404"/>
      <c r="AC74" s="404"/>
      <c r="AD74" s="404"/>
      <c r="AE74" s="404"/>
      <c r="AF74" s="404"/>
      <c r="AG74" s="69"/>
      <c r="AH74" s="69"/>
      <c r="AY74" s="62"/>
      <c r="AZ74" s="62"/>
      <c r="BA74" s="62"/>
      <c r="CI74" s="62"/>
      <c r="DJ74" s="62"/>
      <c r="DK74" s="62"/>
      <c r="DL74" s="62"/>
    </row>
    <row r="75" spans="1:116" x14ac:dyDescent="0.2">
      <c r="A75" s="54"/>
      <c r="B75" s="457"/>
      <c r="C75" s="458"/>
      <c r="D75" s="348" t="s">
        <v>427</v>
      </c>
      <c r="E75" s="296"/>
      <c r="F75" s="296"/>
      <c r="G75" s="296"/>
      <c r="H75" s="296"/>
      <c r="I75" s="296"/>
      <c r="J75" s="296"/>
      <c r="K75" s="296"/>
      <c r="L75" s="296"/>
      <c r="M75" s="296"/>
      <c r="N75" s="296"/>
      <c r="O75" s="257" t="s">
        <v>509</v>
      </c>
      <c r="P75" s="257"/>
      <c r="Q75" s="257"/>
      <c r="R75" s="257"/>
      <c r="S75" s="257"/>
      <c r="T75" s="257"/>
      <c r="U75" s="257"/>
      <c r="V75" s="257"/>
      <c r="W75" s="257"/>
      <c r="X75" s="257"/>
      <c r="Y75" s="257"/>
      <c r="Z75" s="404">
        <f>IFERROR(MIN($AL$213:$AS$282),"")</f>
        <v>100</v>
      </c>
      <c r="AA75" s="404"/>
      <c r="AB75" s="404"/>
      <c r="AC75" s="404"/>
      <c r="AD75" s="404"/>
      <c r="AE75" s="404"/>
      <c r="AF75" s="404"/>
      <c r="AG75" s="69"/>
      <c r="AH75" s="69"/>
      <c r="AY75" s="62"/>
      <c r="AZ75" s="62"/>
      <c r="BA75" s="62"/>
      <c r="CI75" s="62"/>
      <c r="DJ75" s="62"/>
      <c r="DK75" s="62"/>
      <c r="DL75" s="62"/>
    </row>
    <row r="76" spans="1:116" ht="15" thickBot="1" x14ac:dyDescent="0.25">
      <c r="A76" s="54"/>
      <c r="B76" s="459"/>
      <c r="C76" s="460"/>
      <c r="D76" s="348"/>
      <c r="E76" s="296"/>
      <c r="F76" s="296"/>
      <c r="G76" s="296"/>
      <c r="H76" s="296"/>
      <c r="I76" s="296"/>
      <c r="J76" s="296"/>
      <c r="K76" s="296"/>
      <c r="L76" s="296"/>
      <c r="M76" s="296"/>
      <c r="N76" s="296"/>
      <c r="O76" s="257" t="s">
        <v>510</v>
      </c>
      <c r="P76" s="257"/>
      <c r="Q76" s="257"/>
      <c r="R76" s="257"/>
      <c r="S76" s="257"/>
      <c r="T76" s="257"/>
      <c r="U76" s="257"/>
      <c r="V76" s="257"/>
      <c r="W76" s="257"/>
      <c r="X76" s="257"/>
      <c r="Y76" s="257"/>
      <c r="Z76" s="404">
        <f>IFERROR(MIN($AT$213:$BA$282),"")</f>
        <v>100</v>
      </c>
      <c r="AA76" s="404"/>
      <c r="AB76" s="404"/>
      <c r="AC76" s="404"/>
      <c r="AD76" s="404"/>
      <c r="AE76" s="404"/>
      <c r="AF76" s="404"/>
      <c r="AG76" s="69"/>
      <c r="AI76" s="64"/>
      <c r="AJ76" s="92"/>
      <c r="AK76" s="92"/>
      <c r="AL76" s="64"/>
      <c r="AM76" s="61"/>
      <c r="AN76" s="61"/>
      <c r="AO76" s="61"/>
      <c r="AP76" s="61"/>
      <c r="AQ76" s="61"/>
      <c r="AR76" s="61"/>
      <c r="AS76" s="61"/>
      <c r="AT76" s="61"/>
      <c r="AU76" s="61"/>
      <c r="AV76" s="61"/>
      <c r="AW76" s="64"/>
      <c r="AX76" s="64"/>
      <c r="AY76" s="62"/>
      <c r="AZ76" s="62"/>
      <c r="BA76" s="62"/>
      <c r="CH76" s="64"/>
      <c r="CI76" s="62"/>
      <c r="DJ76" s="62"/>
      <c r="DK76" s="62"/>
      <c r="DL76" s="62"/>
    </row>
    <row r="77" spans="1:116" ht="14.25" customHeight="1" x14ac:dyDescent="0.2">
      <c r="A77" s="54"/>
      <c r="B77" s="455" t="s">
        <v>987</v>
      </c>
      <c r="C77" s="456"/>
      <c r="D77" s="394" t="s">
        <v>425</v>
      </c>
      <c r="E77" s="366"/>
      <c r="F77" s="366"/>
      <c r="G77" s="366"/>
      <c r="H77" s="366"/>
      <c r="I77" s="366"/>
      <c r="J77" s="366"/>
      <c r="K77" s="366"/>
      <c r="L77" s="366"/>
      <c r="M77" s="366"/>
      <c r="N77" s="366"/>
      <c r="O77" s="462" t="s">
        <v>936</v>
      </c>
      <c r="P77" s="462"/>
      <c r="Q77" s="462"/>
      <c r="R77" s="462"/>
      <c r="S77" s="462"/>
      <c r="T77" s="462"/>
      <c r="U77" s="462"/>
      <c r="V77" s="462"/>
      <c r="W77" s="462"/>
      <c r="X77" s="462"/>
      <c r="Y77" s="462"/>
      <c r="Z77" s="461" t="s">
        <v>2</v>
      </c>
      <c r="AA77" s="461"/>
      <c r="AB77" s="461"/>
      <c r="AC77" s="461"/>
      <c r="AD77" s="461"/>
      <c r="AE77" s="461"/>
      <c r="AF77" s="461"/>
      <c r="AM77" s="61"/>
      <c r="AN77" s="61"/>
      <c r="AO77" s="61"/>
      <c r="AP77" s="61"/>
      <c r="AQ77" s="61"/>
      <c r="AR77" s="61"/>
      <c r="AS77" s="61"/>
      <c r="AT77" s="61"/>
      <c r="AU77" s="61"/>
      <c r="AV77" s="61"/>
    </row>
    <row r="78" spans="1:116" x14ac:dyDescent="0.2">
      <c r="A78" s="54"/>
      <c r="B78" s="457"/>
      <c r="C78" s="458"/>
      <c r="D78" s="348"/>
      <c r="E78" s="296"/>
      <c r="F78" s="296"/>
      <c r="G78" s="296"/>
      <c r="H78" s="296"/>
      <c r="I78" s="296"/>
      <c r="J78" s="296"/>
      <c r="K78" s="296"/>
      <c r="L78" s="296"/>
      <c r="M78" s="296"/>
      <c r="N78" s="296"/>
      <c r="O78" s="257" t="s">
        <v>400</v>
      </c>
      <c r="P78" s="257"/>
      <c r="Q78" s="257"/>
      <c r="R78" s="257"/>
      <c r="S78" s="257"/>
      <c r="T78" s="257"/>
      <c r="U78" s="257"/>
      <c r="V78" s="257"/>
      <c r="W78" s="257"/>
      <c r="X78" s="257"/>
      <c r="Y78" s="257"/>
      <c r="Z78" s="347" t="s">
        <v>2</v>
      </c>
      <c r="AA78" s="347"/>
      <c r="AB78" s="347"/>
      <c r="AC78" s="347"/>
      <c r="AD78" s="347"/>
      <c r="AE78" s="347"/>
      <c r="AF78" s="347"/>
    </row>
    <row r="79" spans="1:116" x14ac:dyDescent="0.2">
      <c r="A79" s="54"/>
      <c r="B79" s="457"/>
      <c r="C79" s="458"/>
      <c r="D79" s="348"/>
      <c r="E79" s="296"/>
      <c r="F79" s="296"/>
      <c r="G79" s="296"/>
      <c r="H79" s="296"/>
      <c r="I79" s="296"/>
      <c r="J79" s="296"/>
      <c r="K79" s="296"/>
      <c r="L79" s="296"/>
      <c r="M79" s="296"/>
      <c r="N79" s="296"/>
      <c r="O79" s="257" t="s">
        <v>401</v>
      </c>
      <c r="P79" s="257"/>
      <c r="Q79" s="257"/>
      <c r="R79" s="257"/>
      <c r="S79" s="257"/>
      <c r="T79" s="257"/>
      <c r="U79" s="257"/>
      <c r="V79" s="257"/>
      <c r="W79" s="257"/>
      <c r="X79" s="257"/>
      <c r="Y79" s="257"/>
      <c r="Z79" s="347" t="s">
        <v>2</v>
      </c>
      <c r="AA79" s="347"/>
      <c r="AB79" s="347"/>
      <c r="AC79" s="347"/>
      <c r="AD79" s="347"/>
      <c r="AE79" s="347"/>
      <c r="AF79" s="347"/>
    </row>
    <row r="80" spans="1:116" x14ac:dyDescent="0.2">
      <c r="A80" s="54"/>
      <c r="B80" s="457"/>
      <c r="C80" s="458"/>
      <c r="D80" s="348"/>
      <c r="E80" s="296"/>
      <c r="F80" s="296"/>
      <c r="G80" s="296"/>
      <c r="H80" s="296"/>
      <c r="I80" s="296"/>
      <c r="J80" s="296"/>
      <c r="K80" s="296"/>
      <c r="L80" s="296"/>
      <c r="M80" s="296"/>
      <c r="N80" s="296"/>
      <c r="O80" s="257" t="s">
        <v>402</v>
      </c>
      <c r="P80" s="257"/>
      <c r="Q80" s="257"/>
      <c r="R80" s="257"/>
      <c r="S80" s="257"/>
      <c r="T80" s="257"/>
      <c r="U80" s="257"/>
      <c r="V80" s="257"/>
      <c r="W80" s="257"/>
      <c r="X80" s="257"/>
      <c r="Y80" s="257"/>
      <c r="Z80" s="347" t="s">
        <v>2</v>
      </c>
      <c r="AA80" s="347"/>
      <c r="AB80" s="347"/>
      <c r="AC80" s="347"/>
      <c r="AD80" s="347"/>
      <c r="AE80" s="347"/>
      <c r="AF80" s="347"/>
    </row>
    <row r="81" spans="1:116" x14ac:dyDescent="0.2">
      <c r="A81" s="54"/>
      <c r="B81" s="457"/>
      <c r="C81" s="458"/>
      <c r="D81" s="348" t="s">
        <v>876</v>
      </c>
      <c r="E81" s="296"/>
      <c r="F81" s="296"/>
      <c r="G81" s="296"/>
      <c r="H81" s="296"/>
      <c r="I81" s="296"/>
      <c r="J81" s="296"/>
      <c r="K81" s="296"/>
      <c r="L81" s="296"/>
      <c r="M81" s="296"/>
      <c r="N81" s="296"/>
      <c r="O81" s="402" t="s">
        <v>897</v>
      </c>
      <c r="P81" s="402"/>
      <c r="Q81" s="402"/>
      <c r="R81" s="402"/>
      <c r="S81" s="402"/>
      <c r="T81" s="402"/>
      <c r="U81" s="402"/>
      <c r="V81" s="402"/>
      <c r="W81" s="402"/>
      <c r="X81" s="402"/>
      <c r="Y81" s="402"/>
      <c r="Z81" s="402"/>
      <c r="AA81" s="402"/>
      <c r="AB81" s="402"/>
      <c r="AC81" s="402"/>
      <c r="AD81" s="402"/>
      <c r="AE81" s="402"/>
      <c r="AF81" s="402"/>
    </row>
    <row r="82" spans="1:116" x14ac:dyDescent="0.2">
      <c r="A82" s="54"/>
      <c r="B82" s="457"/>
      <c r="C82" s="458"/>
      <c r="D82" s="348"/>
      <c r="E82" s="296"/>
      <c r="F82" s="296"/>
      <c r="G82" s="296"/>
      <c r="H82" s="296"/>
      <c r="I82" s="296"/>
      <c r="J82" s="296"/>
      <c r="K82" s="296"/>
      <c r="L82" s="296"/>
      <c r="M82" s="296"/>
      <c r="N82" s="296"/>
      <c r="O82" s="257" t="s">
        <v>511</v>
      </c>
      <c r="P82" s="257"/>
      <c r="Q82" s="257"/>
      <c r="R82" s="257"/>
      <c r="S82" s="257"/>
      <c r="T82" s="257"/>
      <c r="U82" s="257"/>
      <c r="V82" s="257"/>
      <c r="W82" s="257"/>
      <c r="X82" s="257"/>
      <c r="Y82" s="257"/>
      <c r="Z82" s="422" t="s">
        <v>2</v>
      </c>
      <c r="AA82" s="422"/>
      <c r="AB82" s="422"/>
      <c r="AC82" s="422"/>
      <c r="AD82" s="422"/>
      <c r="AE82" s="422"/>
      <c r="AF82" s="422"/>
      <c r="AK82" s="55"/>
    </row>
    <row r="83" spans="1:116" x14ac:dyDescent="0.2">
      <c r="A83" s="54"/>
      <c r="B83" s="457"/>
      <c r="C83" s="458"/>
      <c r="D83" s="348"/>
      <c r="E83" s="296"/>
      <c r="F83" s="296"/>
      <c r="G83" s="296"/>
      <c r="H83" s="296"/>
      <c r="I83" s="296"/>
      <c r="J83" s="296"/>
      <c r="K83" s="296"/>
      <c r="L83" s="296"/>
      <c r="M83" s="296"/>
      <c r="N83" s="296"/>
      <c r="O83" s="257" t="s">
        <v>434</v>
      </c>
      <c r="P83" s="257"/>
      <c r="Q83" s="257"/>
      <c r="R83" s="257"/>
      <c r="S83" s="257"/>
      <c r="T83" s="257"/>
      <c r="U83" s="257"/>
      <c r="V83" s="257"/>
      <c r="W83" s="257"/>
      <c r="X83" s="257"/>
      <c r="Y83" s="257"/>
      <c r="Z83" s="347" t="s">
        <v>2</v>
      </c>
      <c r="AA83" s="347"/>
      <c r="AB83" s="347"/>
      <c r="AC83" s="347"/>
      <c r="AD83" s="347"/>
      <c r="AE83" s="347"/>
      <c r="AF83" s="347"/>
      <c r="AK83" s="55"/>
    </row>
    <row r="84" spans="1:116" ht="7.5" customHeight="1" x14ac:dyDescent="0.2">
      <c r="A84" s="54"/>
      <c r="B84" s="457"/>
      <c r="C84" s="458"/>
      <c r="D84" s="246"/>
      <c r="E84" s="247"/>
      <c r="F84" s="247"/>
      <c r="G84" s="247"/>
      <c r="H84" s="247"/>
      <c r="I84" s="247"/>
      <c r="J84" s="247"/>
      <c r="K84" s="247"/>
      <c r="L84" s="247"/>
      <c r="M84" s="247"/>
      <c r="N84" s="247"/>
      <c r="O84" s="247"/>
      <c r="P84" s="247"/>
      <c r="Q84" s="247"/>
      <c r="R84" s="247"/>
      <c r="S84" s="247"/>
      <c r="T84" s="247"/>
      <c r="U84" s="247"/>
      <c r="V84" s="247"/>
      <c r="W84" s="247"/>
      <c r="X84" s="247"/>
      <c r="Y84" s="247"/>
      <c r="Z84" s="247"/>
      <c r="AA84" s="247"/>
      <c r="AB84" s="247"/>
      <c r="AC84" s="247"/>
      <c r="AD84" s="247"/>
      <c r="AE84" s="247"/>
      <c r="AF84" s="247"/>
      <c r="AG84" s="172"/>
      <c r="AH84" s="172"/>
      <c r="AY84" s="62"/>
      <c r="AZ84" s="62"/>
      <c r="BA84" s="62"/>
      <c r="CI84" s="62"/>
      <c r="DJ84" s="62"/>
      <c r="DK84" s="62"/>
      <c r="DL84" s="62"/>
    </row>
    <row r="85" spans="1:116" ht="14.25" customHeight="1" x14ac:dyDescent="0.2">
      <c r="A85" s="54"/>
      <c r="B85" s="457"/>
      <c r="C85" s="458"/>
      <c r="D85" s="348" t="s">
        <v>423</v>
      </c>
      <c r="E85" s="296"/>
      <c r="F85" s="296"/>
      <c r="G85" s="296"/>
      <c r="H85" s="296"/>
      <c r="I85" s="296"/>
      <c r="J85" s="296"/>
      <c r="K85" s="296"/>
      <c r="L85" s="296"/>
      <c r="M85" s="296"/>
      <c r="N85" s="296"/>
      <c r="O85" s="513" t="s">
        <v>951</v>
      </c>
      <c r="P85" s="513"/>
      <c r="Q85" s="513"/>
      <c r="R85" s="513"/>
      <c r="S85" s="513"/>
      <c r="T85" s="513"/>
      <c r="U85" s="513"/>
      <c r="V85" s="513"/>
      <c r="W85" s="513"/>
      <c r="X85" s="513"/>
      <c r="Y85" s="513"/>
      <c r="Z85" s="505" t="s">
        <v>904</v>
      </c>
      <c r="AA85" s="505"/>
      <c r="AB85" s="505"/>
      <c r="AC85" s="505"/>
      <c r="AD85" s="505"/>
      <c r="AE85" s="505"/>
      <c r="AF85" s="505"/>
      <c r="AG85" s="505"/>
      <c r="AH85" s="505"/>
      <c r="AI85" s="505"/>
      <c r="AJ85" s="505"/>
      <c r="AK85" s="55"/>
    </row>
    <row r="86" spans="1:116" x14ac:dyDescent="0.2">
      <c r="A86" s="54"/>
      <c r="B86" s="457"/>
      <c r="C86" s="458"/>
      <c r="D86" s="348"/>
      <c r="E86" s="296"/>
      <c r="F86" s="296"/>
      <c r="G86" s="296"/>
      <c r="H86" s="296"/>
      <c r="I86" s="296"/>
      <c r="J86" s="296"/>
      <c r="K86" s="296"/>
      <c r="L86" s="296"/>
      <c r="M86" s="296"/>
      <c r="N86" s="296"/>
      <c r="O86" s="257" t="s">
        <v>424</v>
      </c>
      <c r="P86" s="257"/>
      <c r="Q86" s="257"/>
      <c r="R86" s="257"/>
      <c r="S86" s="257"/>
      <c r="T86" s="257"/>
      <c r="U86" s="257"/>
      <c r="V86" s="257"/>
      <c r="W86" s="257"/>
      <c r="X86" s="257"/>
      <c r="Y86" s="257"/>
      <c r="Z86" s="395" t="s">
        <v>403</v>
      </c>
      <c r="AA86" s="395"/>
      <c r="AB86" s="395"/>
      <c r="AC86" s="395"/>
      <c r="AD86" s="395"/>
      <c r="AE86" s="395"/>
      <c r="AF86" s="395"/>
      <c r="AK86" s="55"/>
    </row>
    <row r="87" spans="1:116" ht="14.25" customHeight="1" x14ac:dyDescent="0.2">
      <c r="A87" s="54"/>
      <c r="B87" s="457"/>
      <c r="C87" s="458"/>
      <c r="D87" s="348" t="s">
        <v>428</v>
      </c>
      <c r="E87" s="296"/>
      <c r="F87" s="296"/>
      <c r="G87" s="296"/>
      <c r="H87" s="296"/>
      <c r="I87" s="296"/>
      <c r="J87" s="296"/>
      <c r="K87" s="296"/>
      <c r="L87" s="296"/>
      <c r="M87" s="296"/>
      <c r="N87" s="296"/>
      <c r="O87" s="257" t="s">
        <v>514</v>
      </c>
      <c r="P87" s="257"/>
      <c r="Q87" s="257"/>
      <c r="R87" s="257"/>
      <c r="S87" s="257"/>
      <c r="T87" s="257"/>
      <c r="U87" s="257"/>
      <c r="V87" s="257"/>
      <c r="W87" s="257"/>
      <c r="X87" s="257"/>
      <c r="Y87" s="257"/>
      <c r="Z87" s="447" t="s">
        <v>2</v>
      </c>
      <c r="AA87" s="448"/>
      <c r="AB87" s="448"/>
      <c r="AC87" s="448"/>
      <c r="AD87" s="448"/>
      <c r="AE87" s="448"/>
      <c r="AF87" s="448"/>
      <c r="AK87" s="55"/>
    </row>
    <row r="88" spans="1:116" x14ac:dyDescent="0.2">
      <c r="A88" s="54"/>
      <c r="B88" s="457"/>
      <c r="C88" s="458"/>
      <c r="D88" s="348"/>
      <c r="E88" s="296"/>
      <c r="F88" s="296"/>
      <c r="G88" s="296"/>
      <c r="H88" s="296"/>
      <c r="I88" s="296"/>
      <c r="J88" s="296"/>
      <c r="K88" s="296"/>
      <c r="L88" s="296"/>
      <c r="M88" s="296"/>
      <c r="N88" s="296"/>
      <c r="O88" s="257" t="s">
        <v>515</v>
      </c>
      <c r="P88" s="257"/>
      <c r="Q88" s="257"/>
      <c r="R88" s="257"/>
      <c r="S88" s="257"/>
      <c r="T88" s="257"/>
      <c r="U88" s="257"/>
      <c r="V88" s="257"/>
      <c r="W88" s="257"/>
      <c r="X88" s="257"/>
      <c r="Y88" s="257"/>
      <c r="Z88" s="447" t="s">
        <v>2</v>
      </c>
      <c r="AA88" s="448"/>
      <c r="AB88" s="448"/>
      <c r="AC88" s="448"/>
      <c r="AD88" s="448"/>
      <c r="AE88" s="448"/>
      <c r="AF88" s="448"/>
      <c r="AK88" s="55"/>
    </row>
    <row r="89" spans="1:116" x14ac:dyDescent="0.2">
      <c r="A89" s="54"/>
      <c r="B89" s="457"/>
      <c r="C89" s="458"/>
      <c r="D89" s="348"/>
      <c r="E89" s="296"/>
      <c r="F89" s="296"/>
      <c r="G89" s="296"/>
      <c r="H89" s="296"/>
      <c r="I89" s="296"/>
      <c r="J89" s="296"/>
      <c r="K89" s="296"/>
      <c r="L89" s="296"/>
      <c r="M89" s="296"/>
      <c r="N89" s="296"/>
      <c r="O89" s="257" t="s">
        <v>516</v>
      </c>
      <c r="P89" s="257"/>
      <c r="Q89" s="257"/>
      <c r="R89" s="257"/>
      <c r="S89" s="257"/>
      <c r="T89" s="257"/>
      <c r="U89" s="257"/>
      <c r="V89" s="257"/>
      <c r="W89" s="257"/>
      <c r="X89" s="257"/>
      <c r="Y89" s="257"/>
      <c r="Z89" s="447" t="s">
        <v>2</v>
      </c>
      <c r="AA89" s="448"/>
      <c r="AB89" s="448"/>
      <c r="AC89" s="448"/>
      <c r="AD89" s="448"/>
      <c r="AE89" s="448"/>
      <c r="AF89" s="448"/>
      <c r="AK89" s="55"/>
    </row>
    <row r="90" spans="1:116" ht="14.25" customHeight="1" x14ac:dyDescent="0.2">
      <c r="A90" s="54"/>
      <c r="B90" s="457"/>
      <c r="C90" s="458"/>
      <c r="D90" s="348" t="s">
        <v>429</v>
      </c>
      <c r="E90" s="296"/>
      <c r="F90" s="296"/>
      <c r="G90" s="296"/>
      <c r="H90" s="296"/>
      <c r="I90" s="296"/>
      <c r="J90" s="296"/>
      <c r="K90" s="296"/>
      <c r="L90" s="296"/>
      <c r="M90" s="296"/>
      <c r="N90" s="296"/>
      <c r="O90" s="257" t="s">
        <v>596</v>
      </c>
      <c r="P90" s="257"/>
      <c r="Q90" s="257"/>
      <c r="R90" s="257"/>
      <c r="S90" s="257"/>
      <c r="T90" s="257"/>
      <c r="U90" s="257"/>
      <c r="V90" s="257"/>
      <c r="W90" s="257"/>
      <c r="X90" s="257"/>
      <c r="Y90" s="257"/>
      <c r="Z90" s="425"/>
      <c r="AA90" s="425"/>
      <c r="AB90" s="425"/>
      <c r="AC90" s="425"/>
      <c r="AD90" s="425"/>
      <c r="AE90" s="425"/>
      <c r="AF90" s="425"/>
    </row>
    <row r="91" spans="1:116" x14ac:dyDescent="0.2">
      <c r="A91" s="54"/>
      <c r="B91" s="457"/>
      <c r="C91" s="458"/>
      <c r="D91" s="348"/>
      <c r="E91" s="296"/>
      <c r="F91" s="296"/>
      <c r="G91" s="296"/>
      <c r="H91" s="296"/>
      <c r="I91" s="296"/>
      <c r="J91" s="296"/>
      <c r="K91" s="296"/>
      <c r="L91" s="296"/>
      <c r="M91" s="296"/>
      <c r="N91" s="296"/>
      <c r="O91" s="257" t="s">
        <v>848</v>
      </c>
      <c r="P91" s="257"/>
      <c r="Q91" s="257"/>
      <c r="R91" s="257"/>
      <c r="S91" s="257"/>
      <c r="T91" s="257"/>
      <c r="U91" s="257"/>
      <c r="V91" s="257"/>
      <c r="W91" s="257"/>
      <c r="X91" s="257"/>
      <c r="Y91" s="257"/>
      <c r="Z91" s="403">
        <v>0</v>
      </c>
      <c r="AA91" s="403"/>
      <c r="AB91" s="403"/>
      <c r="AC91" s="403"/>
      <c r="AD91" s="403"/>
      <c r="AE91" s="403"/>
      <c r="AF91" s="403"/>
    </row>
    <row r="92" spans="1:116" x14ac:dyDescent="0.2">
      <c r="A92" s="54"/>
      <c r="B92" s="457"/>
      <c r="C92" s="458"/>
      <c r="D92" s="348"/>
      <c r="E92" s="296"/>
      <c r="F92" s="296"/>
      <c r="G92" s="296"/>
      <c r="H92" s="296"/>
      <c r="I92" s="296"/>
      <c r="J92" s="296"/>
      <c r="K92" s="296"/>
      <c r="L92" s="296"/>
      <c r="M92" s="296"/>
      <c r="N92" s="296"/>
      <c r="O92" s="257" t="s">
        <v>597</v>
      </c>
      <c r="P92" s="257"/>
      <c r="Q92" s="257"/>
      <c r="R92" s="257"/>
      <c r="S92" s="257"/>
      <c r="T92" s="257"/>
      <c r="U92" s="257"/>
      <c r="V92" s="257"/>
      <c r="W92" s="257"/>
      <c r="X92" s="257"/>
      <c r="Y92" s="257"/>
      <c r="Z92" s="395"/>
      <c r="AA92" s="395"/>
      <c r="AB92" s="395"/>
      <c r="AC92" s="395"/>
      <c r="AD92" s="395"/>
      <c r="AE92" s="395"/>
      <c r="AF92" s="395"/>
    </row>
    <row r="93" spans="1:116" ht="15" thickBot="1" x14ac:dyDescent="0.25">
      <c r="A93" s="54"/>
      <c r="B93" s="459"/>
      <c r="C93" s="460"/>
      <c r="D93" s="405"/>
      <c r="E93" s="406"/>
      <c r="F93" s="406"/>
      <c r="G93" s="406"/>
      <c r="H93" s="406"/>
      <c r="I93" s="406"/>
      <c r="J93" s="406"/>
      <c r="K93" s="406"/>
      <c r="L93" s="406"/>
      <c r="M93" s="406"/>
      <c r="N93" s="406"/>
      <c r="O93" s="480" t="s">
        <v>598</v>
      </c>
      <c r="P93" s="480"/>
      <c r="Q93" s="480"/>
      <c r="R93" s="480"/>
      <c r="S93" s="480"/>
      <c r="T93" s="480"/>
      <c r="U93" s="480"/>
      <c r="V93" s="480"/>
      <c r="W93" s="480"/>
      <c r="X93" s="480"/>
      <c r="Y93" s="480"/>
      <c r="Z93" s="454"/>
      <c r="AA93" s="454"/>
      <c r="AB93" s="454"/>
      <c r="AC93" s="454"/>
      <c r="AD93" s="454"/>
      <c r="AE93" s="454"/>
      <c r="AF93" s="454"/>
    </row>
    <row r="94" spans="1:116" x14ac:dyDescent="0.2">
      <c r="A94" s="54"/>
      <c r="B94" s="54"/>
      <c r="C94" s="54"/>
      <c r="D94" s="54"/>
      <c r="E94" s="54"/>
      <c r="F94" s="54"/>
      <c r="G94" s="54"/>
      <c r="H94" s="54"/>
      <c r="I94" s="54"/>
      <c r="J94" s="54"/>
      <c r="K94" s="54"/>
      <c r="L94" s="54"/>
      <c r="M94" s="54"/>
      <c r="N94" s="54"/>
      <c r="O94" s="54"/>
      <c r="P94" s="54"/>
      <c r="Q94" s="54"/>
      <c r="R94" s="54"/>
      <c r="S94" s="54"/>
      <c r="T94" s="54"/>
      <c r="U94" s="54"/>
      <c r="V94" s="54"/>
      <c r="W94" s="54"/>
      <c r="X94" s="54"/>
      <c r="Y94" s="54"/>
      <c r="Z94" s="54"/>
    </row>
    <row r="95" spans="1:116" x14ac:dyDescent="0.2">
      <c r="A95" s="54"/>
      <c r="B95" s="54"/>
      <c r="C95" s="324" t="s">
        <v>431</v>
      </c>
      <c r="D95" s="333"/>
      <c r="E95" s="333"/>
      <c r="F95" s="333"/>
      <c r="G95" s="333"/>
      <c r="H95" s="333"/>
      <c r="I95" s="333"/>
      <c r="J95" s="333"/>
      <c r="K95" s="333"/>
      <c r="L95" s="333"/>
      <c r="M95" s="333"/>
      <c r="N95" s="333"/>
      <c r="O95" s="333"/>
      <c r="P95" s="333"/>
      <c r="Q95" s="333"/>
      <c r="R95" s="333"/>
      <c r="S95" s="333"/>
      <c r="T95" s="333"/>
      <c r="U95" s="333"/>
      <c r="V95" s="333"/>
      <c r="W95" s="333"/>
      <c r="X95" s="333"/>
      <c r="Y95" s="333"/>
      <c r="Z95" s="333"/>
      <c r="AA95" s="333"/>
      <c r="AB95" s="333"/>
      <c r="AC95" s="333"/>
      <c r="AD95" s="333"/>
      <c r="AE95" s="333"/>
      <c r="AF95" s="333"/>
      <c r="AG95" s="333"/>
      <c r="AH95" s="333"/>
      <c r="AI95" s="333"/>
      <c r="AJ95" s="333"/>
      <c r="AK95" s="175"/>
    </row>
    <row r="96" spans="1:116" ht="15" thickBot="1" x14ac:dyDescent="0.25">
      <c r="A96" s="54"/>
      <c r="B96" s="54"/>
      <c r="C96" s="54"/>
      <c r="D96" s="54"/>
      <c r="E96" s="54"/>
      <c r="F96" s="54"/>
      <c r="G96" s="54"/>
      <c r="H96" s="54"/>
      <c r="I96" s="54"/>
      <c r="J96" s="54"/>
      <c r="K96" s="54"/>
      <c r="L96" s="54"/>
      <c r="M96" s="54"/>
      <c r="N96" s="54"/>
      <c r="O96" s="54"/>
      <c r="P96" s="54"/>
      <c r="Q96" s="54"/>
      <c r="R96" s="54"/>
      <c r="S96" s="54"/>
      <c r="T96" s="54"/>
      <c r="U96" s="54"/>
      <c r="V96" s="54"/>
      <c r="W96" s="54"/>
      <c r="X96" s="54"/>
      <c r="Y96" s="54"/>
      <c r="Z96" s="54"/>
    </row>
    <row r="97" spans="1:116" ht="15" thickBot="1" x14ac:dyDescent="0.25">
      <c r="A97" s="54"/>
      <c r="B97" s="466" t="s">
        <v>988</v>
      </c>
      <c r="C97" s="467"/>
      <c r="D97" s="441" t="s">
        <v>419</v>
      </c>
      <c r="E97" s="367"/>
      <c r="F97" s="367"/>
      <c r="G97" s="367"/>
      <c r="H97" s="367"/>
      <c r="I97" s="367"/>
      <c r="J97" s="367"/>
      <c r="K97" s="367"/>
      <c r="L97" s="367"/>
      <c r="M97" s="367"/>
      <c r="N97" s="367"/>
      <c r="O97" s="462" t="s">
        <v>512</v>
      </c>
      <c r="P97" s="462"/>
      <c r="Q97" s="462"/>
      <c r="R97" s="462"/>
      <c r="S97" s="462"/>
      <c r="T97" s="462"/>
      <c r="U97" s="462"/>
      <c r="V97" s="462"/>
      <c r="W97" s="462"/>
      <c r="X97" s="462"/>
      <c r="Y97" s="462"/>
      <c r="Z97" s="421"/>
      <c r="AA97" s="421"/>
      <c r="AB97" s="421"/>
      <c r="AC97" s="421"/>
      <c r="AD97" s="421"/>
      <c r="AE97" s="421"/>
      <c r="AF97" s="421"/>
    </row>
    <row r="98" spans="1:116" ht="15" thickBot="1" x14ac:dyDescent="0.25">
      <c r="A98" s="54"/>
      <c r="B98" s="466"/>
      <c r="C98" s="467"/>
      <c r="D98" s="463" t="s">
        <v>395</v>
      </c>
      <c r="E98" s="354"/>
      <c r="F98" s="354"/>
      <c r="G98" s="354"/>
      <c r="H98" s="354"/>
      <c r="I98" s="354"/>
      <c r="J98" s="354"/>
      <c r="K98" s="354"/>
      <c r="L98" s="354"/>
      <c r="M98" s="354"/>
      <c r="N98" s="354"/>
      <c r="O98" s="257" t="s">
        <v>513</v>
      </c>
      <c r="P98" s="257"/>
      <c r="Q98" s="257"/>
      <c r="R98" s="257"/>
      <c r="S98" s="257"/>
      <c r="T98" s="257"/>
      <c r="U98" s="257"/>
      <c r="V98" s="257"/>
      <c r="W98" s="257"/>
      <c r="X98" s="257"/>
      <c r="Y98" s="257"/>
      <c r="Z98" s="422" t="s">
        <v>2</v>
      </c>
      <c r="AA98" s="422"/>
      <c r="AB98" s="422"/>
      <c r="AC98" s="422"/>
      <c r="AD98" s="422"/>
      <c r="AE98" s="422"/>
      <c r="AF98" s="422"/>
      <c r="AY98" s="62"/>
      <c r="AZ98" s="62"/>
      <c r="BA98" s="62"/>
      <c r="CI98" s="62"/>
      <c r="DJ98" s="62"/>
      <c r="DK98" s="62"/>
      <c r="DL98" s="62"/>
    </row>
    <row r="99" spans="1:116" ht="15" thickBot="1" x14ac:dyDescent="0.25">
      <c r="A99" s="54"/>
      <c r="B99" s="466"/>
      <c r="C99" s="467"/>
      <c r="D99" s="348" t="s">
        <v>878</v>
      </c>
      <c r="E99" s="296"/>
      <c r="F99" s="296"/>
      <c r="G99" s="296"/>
      <c r="H99" s="296"/>
      <c r="I99" s="296"/>
      <c r="J99" s="296"/>
      <c r="K99" s="296"/>
      <c r="L99" s="296"/>
      <c r="M99" s="296"/>
      <c r="N99" s="296"/>
      <c r="O99" s="257" t="s">
        <v>420</v>
      </c>
      <c r="P99" s="257"/>
      <c r="Q99" s="257"/>
      <c r="R99" s="257"/>
      <c r="S99" s="257"/>
      <c r="T99" s="257"/>
      <c r="U99" s="257"/>
      <c r="V99" s="257"/>
      <c r="W99" s="257"/>
      <c r="X99" s="257"/>
      <c r="Y99" s="257"/>
      <c r="Z99" s="423"/>
      <c r="AA99" s="423"/>
      <c r="AB99" s="423"/>
      <c r="AC99" s="423"/>
      <c r="AD99" s="423"/>
      <c r="AE99" s="423"/>
      <c r="AF99" s="423"/>
      <c r="AY99" s="63"/>
      <c r="AZ99" s="63"/>
      <c r="BA99" s="63"/>
      <c r="CI99" s="63"/>
      <c r="DJ99" s="63"/>
      <c r="DK99" s="63"/>
      <c r="DL99" s="63"/>
    </row>
    <row r="100" spans="1:116" ht="15" thickBot="1" x14ac:dyDescent="0.25">
      <c r="A100" s="54"/>
      <c r="B100" s="466"/>
      <c r="C100" s="467"/>
      <c r="D100" s="348"/>
      <c r="E100" s="296"/>
      <c r="F100" s="296"/>
      <c r="G100" s="296"/>
      <c r="H100" s="296"/>
      <c r="I100" s="296"/>
      <c r="J100" s="296"/>
      <c r="K100" s="296"/>
      <c r="L100" s="296"/>
      <c r="M100" s="296"/>
      <c r="N100" s="296"/>
      <c r="O100" s="257" t="s">
        <v>421</v>
      </c>
      <c r="P100" s="257"/>
      <c r="Q100" s="257"/>
      <c r="R100" s="257"/>
      <c r="S100" s="257"/>
      <c r="T100" s="257"/>
      <c r="U100" s="257"/>
      <c r="V100" s="257"/>
      <c r="W100" s="257"/>
      <c r="X100" s="257"/>
      <c r="Y100" s="257"/>
      <c r="Z100" s="423"/>
      <c r="AA100" s="423"/>
      <c r="AB100" s="423"/>
      <c r="AC100" s="423"/>
      <c r="AD100" s="423"/>
      <c r="AE100" s="423"/>
      <c r="AF100" s="423"/>
    </row>
    <row r="101" spans="1:116" ht="15" thickBot="1" x14ac:dyDescent="0.25">
      <c r="A101" s="54"/>
      <c r="B101" s="466"/>
      <c r="C101" s="467"/>
      <c r="D101" s="348"/>
      <c r="E101" s="296"/>
      <c r="F101" s="296"/>
      <c r="G101" s="296"/>
      <c r="H101" s="296"/>
      <c r="I101" s="296"/>
      <c r="J101" s="296"/>
      <c r="K101" s="296"/>
      <c r="L101" s="296"/>
      <c r="M101" s="296"/>
      <c r="N101" s="296"/>
      <c r="O101" s="257" t="s">
        <v>651</v>
      </c>
      <c r="P101" s="257"/>
      <c r="Q101" s="257"/>
      <c r="R101" s="257"/>
      <c r="S101" s="257"/>
      <c r="T101" s="257"/>
      <c r="U101" s="257"/>
      <c r="V101" s="257"/>
      <c r="W101" s="257"/>
      <c r="X101" s="257"/>
      <c r="Y101" s="257"/>
      <c r="Z101" s="423"/>
      <c r="AA101" s="423"/>
      <c r="AB101" s="423"/>
      <c r="AC101" s="423"/>
      <c r="AD101" s="423"/>
      <c r="AE101" s="423"/>
      <c r="AF101" s="423"/>
    </row>
    <row r="102" spans="1:116" ht="30" customHeight="1" thickBot="1" x14ac:dyDescent="0.25">
      <c r="A102" s="54"/>
      <c r="B102" s="466"/>
      <c r="C102" s="467"/>
      <c r="D102" s="348"/>
      <c r="E102" s="296"/>
      <c r="F102" s="296"/>
      <c r="G102" s="296"/>
      <c r="H102" s="296"/>
      <c r="I102" s="296"/>
      <c r="J102" s="296"/>
      <c r="K102" s="296"/>
      <c r="L102" s="296"/>
      <c r="M102" s="296"/>
      <c r="N102" s="296"/>
      <c r="O102" s="257" t="s">
        <v>875</v>
      </c>
      <c r="P102" s="257"/>
      <c r="Q102" s="257"/>
      <c r="R102" s="257"/>
      <c r="S102" s="257"/>
      <c r="T102" s="257"/>
      <c r="U102" s="257"/>
      <c r="V102" s="257"/>
      <c r="W102" s="257"/>
      <c r="X102" s="257"/>
      <c r="Y102" s="257"/>
      <c r="Z102" s="426"/>
      <c r="AA102" s="426"/>
      <c r="AB102" s="426"/>
      <c r="AC102" s="426"/>
      <c r="AD102" s="426"/>
      <c r="AE102" s="426"/>
      <c r="AF102" s="426"/>
    </row>
    <row r="103" spans="1:116" ht="15" thickBot="1" x14ac:dyDescent="0.25">
      <c r="A103" s="54"/>
      <c r="B103" s="466"/>
      <c r="C103" s="467"/>
      <c r="D103" s="464" t="s">
        <v>396</v>
      </c>
      <c r="E103" s="465"/>
      <c r="F103" s="465"/>
      <c r="G103" s="465"/>
      <c r="H103" s="465"/>
      <c r="I103" s="465"/>
      <c r="J103" s="465"/>
      <c r="K103" s="465"/>
      <c r="L103" s="465"/>
      <c r="M103" s="465"/>
      <c r="N103" s="465"/>
      <c r="O103" s="257" t="s">
        <v>397</v>
      </c>
      <c r="P103" s="257"/>
      <c r="Q103" s="257"/>
      <c r="R103" s="257"/>
      <c r="S103" s="257"/>
      <c r="T103" s="257"/>
      <c r="U103" s="257"/>
      <c r="V103" s="257"/>
      <c r="W103" s="257"/>
      <c r="X103" s="257"/>
      <c r="Y103" s="257"/>
      <c r="Z103" s="424">
        <f>IFERROR(IF($D$103="Peso Normal",1,IF($D$103="Ligero arenoso",0.85,0.6)),1)</f>
        <v>1</v>
      </c>
      <c r="AA103" s="424"/>
      <c r="AB103" s="424"/>
      <c r="AC103" s="424"/>
      <c r="AD103" s="424"/>
      <c r="AE103" s="424"/>
      <c r="AF103" s="424"/>
    </row>
    <row r="104" spans="1:116" ht="15" customHeight="1" thickBot="1" x14ac:dyDescent="0.25">
      <c r="A104" s="54"/>
      <c r="B104" s="466"/>
      <c r="C104" s="467"/>
      <c r="D104" s="405" t="s">
        <v>398</v>
      </c>
      <c r="E104" s="499"/>
      <c r="F104" s="499"/>
      <c r="G104" s="499"/>
      <c r="H104" s="499"/>
      <c r="I104" s="499"/>
      <c r="J104" s="499"/>
      <c r="K104" s="499"/>
      <c r="L104" s="499"/>
      <c r="M104" s="499"/>
      <c r="N104" s="499"/>
      <c r="O104" s="480" t="s">
        <v>873</v>
      </c>
      <c r="P104" s="480"/>
      <c r="Q104" s="480"/>
      <c r="R104" s="480"/>
      <c r="S104" s="480"/>
      <c r="T104" s="480"/>
      <c r="U104" s="480"/>
      <c r="V104" s="480"/>
      <c r="W104" s="480"/>
      <c r="X104" s="480"/>
      <c r="Y104" s="159" t="s">
        <v>874</v>
      </c>
      <c r="Z104" s="472"/>
      <c r="AA104" s="472"/>
      <c r="AB104" s="472"/>
      <c r="AC104" s="472"/>
      <c r="AD104" s="472"/>
      <c r="AE104" s="472"/>
      <c r="AF104" s="472"/>
      <c r="AJ104" s="55"/>
      <c r="AK104" s="55"/>
    </row>
    <row r="105" spans="1:116" ht="14.25" customHeight="1" x14ac:dyDescent="0.2">
      <c r="A105" s="54"/>
      <c r="B105" s="455" t="s">
        <v>989</v>
      </c>
      <c r="C105" s="456"/>
      <c r="D105" s="394" t="s">
        <v>432</v>
      </c>
      <c r="E105" s="366"/>
      <c r="F105" s="366"/>
      <c r="G105" s="366"/>
      <c r="H105" s="366"/>
      <c r="I105" s="366"/>
      <c r="J105" s="366"/>
      <c r="K105" s="366"/>
      <c r="L105" s="366"/>
      <c r="M105" s="366"/>
      <c r="N105" s="366"/>
      <c r="O105" s="471" t="s">
        <v>653</v>
      </c>
      <c r="P105" s="471"/>
      <c r="Q105" s="471"/>
      <c r="R105" s="471"/>
      <c r="S105" s="471"/>
      <c r="T105" s="471"/>
      <c r="U105" s="471"/>
      <c r="V105" s="471"/>
      <c r="W105" s="471"/>
      <c r="X105" s="471"/>
      <c r="Y105" s="471"/>
      <c r="Z105" s="517" t="s">
        <v>660</v>
      </c>
      <c r="AA105" s="517"/>
      <c r="AB105" s="517"/>
      <c r="AC105" s="517"/>
      <c r="AD105" s="517"/>
      <c r="AE105" s="517"/>
      <c r="AF105" s="517"/>
    </row>
    <row r="106" spans="1:116" ht="14.25" customHeight="1" x14ac:dyDescent="0.2">
      <c r="A106" s="54"/>
      <c r="B106" s="457"/>
      <c r="C106" s="458"/>
      <c r="D106" s="348" t="s">
        <v>654</v>
      </c>
      <c r="E106" s="296"/>
      <c r="F106" s="296"/>
      <c r="G106" s="296"/>
      <c r="H106" s="296"/>
      <c r="I106" s="296"/>
      <c r="J106" s="296"/>
      <c r="K106" s="296"/>
      <c r="L106" s="296"/>
      <c r="M106" s="296"/>
      <c r="N106" s="296"/>
      <c r="O106" s="452" t="s">
        <v>985</v>
      </c>
      <c r="P106" s="452"/>
      <c r="Q106" s="452"/>
      <c r="R106" s="452"/>
      <c r="S106" s="452"/>
      <c r="T106" s="452"/>
      <c r="U106" s="452"/>
      <c r="V106" s="452"/>
      <c r="W106" s="452"/>
      <c r="X106" s="452"/>
      <c r="Y106" s="452"/>
      <c r="Z106" s="453"/>
      <c r="AA106" s="453"/>
      <c r="AB106" s="453"/>
      <c r="AC106" s="453"/>
      <c r="AD106" s="453"/>
      <c r="AE106" s="453"/>
      <c r="AF106" s="453"/>
    </row>
    <row r="107" spans="1:116" ht="7.5" customHeight="1" x14ac:dyDescent="0.2">
      <c r="A107" s="54"/>
      <c r="B107" s="457"/>
      <c r="C107" s="458"/>
      <c r="D107" s="246"/>
      <c r="E107" s="247"/>
      <c r="F107" s="247"/>
      <c r="G107" s="247"/>
      <c r="H107" s="247"/>
      <c r="I107" s="247"/>
      <c r="J107" s="247"/>
      <c r="K107" s="247"/>
      <c r="L107" s="247"/>
      <c r="M107" s="247"/>
      <c r="N107" s="247"/>
      <c r="O107" s="247"/>
      <c r="P107" s="247"/>
      <c r="Q107" s="247"/>
      <c r="R107" s="247"/>
      <c r="S107" s="247"/>
      <c r="T107" s="247"/>
      <c r="U107" s="247"/>
      <c r="V107" s="247"/>
      <c r="W107" s="247"/>
      <c r="X107" s="247"/>
      <c r="Y107" s="247"/>
      <c r="Z107" s="247"/>
      <c r="AA107" s="247"/>
      <c r="AB107" s="247"/>
      <c r="AC107" s="247"/>
      <c r="AD107" s="247"/>
      <c r="AE107" s="247"/>
      <c r="AF107" s="247"/>
    </row>
    <row r="108" spans="1:116" ht="14.25" customHeight="1" x14ac:dyDescent="0.2">
      <c r="A108" s="54"/>
      <c r="B108" s="457"/>
      <c r="C108" s="458"/>
      <c r="D108" s="348" t="s">
        <v>734</v>
      </c>
      <c r="E108" s="296"/>
      <c r="F108" s="296"/>
      <c r="G108" s="296"/>
      <c r="H108" s="296"/>
      <c r="I108" s="296"/>
      <c r="J108" s="296"/>
      <c r="K108" s="296"/>
      <c r="L108" s="296"/>
      <c r="M108" s="296"/>
      <c r="N108" s="296"/>
      <c r="O108" s="257" t="s">
        <v>735</v>
      </c>
      <c r="P108" s="257"/>
      <c r="Q108" s="257"/>
      <c r="R108" s="257"/>
      <c r="S108" s="257"/>
      <c r="T108" s="257"/>
      <c r="U108" s="257"/>
      <c r="V108" s="257"/>
      <c r="W108" s="257"/>
      <c r="X108" s="257"/>
      <c r="Y108" s="257"/>
      <c r="Z108" s="347">
        <f>IFERROR(AK108,0)</f>
        <v>28.574999999999999</v>
      </c>
      <c r="AA108" s="347"/>
      <c r="AB108" s="347"/>
      <c r="AC108" s="347"/>
      <c r="AD108" s="347"/>
      <c r="AE108" s="347"/>
      <c r="AF108" s="347"/>
      <c r="AK108" s="300">
        <f>IFERROR(VLOOKUP(CONCATENATE($V$64),Table_Hilti_Anchor_Refs,3,FALSE),$Z$66+(25.4/8))</f>
        <v>28.574999999999999</v>
      </c>
      <c r="AL108" s="300"/>
      <c r="AM108" s="300"/>
      <c r="AN108" s="300"/>
      <c r="AO108" s="161" t="s">
        <v>746</v>
      </c>
    </row>
    <row r="109" spans="1:116" ht="14.25" customHeight="1" x14ac:dyDescent="0.2">
      <c r="A109" s="54"/>
      <c r="B109" s="457"/>
      <c r="C109" s="458"/>
      <c r="D109" s="348" t="s">
        <v>898</v>
      </c>
      <c r="E109" s="296"/>
      <c r="F109" s="296"/>
      <c r="G109" s="296"/>
      <c r="H109" s="296"/>
      <c r="I109" s="296"/>
      <c r="J109" s="296"/>
      <c r="K109" s="296"/>
      <c r="L109" s="296"/>
      <c r="M109" s="296"/>
      <c r="N109" s="296"/>
      <c r="O109" s="257" t="s">
        <v>501</v>
      </c>
      <c r="P109" s="257"/>
      <c r="Q109" s="257"/>
      <c r="R109" s="257"/>
      <c r="S109" s="257"/>
      <c r="T109" s="257"/>
      <c r="U109" s="257"/>
      <c r="V109" s="257"/>
      <c r="W109" s="257"/>
      <c r="X109" s="257"/>
      <c r="Y109" s="257"/>
      <c r="Z109" s="347">
        <f>IFERROR(MIN( (3*Z$68/2), (Z$68+(4*25.4))),"")</f>
        <v>551.6</v>
      </c>
      <c r="AA109" s="347"/>
      <c r="AB109" s="347"/>
      <c r="AC109" s="347"/>
      <c r="AD109" s="347"/>
      <c r="AE109" s="347"/>
      <c r="AF109" s="347"/>
    </row>
    <row r="110" spans="1:116" ht="14.25" customHeight="1" x14ac:dyDescent="0.2">
      <c r="A110" s="54"/>
      <c r="B110" s="457"/>
      <c r="C110" s="458"/>
      <c r="D110" s="348" t="s">
        <v>657</v>
      </c>
      <c r="E110" s="296"/>
      <c r="F110" s="296"/>
      <c r="G110" s="296"/>
      <c r="H110" s="296"/>
      <c r="I110" s="296"/>
      <c r="J110" s="296"/>
      <c r="K110" s="296"/>
      <c r="L110" s="296"/>
      <c r="M110" s="296"/>
      <c r="N110" s="296"/>
      <c r="O110" s="257" t="s">
        <v>497</v>
      </c>
      <c r="P110" s="257"/>
      <c r="Q110" s="257"/>
      <c r="R110" s="257"/>
      <c r="S110" s="257"/>
      <c r="T110" s="257"/>
      <c r="U110" s="257"/>
      <c r="V110" s="257"/>
      <c r="W110" s="257"/>
      <c r="X110" s="257"/>
      <c r="Y110" s="257"/>
      <c r="Z110" s="347">
        <f>IFERROR(6*Z$66,0)</f>
        <v>152.39999999999998</v>
      </c>
      <c r="AA110" s="347"/>
      <c r="AB110" s="347"/>
      <c r="AC110" s="347"/>
      <c r="AD110" s="347"/>
      <c r="AE110" s="347"/>
      <c r="AF110" s="347"/>
    </row>
    <row r="111" spans="1:116" ht="14.25" customHeight="1" x14ac:dyDescent="0.2">
      <c r="A111" s="54"/>
      <c r="B111" s="457"/>
      <c r="C111" s="458"/>
      <c r="D111" s="348" t="s">
        <v>655</v>
      </c>
      <c r="E111" s="296"/>
      <c r="F111" s="296"/>
      <c r="G111" s="296"/>
      <c r="H111" s="296"/>
      <c r="I111" s="296"/>
      <c r="J111" s="296"/>
      <c r="K111" s="296"/>
      <c r="L111" s="296"/>
      <c r="M111" s="296"/>
      <c r="N111" s="296"/>
      <c r="O111" s="257" t="s">
        <v>498</v>
      </c>
      <c r="P111" s="257"/>
      <c r="Q111" s="257"/>
      <c r="R111" s="257"/>
      <c r="S111" s="257"/>
      <c r="T111" s="257"/>
      <c r="U111" s="257"/>
      <c r="V111" s="257"/>
      <c r="W111" s="257"/>
      <c r="X111" s="257"/>
      <c r="Y111" s="257"/>
      <c r="Z111" s="347">
        <f>IFERROR(6*Z$66,0)</f>
        <v>152.39999999999998</v>
      </c>
      <c r="AA111" s="347"/>
      <c r="AB111" s="347"/>
      <c r="AC111" s="347"/>
      <c r="AD111" s="347"/>
      <c r="AE111" s="347"/>
      <c r="AF111" s="347"/>
    </row>
    <row r="112" spans="1:116" ht="14.25" customHeight="1" x14ac:dyDescent="0.2">
      <c r="A112" s="54"/>
      <c r="B112" s="457"/>
      <c r="C112" s="458"/>
      <c r="D112" s="348" t="s">
        <v>656</v>
      </c>
      <c r="E112" s="296"/>
      <c r="F112" s="296"/>
      <c r="G112" s="296"/>
      <c r="H112" s="296"/>
      <c r="I112" s="296"/>
      <c r="J112" s="296"/>
      <c r="K112" s="296"/>
      <c r="L112" s="296"/>
      <c r="M112" s="296"/>
      <c r="N112" s="296"/>
      <c r="O112" s="257" t="s">
        <v>499</v>
      </c>
      <c r="P112" s="257"/>
      <c r="Q112" s="257"/>
      <c r="R112" s="257"/>
      <c r="S112" s="257"/>
      <c r="T112" s="257"/>
      <c r="U112" s="257"/>
      <c r="V112" s="257"/>
      <c r="W112" s="257"/>
      <c r="X112" s="257"/>
      <c r="Y112" s="257"/>
      <c r="Z112" s="347">
        <f>IF($O$64=Definiciones!$P$7,
               $Z$68 * ((MIN($Z$125,($Z$127*(($Z$68*$Z$97)^0.5)/(PI()*$Z$66)))/(0.0069*1160))^0.4)   *    (3.1-(0.7*MIN(($Z$104/$Z$68),2.4))),
               2*$Z$68
       )</f>
        <v>0</v>
      </c>
      <c r="AA112" s="347"/>
      <c r="AB112" s="347"/>
      <c r="AC112" s="347"/>
      <c r="AD112" s="347"/>
      <c r="AE112" s="347"/>
      <c r="AF112" s="347"/>
    </row>
    <row r="113" spans="1:126" ht="14.25" customHeight="1" x14ac:dyDescent="0.2">
      <c r="A113" s="54"/>
      <c r="B113" s="457"/>
      <c r="C113" s="458"/>
      <c r="D113" s="348"/>
      <c r="E113" s="296"/>
      <c r="F113" s="296"/>
      <c r="G113" s="296"/>
      <c r="H113" s="296"/>
      <c r="I113" s="296"/>
      <c r="J113" s="296"/>
      <c r="K113" s="296"/>
      <c r="L113" s="296"/>
      <c r="M113" s="296"/>
      <c r="N113" s="296"/>
      <c r="O113" s="257" t="s">
        <v>500</v>
      </c>
      <c r="P113" s="257"/>
      <c r="Q113" s="257"/>
      <c r="R113" s="257"/>
      <c r="S113" s="257"/>
      <c r="T113" s="257"/>
      <c r="U113" s="257"/>
      <c r="V113" s="257"/>
      <c r="W113" s="257"/>
      <c r="X113" s="257"/>
      <c r="Y113" s="257"/>
      <c r="Z113" s="347" t="str">
        <f>IF($O$62="Adhesivo",
               IFERROR((10*(Z$66)*((Z$125/(1100*0.0069))^0.5)),0),
               " "
       )</f>
        <v xml:space="preserve"> </v>
      </c>
      <c r="AA113" s="347"/>
      <c r="AB113" s="347"/>
      <c r="AC113" s="347"/>
      <c r="AD113" s="347"/>
      <c r="AE113" s="347"/>
      <c r="AF113" s="347"/>
    </row>
    <row r="114" spans="1:126" ht="7.5" customHeight="1" x14ac:dyDescent="0.2">
      <c r="A114" s="54"/>
      <c r="B114" s="457"/>
      <c r="C114" s="458"/>
      <c r="D114" s="246"/>
      <c r="E114" s="247"/>
      <c r="F114" s="247"/>
      <c r="G114" s="247"/>
      <c r="H114" s="247"/>
      <c r="I114" s="247"/>
      <c r="J114" s="247"/>
      <c r="K114" s="247"/>
      <c r="L114" s="247"/>
      <c r="M114" s="247"/>
      <c r="N114" s="247"/>
      <c r="O114" s="247"/>
      <c r="P114" s="247"/>
      <c r="Q114" s="247"/>
      <c r="R114" s="247"/>
      <c r="S114" s="247"/>
      <c r="T114" s="247"/>
      <c r="U114" s="247"/>
      <c r="V114" s="247"/>
      <c r="W114" s="247"/>
      <c r="X114" s="247"/>
      <c r="Y114" s="247"/>
      <c r="Z114" s="247"/>
      <c r="AA114" s="247"/>
      <c r="AB114" s="247"/>
      <c r="AC114" s="247"/>
      <c r="AD114" s="247"/>
      <c r="AE114" s="247"/>
      <c r="AF114" s="247"/>
    </row>
    <row r="115" spans="1:126" ht="14.25" customHeight="1" x14ac:dyDescent="0.2">
      <c r="A115" s="54"/>
      <c r="B115" s="457"/>
      <c r="C115" s="458"/>
      <c r="D115" s="445" t="s">
        <v>408</v>
      </c>
      <c r="E115" s="446"/>
      <c r="F115" s="446"/>
      <c r="G115" s="446"/>
      <c r="H115" s="446"/>
      <c r="I115" s="446"/>
      <c r="J115" s="446"/>
      <c r="K115" s="446"/>
      <c r="L115" s="446"/>
      <c r="M115" s="446"/>
      <c r="N115" s="446"/>
      <c r="O115" s="257" t="s">
        <v>502</v>
      </c>
      <c r="P115" s="257"/>
      <c r="Q115" s="257"/>
      <c r="R115" s="257"/>
      <c r="S115" s="257"/>
      <c r="T115" s="257"/>
      <c r="U115" s="257"/>
      <c r="V115" s="257"/>
      <c r="W115" s="257"/>
      <c r="X115" s="257"/>
      <c r="Y115" s="257"/>
      <c r="Z115" s="424">
        <f>IF($D$103="Peso normal",1,IF(OR(O$62="Gancho",O$62="Perno",O$63="Sobre-excavado"),1,IF(OR((O$62="Adhesivo"),(IFERROR(FIND("Expansivo",O$63,1)&gt;0,FALSE()))),0.8,0.6)))*Z$103</f>
        <v>1</v>
      </c>
      <c r="AA115" s="424"/>
      <c r="AB115" s="424"/>
      <c r="AC115" s="424"/>
      <c r="AD115" s="424"/>
      <c r="AE115" s="424"/>
      <c r="AF115" s="424"/>
      <c r="AJ115" s="55"/>
      <c r="AK115" s="55"/>
    </row>
    <row r="116" spans="1:126" ht="14.25" customHeight="1" x14ac:dyDescent="0.2">
      <c r="A116" s="54"/>
      <c r="B116" s="457"/>
      <c r="C116" s="458"/>
      <c r="D116" s="445" t="s">
        <v>436</v>
      </c>
      <c r="E116" s="446"/>
      <c r="F116" s="446"/>
      <c r="G116" s="446"/>
      <c r="H116" s="446"/>
      <c r="I116" s="446"/>
      <c r="J116" s="446"/>
      <c r="K116" s="446"/>
      <c r="L116" s="446"/>
      <c r="M116" s="446"/>
      <c r="N116" s="446"/>
      <c r="O116" s="257" t="s">
        <v>591</v>
      </c>
      <c r="P116" s="257"/>
      <c r="Q116" s="257"/>
      <c r="R116" s="257"/>
      <c r="S116" s="257"/>
      <c r="T116" s="257"/>
      <c r="U116" s="257"/>
      <c r="V116" s="257"/>
      <c r="W116" s="257"/>
      <c r="X116" s="257"/>
      <c r="Y116" s="257"/>
      <c r="Z116" s="403">
        <f>IF(IFERROR(FIND("Expansivo",O$62,1)&gt;0, 0),
             2*Z$66,
             IF(OR(O$62="Adhesivo",O$62="Barra",O$62="Sobre-excavado"),
                      Z$68,
                      8*Z$66
                 )
       )</f>
        <v>203.2</v>
      </c>
      <c r="AA116" s="403"/>
      <c r="AB116" s="403"/>
      <c r="AC116" s="403"/>
      <c r="AD116" s="403"/>
      <c r="AE116" s="403"/>
      <c r="AF116" s="403"/>
      <c r="AJ116" s="87"/>
      <c r="AK116" s="87"/>
    </row>
    <row r="117" spans="1:126" ht="14.25" customHeight="1" x14ac:dyDescent="0.2">
      <c r="A117" s="54"/>
      <c r="B117" s="457"/>
      <c r="C117" s="458"/>
      <c r="D117" s="348" t="s">
        <v>903</v>
      </c>
      <c r="E117" s="296"/>
      <c r="F117" s="296"/>
      <c r="G117" s="296"/>
      <c r="H117" s="296"/>
      <c r="I117" s="296"/>
      <c r="J117" s="296"/>
      <c r="K117" s="296"/>
      <c r="L117" s="296"/>
      <c r="M117" s="296"/>
      <c r="N117" s="296"/>
      <c r="O117" s="257" t="s">
        <v>496</v>
      </c>
      <c r="P117" s="257"/>
      <c r="Q117" s="257"/>
      <c r="R117" s="257"/>
      <c r="S117" s="257"/>
      <c r="T117" s="257"/>
      <c r="U117" s="257"/>
      <c r="V117" s="257"/>
      <c r="W117" s="257"/>
      <c r="X117" s="257"/>
      <c r="Y117" s="257"/>
      <c r="Z117" s="506" t="s">
        <v>2</v>
      </c>
      <c r="AA117" s="506"/>
      <c r="AB117" s="506"/>
      <c r="AC117" s="506"/>
      <c r="AD117" s="506"/>
      <c r="AE117" s="506"/>
      <c r="AF117" s="506"/>
      <c r="AJ117" s="55"/>
      <c r="AK117" s="55"/>
    </row>
    <row r="118" spans="1:126" ht="14.25" customHeight="1" x14ac:dyDescent="0.2">
      <c r="A118" s="54"/>
      <c r="B118" s="457"/>
      <c r="C118" s="458"/>
      <c r="D118" s="348"/>
      <c r="E118" s="296"/>
      <c r="F118" s="296"/>
      <c r="G118" s="296"/>
      <c r="H118" s="296"/>
      <c r="I118" s="296"/>
      <c r="J118" s="296"/>
      <c r="K118" s="296"/>
      <c r="L118" s="296"/>
      <c r="M118" s="296"/>
      <c r="N118" s="296"/>
      <c r="O118" s="257" t="s">
        <v>495</v>
      </c>
      <c r="P118" s="257"/>
      <c r="Q118" s="257"/>
      <c r="R118" s="257"/>
      <c r="S118" s="257"/>
      <c r="T118" s="257"/>
      <c r="U118" s="257"/>
      <c r="V118" s="257"/>
      <c r="W118" s="257"/>
      <c r="X118" s="257"/>
      <c r="Y118" s="257"/>
      <c r="Z118" s="507" t="s">
        <v>2</v>
      </c>
      <c r="AA118" s="507"/>
      <c r="AB118" s="507"/>
      <c r="AC118" s="507"/>
      <c r="AD118" s="507"/>
      <c r="AE118" s="507"/>
      <c r="AF118" s="507"/>
      <c r="AJ118" s="87"/>
      <c r="AK118" s="87"/>
      <c r="AX118" s="95"/>
      <c r="AY118" s="55"/>
      <c r="AZ118" s="55"/>
      <c r="BA118" s="55"/>
      <c r="BB118" s="55"/>
      <c r="BC118" s="55"/>
      <c r="BD118" s="55"/>
      <c r="BE118" s="55"/>
      <c r="BF118" s="55"/>
      <c r="BG118" s="55"/>
      <c r="BH118" s="55"/>
      <c r="BI118" s="55"/>
      <c r="BJ118" s="55"/>
      <c r="BK118" s="55"/>
      <c r="BL118" s="55"/>
      <c r="BM118" s="55"/>
      <c r="BN118" s="55"/>
      <c r="BO118" s="55"/>
      <c r="BP118" s="55"/>
      <c r="BQ118" s="55"/>
      <c r="BR118" s="55"/>
      <c r="BS118" s="55"/>
      <c r="BT118" s="55"/>
      <c r="BU118" s="55"/>
      <c r="BV118" s="55"/>
      <c r="BW118" s="55"/>
      <c r="BX118" s="55"/>
      <c r="BY118" s="55"/>
      <c r="BZ118" s="55"/>
      <c r="CI118" s="55"/>
      <c r="CJ118" s="55"/>
      <c r="CK118" s="55"/>
      <c r="CL118" s="55"/>
      <c r="CM118" s="55"/>
      <c r="CN118" s="55"/>
      <c r="CO118" s="55"/>
      <c r="CP118" s="55"/>
      <c r="CQ118" s="55"/>
      <c r="DJ118" s="55"/>
      <c r="DK118" s="55"/>
      <c r="DL118" s="55"/>
      <c r="DM118" s="55"/>
      <c r="DN118" s="55"/>
      <c r="DO118" s="55"/>
      <c r="DP118" s="55"/>
      <c r="DQ118" s="55"/>
      <c r="DR118" s="55"/>
      <c r="DS118" s="55"/>
      <c r="DT118" s="55"/>
      <c r="DU118" s="55"/>
      <c r="DV118" s="55"/>
    </row>
    <row r="119" spans="1:126" ht="7.5" customHeight="1" x14ac:dyDescent="0.2">
      <c r="A119" s="54"/>
      <c r="B119" s="457"/>
      <c r="C119" s="458"/>
      <c r="D119" s="246"/>
      <c r="E119" s="247"/>
      <c r="F119" s="247"/>
      <c r="G119" s="247"/>
      <c r="H119" s="247"/>
      <c r="I119" s="247"/>
      <c r="J119" s="247"/>
      <c r="K119" s="247"/>
      <c r="L119" s="247"/>
      <c r="M119" s="247"/>
      <c r="N119" s="247"/>
      <c r="O119" s="247"/>
      <c r="P119" s="247"/>
      <c r="Q119" s="247"/>
      <c r="R119" s="247"/>
      <c r="S119" s="247"/>
      <c r="T119" s="247"/>
      <c r="U119" s="247"/>
      <c r="V119" s="247"/>
      <c r="W119" s="247"/>
      <c r="X119" s="247"/>
      <c r="Y119" s="247"/>
      <c r="Z119" s="247"/>
      <c r="AA119" s="247"/>
      <c r="AB119" s="247"/>
      <c r="AC119" s="247"/>
      <c r="AD119" s="247"/>
      <c r="AE119" s="247"/>
      <c r="AF119" s="247"/>
    </row>
    <row r="120" spans="1:126" ht="14.25" customHeight="1" x14ac:dyDescent="0.2">
      <c r="A120" s="54"/>
      <c r="B120" s="457"/>
      <c r="C120" s="458"/>
      <c r="D120" s="445" t="s">
        <v>433</v>
      </c>
      <c r="E120" s="446"/>
      <c r="F120" s="446"/>
      <c r="G120" s="446"/>
      <c r="H120" s="446"/>
      <c r="I120" s="446"/>
      <c r="J120" s="446"/>
      <c r="K120" s="446"/>
      <c r="L120" s="446"/>
      <c r="M120" s="446"/>
      <c r="N120" s="446"/>
      <c r="O120" s="503" t="s">
        <v>980</v>
      </c>
      <c r="P120" s="503"/>
      <c r="Q120" s="503"/>
      <c r="R120" s="503"/>
      <c r="S120" s="503"/>
      <c r="T120" s="503"/>
      <c r="U120" s="503"/>
      <c r="V120" s="503"/>
      <c r="W120" s="503"/>
      <c r="X120" s="503"/>
      <c r="Y120" s="503"/>
      <c r="Z120" s="504" t="s">
        <v>960</v>
      </c>
      <c r="AA120" s="504"/>
      <c r="AB120" s="504"/>
      <c r="AC120" s="504"/>
      <c r="AD120" s="504"/>
      <c r="AE120" s="504"/>
      <c r="AF120" s="504"/>
      <c r="AK120" s="55"/>
      <c r="AM120" s="213" t="s">
        <v>928</v>
      </c>
      <c r="AN120" s="213" t="s">
        <v>973</v>
      </c>
      <c r="AO120" s="213" t="s">
        <v>974</v>
      </c>
      <c r="AP120" s="213" t="s">
        <v>975</v>
      </c>
      <c r="AQ120" s="213" t="s">
        <v>976</v>
      </c>
      <c r="AR120" s="213" t="s">
        <v>977</v>
      </c>
      <c r="AS120" s="214"/>
      <c r="AT120" s="214"/>
      <c r="AU120" s="215"/>
      <c r="AV120" s="215"/>
      <c r="AW120" s="215"/>
      <c r="AX120" s="215"/>
      <c r="AY120" s="212"/>
      <c r="AZ120" s="55"/>
      <c r="BA120" s="55"/>
      <c r="BB120" s="55"/>
      <c r="BC120" s="55"/>
      <c r="BD120" s="55"/>
      <c r="BE120" s="55"/>
      <c r="BF120" s="55"/>
      <c r="BG120" s="55"/>
      <c r="BH120" s="55"/>
      <c r="BI120" s="55"/>
      <c r="BJ120" s="55"/>
      <c r="BK120" s="55"/>
      <c r="BL120" s="55"/>
      <c r="BM120" s="55"/>
      <c r="BN120" s="55"/>
      <c r="BO120" s="55"/>
      <c r="BP120" s="55"/>
      <c r="BQ120" s="55"/>
      <c r="BR120" s="55"/>
      <c r="BS120" s="55"/>
      <c r="BT120" s="55"/>
      <c r="BU120" s="55"/>
      <c r="BV120" s="55"/>
      <c r="BW120" s="55"/>
      <c r="BX120" s="55"/>
      <c r="BY120" s="55"/>
      <c r="BZ120" s="55"/>
      <c r="CI120" s="55"/>
      <c r="CJ120" s="55"/>
      <c r="CK120" s="55"/>
      <c r="CL120" s="55"/>
      <c r="CM120" s="55"/>
      <c r="CN120" s="55"/>
      <c r="CO120" s="55"/>
      <c r="CP120" s="55"/>
      <c r="CQ120" s="55"/>
      <c r="DJ120" s="55"/>
      <c r="DK120" s="55"/>
      <c r="DL120" s="55"/>
      <c r="DM120" s="55"/>
      <c r="DN120" s="55"/>
      <c r="DO120" s="55"/>
      <c r="DP120" s="55"/>
      <c r="DQ120" s="55"/>
      <c r="DR120" s="55"/>
      <c r="DS120" s="55"/>
      <c r="DT120" s="55"/>
      <c r="DU120" s="55"/>
      <c r="DV120" s="55"/>
    </row>
    <row r="121" spans="1:126" ht="14.25" customHeight="1" x14ac:dyDescent="0.2">
      <c r="A121" s="54"/>
      <c r="B121" s="457"/>
      <c r="C121" s="458"/>
      <c r="D121" s="445"/>
      <c r="E121" s="446"/>
      <c r="F121" s="446"/>
      <c r="G121" s="446"/>
      <c r="H121" s="446"/>
      <c r="I121" s="446"/>
      <c r="J121" s="446"/>
      <c r="K121" s="446"/>
      <c r="L121" s="446"/>
      <c r="M121" s="446"/>
      <c r="N121" s="446"/>
      <c r="O121" s="257" t="s">
        <v>490</v>
      </c>
      <c r="P121" s="257"/>
      <c r="Q121" s="257"/>
      <c r="R121" s="257"/>
      <c r="S121" s="257"/>
      <c r="T121" s="257"/>
      <c r="U121" s="257"/>
      <c r="V121" s="257"/>
      <c r="W121" s="257"/>
      <c r="X121" s="257"/>
      <c r="Y121" s="257"/>
      <c r="Z121" s="474">
        <f>IFERROR(HLOOKUP(O$120,$AM$120:$AR$122,2,FALSE),0)</f>
        <v>0</v>
      </c>
      <c r="AA121" s="474"/>
      <c r="AB121" s="474"/>
      <c r="AC121" s="474"/>
      <c r="AD121" s="474"/>
      <c r="AE121" s="474"/>
      <c r="AF121" s="474"/>
      <c r="AK121" s="257" t="s">
        <v>978</v>
      </c>
      <c r="AL121" s="257"/>
      <c r="AM121" s="204">
        <v>400</v>
      </c>
      <c r="AN121" s="204">
        <v>724</v>
      </c>
      <c r="AO121" s="204">
        <v>310</v>
      </c>
      <c r="AP121" s="204">
        <v>210</v>
      </c>
      <c r="AQ121" s="204">
        <v>620</v>
      </c>
      <c r="AR121" s="204">
        <v>620</v>
      </c>
      <c r="AS121" s="204"/>
      <c r="AT121" s="64"/>
      <c r="AU121" s="64"/>
      <c r="AV121" s="64"/>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I121" s="55"/>
      <c r="CJ121" s="55"/>
      <c r="CK121" s="55"/>
      <c r="CL121" s="55"/>
      <c r="CM121" s="55"/>
      <c r="CN121" s="55"/>
      <c r="CO121" s="55"/>
      <c r="CP121" s="55"/>
      <c r="CQ121" s="55"/>
      <c r="DJ121" s="55"/>
      <c r="DK121" s="55"/>
      <c r="DL121" s="55"/>
      <c r="DM121" s="55"/>
      <c r="DN121" s="55"/>
      <c r="DO121" s="55"/>
      <c r="DP121" s="55"/>
      <c r="DQ121" s="55"/>
      <c r="DR121" s="55"/>
      <c r="DS121" s="55"/>
      <c r="DT121" s="55"/>
      <c r="DU121" s="55"/>
      <c r="DV121" s="55"/>
    </row>
    <row r="122" spans="1:126" ht="14.25" customHeight="1" x14ac:dyDescent="0.2">
      <c r="A122" s="54"/>
      <c r="B122" s="457"/>
      <c r="C122" s="458"/>
      <c r="D122" s="445"/>
      <c r="E122" s="446"/>
      <c r="F122" s="446"/>
      <c r="G122" s="446"/>
      <c r="H122" s="446"/>
      <c r="I122" s="446"/>
      <c r="J122" s="446"/>
      <c r="K122" s="446"/>
      <c r="L122" s="446"/>
      <c r="M122" s="446"/>
      <c r="N122" s="446"/>
      <c r="O122" s="257" t="s">
        <v>489</v>
      </c>
      <c r="P122" s="257"/>
      <c r="Q122" s="257"/>
      <c r="R122" s="257"/>
      <c r="S122" s="257"/>
      <c r="T122" s="257"/>
      <c r="U122" s="257"/>
      <c r="V122" s="257"/>
      <c r="W122" s="257"/>
      <c r="X122" s="257"/>
      <c r="Y122" s="257"/>
      <c r="Z122" s="474">
        <f>IFERROR(HLOOKUP(O$120,$AM$120:$AR$122,3,FALSE),0)</f>
        <v>0</v>
      </c>
      <c r="AA122" s="474"/>
      <c r="AB122" s="474"/>
      <c r="AC122" s="474"/>
      <c r="AD122" s="474"/>
      <c r="AE122" s="474"/>
      <c r="AF122" s="474"/>
      <c r="AK122" s="257" t="s">
        <v>979</v>
      </c>
      <c r="AL122" s="257"/>
      <c r="AM122" s="205">
        <v>500</v>
      </c>
      <c r="AN122" s="204">
        <v>862</v>
      </c>
      <c r="AO122" s="204">
        <v>586</v>
      </c>
      <c r="AP122" s="204">
        <v>500</v>
      </c>
      <c r="AQ122" s="204">
        <v>420</v>
      </c>
      <c r="AR122" s="204">
        <v>420</v>
      </c>
      <c r="AS122" s="204"/>
      <c r="AT122" s="64"/>
      <c r="AU122" s="64"/>
      <c r="AV122" s="64"/>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I122" s="55"/>
      <c r="CJ122" s="55"/>
      <c r="CK122" s="55"/>
      <c r="CL122" s="55"/>
      <c r="CM122" s="55"/>
      <c r="CN122" s="55"/>
      <c r="CO122" s="55"/>
      <c r="CP122" s="55"/>
      <c r="CQ122" s="55"/>
      <c r="DJ122" s="55"/>
      <c r="DK122" s="55"/>
      <c r="DL122" s="55"/>
      <c r="DM122" s="55"/>
      <c r="DN122" s="55"/>
      <c r="DO122" s="55"/>
      <c r="DP122" s="55"/>
      <c r="DQ122" s="55"/>
      <c r="DR122" s="55"/>
      <c r="DS122" s="55"/>
      <c r="DT122" s="55"/>
      <c r="DU122" s="55"/>
      <c r="DV122" s="55"/>
    </row>
    <row r="123" spans="1:126" ht="7.5" customHeight="1" x14ac:dyDescent="0.2">
      <c r="A123" s="54"/>
      <c r="B123" s="457"/>
      <c r="C123" s="458"/>
      <c r="D123" s="246"/>
      <c r="E123" s="247"/>
      <c r="F123" s="247"/>
      <c r="G123" s="247"/>
      <c r="H123" s="247"/>
      <c r="I123" s="247"/>
      <c r="J123" s="247"/>
      <c r="K123" s="247"/>
      <c r="L123" s="247"/>
      <c r="M123" s="247"/>
      <c r="N123" s="247"/>
      <c r="O123" s="247"/>
      <c r="P123" s="247"/>
      <c r="Q123" s="247"/>
      <c r="R123" s="247"/>
      <c r="S123" s="247"/>
      <c r="T123" s="247"/>
      <c r="U123" s="247"/>
      <c r="V123" s="247"/>
      <c r="W123" s="247"/>
      <c r="X123" s="247"/>
      <c r="Y123" s="247"/>
      <c r="Z123" s="247"/>
      <c r="AA123" s="247"/>
      <c r="AB123" s="247"/>
      <c r="AC123" s="247"/>
      <c r="AD123" s="247"/>
      <c r="AE123" s="247"/>
      <c r="AF123" s="247"/>
    </row>
    <row r="124" spans="1:126" ht="14.25" customHeight="1" x14ac:dyDescent="0.2">
      <c r="A124" s="54"/>
      <c r="B124" s="457"/>
      <c r="C124" s="458"/>
      <c r="D124" s="445" t="s">
        <v>435</v>
      </c>
      <c r="E124" s="446"/>
      <c r="F124" s="446"/>
      <c r="G124" s="446"/>
      <c r="H124" s="446"/>
      <c r="I124" s="446"/>
      <c r="J124" s="446"/>
      <c r="K124" s="446"/>
      <c r="L124" s="446"/>
      <c r="M124" s="446"/>
      <c r="N124" s="446"/>
      <c r="O124" s="257" t="s">
        <v>488</v>
      </c>
      <c r="P124" s="257"/>
      <c r="Q124" s="257"/>
      <c r="R124" s="257"/>
      <c r="S124" s="257"/>
      <c r="T124" s="257"/>
      <c r="U124" s="257"/>
      <c r="V124" s="257"/>
      <c r="W124" s="257"/>
      <c r="X124" s="257"/>
      <c r="Y124" s="257"/>
      <c r="Z124" s="422">
        <v>1.4</v>
      </c>
      <c r="AA124" s="422"/>
      <c r="AB124" s="422"/>
      <c r="AC124" s="422"/>
      <c r="AD124" s="422"/>
      <c r="AE124" s="422"/>
      <c r="AF124" s="422"/>
      <c r="AY124" s="55"/>
      <c r="AZ124" s="55"/>
      <c r="BA124" s="55"/>
      <c r="BB124" s="55"/>
      <c r="BC124" s="55"/>
      <c r="BD124" s="55"/>
      <c r="BE124" s="55"/>
      <c r="BF124" s="55"/>
      <c r="BG124" s="55"/>
      <c r="BH124" s="55"/>
      <c r="BI124" s="55"/>
      <c r="BJ124" s="55"/>
      <c r="BK124" s="55"/>
      <c r="BL124" s="55"/>
      <c r="BM124" s="55"/>
      <c r="BN124" s="55"/>
      <c r="BO124" s="55"/>
      <c r="BP124" s="55"/>
      <c r="BQ124" s="55"/>
      <c r="BR124" s="55"/>
      <c r="BS124" s="55"/>
      <c r="BT124" s="55"/>
      <c r="BU124" s="55"/>
      <c r="BV124" s="55"/>
      <c r="BW124" s="55"/>
      <c r="BX124" s="55"/>
      <c r="BY124" s="55"/>
      <c r="BZ124" s="55"/>
      <c r="CI124" s="55"/>
      <c r="CJ124" s="55"/>
      <c r="CK124" s="55"/>
      <c r="CL124" s="55"/>
      <c r="CM124" s="55"/>
      <c r="CN124" s="55"/>
      <c r="CO124" s="55"/>
      <c r="CP124" s="55"/>
      <c r="CQ124" s="55"/>
      <c r="DJ124" s="55"/>
      <c r="DK124" s="55"/>
      <c r="DL124" s="55"/>
      <c r="DM124" s="55"/>
      <c r="DN124" s="55"/>
      <c r="DO124" s="55"/>
      <c r="DP124" s="55"/>
      <c r="DQ124" s="55"/>
      <c r="DR124" s="55"/>
      <c r="DS124" s="55"/>
      <c r="DT124" s="55"/>
      <c r="DU124" s="55"/>
      <c r="DV124" s="55"/>
    </row>
    <row r="125" spans="1:126" ht="14.25" customHeight="1" x14ac:dyDescent="0.2">
      <c r="A125" s="54"/>
      <c r="B125" s="457"/>
      <c r="C125" s="458"/>
      <c r="D125" s="445"/>
      <c r="E125" s="446"/>
      <c r="F125" s="446"/>
      <c r="G125" s="446"/>
      <c r="H125" s="446"/>
      <c r="I125" s="446"/>
      <c r="J125" s="446"/>
      <c r="K125" s="446"/>
      <c r="L125" s="446"/>
      <c r="M125" s="446"/>
      <c r="N125" s="446"/>
      <c r="O125" s="257" t="s">
        <v>487</v>
      </c>
      <c r="P125" s="257"/>
      <c r="Q125" s="257"/>
      <c r="R125" s="257"/>
      <c r="S125" s="257"/>
      <c r="T125" s="257"/>
      <c r="U125" s="257"/>
      <c r="V125" s="257"/>
      <c r="W125" s="257"/>
      <c r="X125" s="257"/>
      <c r="Y125" s="257"/>
      <c r="Z125" s="422">
        <v>1.4</v>
      </c>
      <c r="AA125" s="422"/>
      <c r="AB125" s="422"/>
      <c r="AC125" s="422"/>
      <c r="AD125" s="422"/>
      <c r="AE125" s="422"/>
      <c r="AF125" s="422"/>
      <c r="AY125" s="55"/>
      <c r="AZ125" s="55"/>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55"/>
      <c r="BW125" s="55"/>
      <c r="BX125" s="55"/>
      <c r="BY125" s="55"/>
      <c r="BZ125" s="55"/>
      <c r="CI125" s="55"/>
      <c r="CJ125" s="55"/>
      <c r="CK125" s="55"/>
      <c r="CL125" s="55"/>
      <c r="CM125" s="55"/>
      <c r="CN125" s="55"/>
      <c r="CO125" s="55"/>
      <c r="CP125" s="55"/>
      <c r="CQ125" s="55"/>
      <c r="DJ125" s="55"/>
      <c r="DK125" s="55"/>
      <c r="DL125" s="55"/>
      <c r="DM125" s="55"/>
      <c r="DN125" s="55"/>
      <c r="DO125" s="55"/>
      <c r="DP125" s="55"/>
      <c r="DQ125" s="55"/>
      <c r="DR125" s="55"/>
      <c r="DS125" s="55"/>
      <c r="DT125" s="55"/>
      <c r="DU125" s="55"/>
      <c r="DV125" s="55"/>
    </row>
    <row r="126" spans="1:126" ht="14.25" customHeight="1" x14ac:dyDescent="0.2">
      <c r="A126" s="54"/>
      <c r="B126" s="457"/>
      <c r="C126" s="458"/>
      <c r="D126" s="445"/>
      <c r="E126" s="446"/>
      <c r="F126" s="446"/>
      <c r="G126" s="446"/>
      <c r="H126" s="446"/>
      <c r="I126" s="446"/>
      <c r="J126" s="446"/>
      <c r="K126" s="446"/>
      <c r="L126" s="446"/>
      <c r="M126" s="446"/>
      <c r="N126" s="446"/>
      <c r="O126" s="257" t="s">
        <v>491</v>
      </c>
      <c r="P126" s="257"/>
      <c r="Q126" s="257"/>
      <c r="R126" s="257"/>
      <c r="S126" s="257"/>
      <c r="T126" s="257"/>
      <c r="U126" s="257"/>
      <c r="V126" s="257"/>
      <c r="W126" s="257"/>
      <c r="X126" s="257"/>
      <c r="Y126" s="257"/>
      <c r="Z126" s="442">
        <v>1</v>
      </c>
      <c r="AA126" s="442"/>
      <c r="AB126" s="442"/>
      <c r="AC126" s="442"/>
      <c r="AD126" s="442"/>
      <c r="AE126" s="442"/>
      <c r="AF126" s="442"/>
      <c r="AY126" s="55"/>
      <c r="AZ126" s="55"/>
      <c r="BA126" s="55"/>
      <c r="BB126" s="55"/>
      <c r="BC126" s="55"/>
      <c r="BD126" s="55"/>
      <c r="BE126" s="55"/>
      <c r="BF126" s="55"/>
      <c r="BG126" s="55"/>
      <c r="BH126" s="55"/>
      <c r="BI126" s="55"/>
      <c r="BJ126" s="55"/>
      <c r="BK126" s="55"/>
      <c r="BL126" s="55"/>
      <c r="BM126" s="55"/>
      <c r="BN126" s="55"/>
      <c r="BO126" s="55"/>
      <c r="BP126" s="55"/>
      <c r="BQ126" s="55"/>
      <c r="BR126" s="55"/>
      <c r="BS126" s="55"/>
      <c r="BT126" s="55"/>
      <c r="BU126" s="55"/>
      <c r="BV126" s="55"/>
      <c r="BW126" s="55"/>
      <c r="BX126" s="55"/>
      <c r="BY126" s="55"/>
      <c r="BZ126" s="55"/>
      <c r="CI126" s="55"/>
      <c r="CJ126" s="55"/>
      <c r="CK126" s="55"/>
      <c r="CL126" s="55"/>
      <c r="CM126" s="55"/>
      <c r="CN126" s="55"/>
      <c r="CO126" s="55"/>
      <c r="CP126" s="55"/>
      <c r="CQ126" s="55"/>
      <c r="DJ126" s="55"/>
      <c r="DK126" s="55"/>
      <c r="DL126" s="55"/>
      <c r="DM126" s="55"/>
      <c r="DN126" s="55"/>
      <c r="DO126" s="55"/>
      <c r="DP126" s="55"/>
      <c r="DQ126" s="55"/>
      <c r="DR126" s="55"/>
      <c r="DS126" s="55"/>
      <c r="DT126" s="55"/>
      <c r="DU126" s="55"/>
      <c r="DV126" s="55"/>
    </row>
    <row r="127" spans="1:126" ht="14.25" customHeight="1" x14ac:dyDescent="0.2">
      <c r="A127" s="54"/>
      <c r="B127" s="457"/>
      <c r="C127" s="458"/>
      <c r="D127" s="445"/>
      <c r="E127" s="446"/>
      <c r="F127" s="446"/>
      <c r="G127" s="446"/>
      <c r="H127" s="446"/>
      <c r="I127" s="446"/>
      <c r="J127" s="446"/>
      <c r="K127" s="446"/>
      <c r="L127" s="446"/>
      <c r="M127" s="446"/>
      <c r="N127" s="446"/>
      <c r="O127" s="257" t="s">
        <v>492</v>
      </c>
      <c r="P127" s="257"/>
      <c r="Q127" s="257"/>
      <c r="R127" s="257"/>
      <c r="S127" s="257"/>
      <c r="T127" s="257"/>
      <c r="U127" s="257"/>
      <c r="V127" s="257"/>
      <c r="W127" s="257"/>
      <c r="X127" s="257"/>
      <c r="Y127" s="257"/>
      <c r="Z127" s="442">
        <v>10</v>
      </c>
      <c r="AA127" s="442"/>
      <c r="AB127" s="442"/>
      <c r="AC127" s="442"/>
      <c r="AD127" s="442"/>
      <c r="AE127" s="442"/>
      <c r="AF127" s="442"/>
      <c r="AY127" s="55"/>
      <c r="AZ127" s="55"/>
      <c r="BA127" s="55"/>
      <c r="BB127" s="55"/>
      <c r="BC127" s="55"/>
      <c r="BD127" s="55"/>
      <c r="BE127" s="55"/>
      <c r="BF127" s="55"/>
      <c r="BG127" s="55"/>
      <c r="BH127" s="55"/>
      <c r="BI127" s="55"/>
      <c r="BJ127" s="55"/>
      <c r="BK127" s="55"/>
      <c r="BL127" s="55"/>
      <c r="BM127" s="55"/>
      <c r="BN127" s="55"/>
      <c r="BO127" s="55"/>
      <c r="BP127" s="55"/>
      <c r="BQ127" s="55"/>
      <c r="BR127" s="55"/>
      <c r="BS127" s="55"/>
      <c r="BT127" s="55"/>
      <c r="BU127" s="55"/>
      <c r="BV127" s="55"/>
      <c r="BW127" s="55"/>
      <c r="BX127" s="55"/>
      <c r="BY127" s="55"/>
      <c r="BZ127" s="55"/>
      <c r="CI127" s="55"/>
      <c r="CJ127" s="55"/>
      <c r="CK127" s="55"/>
      <c r="CL127" s="55"/>
      <c r="CM127" s="55"/>
      <c r="CN127" s="55"/>
      <c r="CO127" s="55"/>
      <c r="CP127" s="55"/>
      <c r="CQ127" s="55"/>
      <c r="DJ127" s="55"/>
      <c r="DK127" s="55"/>
      <c r="DL127" s="55"/>
      <c r="DM127" s="55"/>
      <c r="DN127" s="55"/>
      <c r="DO127" s="55"/>
      <c r="DP127" s="55"/>
      <c r="DQ127" s="55"/>
      <c r="DR127" s="55"/>
      <c r="DS127" s="55"/>
      <c r="DT127" s="55"/>
      <c r="DU127" s="55"/>
      <c r="DV127" s="55"/>
    </row>
    <row r="128" spans="1:126" ht="14.25" customHeight="1" x14ac:dyDescent="0.2">
      <c r="A128" s="54"/>
      <c r="B128" s="457"/>
      <c r="C128" s="458"/>
      <c r="D128" s="445"/>
      <c r="E128" s="446"/>
      <c r="F128" s="446"/>
      <c r="G128" s="446"/>
      <c r="H128" s="446"/>
      <c r="I128" s="446"/>
      <c r="J128" s="446"/>
      <c r="K128" s="446"/>
      <c r="L128" s="446"/>
      <c r="M128" s="446"/>
      <c r="N128" s="446"/>
      <c r="O128" s="257" t="s">
        <v>493</v>
      </c>
      <c r="P128" s="257"/>
      <c r="Q128" s="257"/>
      <c r="R128" s="257"/>
      <c r="S128" s="257"/>
      <c r="T128" s="257"/>
      <c r="U128" s="257"/>
      <c r="V128" s="257"/>
      <c r="W128" s="257"/>
      <c r="X128" s="257"/>
      <c r="Y128" s="257"/>
      <c r="Z128" s="442">
        <v>1</v>
      </c>
      <c r="AA128" s="442"/>
      <c r="AB128" s="442"/>
      <c r="AC128" s="442"/>
      <c r="AD128" s="442"/>
      <c r="AE128" s="442"/>
      <c r="AF128" s="442"/>
      <c r="AY128" s="55"/>
      <c r="AZ128" s="55"/>
      <c r="BA128" s="55"/>
      <c r="BB128" s="55"/>
      <c r="BC128" s="55"/>
      <c r="BD128" s="55"/>
      <c r="BE128" s="55"/>
      <c r="BF128" s="55"/>
      <c r="BG128" s="55"/>
      <c r="BH128" s="55"/>
      <c r="BI128" s="55"/>
      <c r="BJ128" s="55"/>
      <c r="BK128" s="55"/>
      <c r="BL128" s="55"/>
      <c r="BM128" s="55"/>
      <c r="BN128" s="55"/>
      <c r="BO128" s="55"/>
      <c r="BP128" s="55"/>
      <c r="BQ128" s="55"/>
      <c r="BR128" s="55"/>
      <c r="BS128" s="55"/>
      <c r="BT128" s="55"/>
      <c r="BU128" s="55"/>
      <c r="BV128" s="55"/>
      <c r="BW128" s="55"/>
      <c r="BX128" s="55"/>
      <c r="BY128" s="55"/>
      <c r="BZ128" s="55"/>
      <c r="CI128" s="55"/>
      <c r="CJ128" s="55"/>
      <c r="CK128" s="55"/>
      <c r="CL128" s="55"/>
      <c r="CM128" s="55"/>
      <c r="CN128" s="55"/>
      <c r="CO128" s="55"/>
      <c r="CP128" s="55"/>
      <c r="CQ128" s="55"/>
      <c r="DJ128" s="55"/>
      <c r="DK128" s="55"/>
      <c r="DL128" s="55"/>
      <c r="DM128" s="55"/>
      <c r="DN128" s="55"/>
      <c r="DO128" s="55"/>
      <c r="DP128" s="55"/>
      <c r="DQ128" s="55"/>
      <c r="DR128" s="55"/>
      <c r="DS128" s="55"/>
      <c r="DT128" s="55"/>
      <c r="DU128" s="55"/>
      <c r="DV128" s="55"/>
    </row>
    <row r="129" spans="1:126" ht="7.5" customHeight="1" x14ac:dyDescent="0.2">
      <c r="A129" s="54"/>
      <c r="B129" s="457"/>
      <c r="C129" s="458"/>
      <c r="D129" s="246"/>
      <c r="E129" s="247"/>
      <c r="F129" s="247"/>
      <c r="G129" s="247"/>
      <c r="H129" s="247"/>
      <c r="I129" s="247"/>
      <c r="J129" s="247"/>
      <c r="K129" s="247"/>
      <c r="L129" s="247"/>
      <c r="M129" s="247"/>
      <c r="N129" s="247"/>
      <c r="O129" s="247"/>
      <c r="P129" s="247"/>
      <c r="Q129" s="247"/>
      <c r="R129" s="247"/>
      <c r="S129" s="247"/>
      <c r="T129" s="247"/>
      <c r="U129" s="247"/>
      <c r="V129" s="247"/>
      <c r="W129" s="247"/>
      <c r="X129" s="247"/>
      <c r="Y129" s="247"/>
      <c r="Z129" s="247"/>
      <c r="AA129" s="247"/>
      <c r="AB129" s="247"/>
      <c r="AC129" s="247"/>
      <c r="AD129" s="247"/>
      <c r="AE129" s="247"/>
      <c r="AF129" s="247"/>
    </row>
    <row r="130" spans="1:126" ht="14.25" customHeight="1" x14ac:dyDescent="0.2">
      <c r="A130" s="54"/>
      <c r="B130" s="457"/>
      <c r="C130" s="458"/>
      <c r="D130" s="445" t="s">
        <v>546</v>
      </c>
      <c r="E130" s="446"/>
      <c r="F130" s="446"/>
      <c r="G130" s="446"/>
      <c r="H130" s="446"/>
      <c r="I130" s="446"/>
      <c r="J130" s="446"/>
      <c r="K130" s="446"/>
      <c r="L130" s="446"/>
      <c r="M130" s="446"/>
      <c r="N130" s="446"/>
      <c r="O130" s="257" t="s">
        <v>494</v>
      </c>
      <c r="P130" s="257"/>
      <c r="Q130" s="257"/>
      <c r="R130" s="257"/>
      <c r="S130" s="257"/>
      <c r="T130" s="257"/>
      <c r="U130" s="257"/>
      <c r="V130" s="257"/>
      <c r="W130" s="257"/>
      <c r="X130" s="257"/>
      <c r="Y130" s="257"/>
      <c r="Z130" s="442">
        <v>1</v>
      </c>
      <c r="AA130" s="442"/>
      <c r="AB130" s="442"/>
      <c r="AC130" s="442"/>
      <c r="AD130" s="442"/>
      <c r="AE130" s="442"/>
      <c r="AF130" s="442"/>
      <c r="AY130" s="55"/>
      <c r="AZ130" s="55"/>
      <c r="BA130" s="55"/>
      <c r="BB130" s="55"/>
      <c r="BC130" s="55"/>
      <c r="BD130" s="55"/>
      <c r="BE130" s="55"/>
      <c r="BF130" s="55"/>
      <c r="BG130" s="55"/>
      <c r="BH130" s="55"/>
      <c r="BI130" s="55"/>
      <c r="BJ130" s="55"/>
      <c r="BK130" s="55"/>
      <c r="BL130" s="55"/>
      <c r="BM130" s="55"/>
      <c r="BN130" s="55"/>
      <c r="BO130" s="55"/>
      <c r="BP130" s="55"/>
      <c r="BQ130" s="55"/>
      <c r="BR130" s="55"/>
      <c r="BS130" s="55"/>
      <c r="BT130" s="55"/>
      <c r="BU130" s="55"/>
      <c r="BV130" s="55"/>
      <c r="BW130" s="55"/>
      <c r="BX130" s="55"/>
      <c r="BY130" s="55"/>
      <c r="BZ130" s="55"/>
      <c r="CI130" s="55"/>
      <c r="CJ130" s="55"/>
      <c r="CK130" s="55"/>
      <c r="CL130" s="55"/>
      <c r="CM130" s="55"/>
      <c r="CN130" s="55"/>
      <c r="CO130" s="55"/>
      <c r="CP130" s="55"/>
      <c r="CQ130" s="55"/>
      <c r="DJ130" s="55"/>
      <c r="DK130" s="55"/>
      <c r="DL130" s="55"/>
      <c r="DM130" s="55"/>
      <c r="DN130" s="55"/>
      <c r="DO130" s="55"/>
      <c r="DP130" s="55"/>
      <c r="DQ130" s="55"/>
      <c r="DR130" s="55"/>
      <c r="DS130" s="55"/>
      <c r="DT130" s="55"/>
      <c r="DU130" s="55"/>
      <c r="DV130" s="55"/>
    </row>
    <row r="131" spans="1:126" ht="14.25" customHeight="1" x14ac:dyDescent="0.2">
      <c r="A131" s="54"/>
      <c r="B131" s="457"/>
      <c r="C131" s="458"/>
      <c r="D131" s="445"/>
      <c r="E131" s="446"/>
      <c r="F131" s="446"/>
      <c r="G131" s="446"/>
      <c r="H131" s="446"/>
      <c r="I131" s="446"/>
      <c r="J131" s="446"/>
      <c r="K131" s="446"/>
      <c r="L131" s="446"/>
      <c r="M131" s="446"/>
      <c r="N131" s="446"/>
      <c r="O131" s="257" t="s">
        <v>545</v>
      </c>
      <c r="P131" s="257"/>
      <c r="Q131" s="257"/>
      <c r="R131" s="257"/>
      <c r="S131" s="257"/>
      <c r="T131" s="257"/>
      <c r="U131" s="257"/>
      <c r="V131" s="257"/>
      <c r="W131" s="257"/>
      <c r="X131" s="257"/>
      <c r="Y131" s="257"/>
      <c r="Z131" s="442">
        <v>1</v>
      </c>
      <c r="AA131" s="442"/>
      <c r="AB131" s="442"/>
      <c r="AC131" s="442"/>
      <c r="AD131" s="442"/>
      <c r="AE131" s="442"/>
      <c r="AF131" s="442"/>
    </row>
    <row r="132" spans="1:126" ht="14.25" customHeight="1" x14ac:dyDescent="0.2">
      <c r="A132" s="54"/>
      <c r="B132" s="457"/>
      <c r="C132" s="458"/>
      <c r="D132" s="246"/>
      <c r="E132" s="247"/>
      <c r="F132" s="247"/>
      <c r="G132" s="247"/>
      <c r="H132" s="247"/>
      <c r="I132" s="247"/>
      <c r="J132" s="247"/>
      <c r="K132" s="247"/>
      <c r="L132" s="247"/>
      <c r="M132" s="247"/>
      <c r="N132" s="247"/>
      <c r="O132" s="247"/>
      <c r="P132" s="247"/>
      <c r="Q132" s="247"/>
      <c r="R132" s="247"/>
      <c r="S132" s="247"/>
      <c r="T132" s="247"/>
      <c r="U132" s="247"/>
      <c r="V132" s="247"/>
      <c r="W132" s="247"/>
      <c r="X132" s="247"/>
      <c r="Y132" s="247"/>
      <c r="Z132" s="247"/>
      <c r="AA132" s="247"/>
      <c r="AB132" s="247"/>
      <c r="AC132" s="247"/>
      <c r="AD132" s="247"/>
      <c r="AE132" s="247"/>
      <c r="AF132" s="247"/>
    </row>
    <row r="133" spans="1:126" ht="14.25" customHeight="1" x14ac:dyDescent="0.2">
      <c r="A133" s="54"/>
      <c r="B133" s="457"/>
      <c r="C133" s="458"/>
      <c r="D133" s="348" t="s">
        <v>1004</v>
      </c>
      <c r="E133" s="296"/>
      <c r="F133" s="296"/>
      <c r="G133" s="296"/>
      <c r="H133" s="296"/>
      <c r="I133" s="296"/>
      <c r="J133" s="296"/>
      <c r="K133" s="296"/>
      <c r="L133" s="296"/>
      <c r="M133" s="296"/>
      <c r="N133" s="296"/>
      <c r="O133" s="257" t="s">
        <v>1005</v>
      </c>
      <c r="P133" s="257"/>
      <c r="Q133" s="257"/>
      <c r="R133" s="257"/>
      <c r="S133" s="257"/>
      <c r="T133" s="257"/>
      <c r="U133" s="257"/>
      <c r="V133" s="257"/>
      <c r="W133" s="257"/>
      <c r="X133" s="257"/>
      <c r="Y133" s="257"/>
      <c r="Z133" s="444" t="s">
        <v>2</v>
      </c>
      <c r="AA133" s="444"/>
      <c r="AB133" s="444"/>
      <c r="AC133" s="444"/>
      <c r="AD133" s="444"/>
      <c r="AE133" s="444"/>
      <c r="AF133" s="444"/>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c r="CI133" s="55"/>
      <c r="CJ133" s="55"/>
      <c r="CK133" s="55"/>
      <c r="CL133" s="55"/>
      <c r="CM133" s="55"/>
      <c r="CN133" s="55"/>
      <c r="CO133" s="55"/>
      <c r="CP133" s="55"/>
      <c r="CQ133" s="55"/>
      <c r="DJ133" s="55"/>
      <c r="DK133" s="55"/>
      <c r="DL133" s="55"/>
      <c r="DM133" s="55"/>
      <c r="DN133" s="55"/>
      <c r="DO133" s="55"/>
      <c r="DP133" s="55"/>
      <c r="DQ133" s="55"/>
      <c r="DR133" s="55"/>
      <c r="DS133" s="55"/>
      <c r="DT133" s="55"/>
      <c r="DU133" s="55"/>
      <c r="DV133" s="55"/>
    </row>
    <row r="134" spans="1:126" ht="14.25" customHeight="1" x14ac:dyDescent="0.2">
      <c r="A134" s="54"/>
      <c r="B134" s="457"/>
      <c r="C134" s="458"/>
      <c r="D134" s="348" t="s">
        <v>409</v>
      </c>
      <c r="E134" s="296"/>
      <c r="F134" s="296"/>
      <c r="G134" s="296"/>
      <c r="H134" s="296"/>
      <c r="I134" s="296"/>
      <c r="J134" s="296"/>
      <c r="K134" s="296"/>
      <c r="L134" s="296"/>
      <c r="M134" s="296"/>
      <c r="N134" s="296"/>
      <c r="O134" s="257" t="s">
        <v>503</v>
      </c>
      <c r="P134" s="257"/>
      <c r="Q134" s="257"/>
      <c r="R134" s="257"/>
      <c r="S134" s="257"/>
      <c r="T134" s="257"/>
      <c r="U134" s="257"/>
      <c r="V134" s="257"/>
      <c r="W134" s="257"/>
      <c r="X134" s="257"/>
      <c r="Y134" s="257"/>
      <c r="Z134" s="444" t="s">
        <v>2</v>
      </c>
      <c r="AA134" s="444"/>
      <c r="AB134" s="444"/>
      <c r="AC134" s="444"/>
      <c r="AD134" s="444"/>
      <c r="AE134" s="444"/>
      <c r="AF134" s="444"/>
      <c r="AY134" s="55"/>
      <c r="AZ134" s="55"/>
      <c r="BA134" s="55"/>
      <c r="BB134" s="55"/>
      <c r="BC134" s="55"/>
      <c r="BD134" s="55"/>
      <c r="BE134" s="55"/>
      <c r="BF134" s="55"/>
      <c r="BG134" s="55"/>
      <c r="BH134" s="55"/>
      <c r="BI134" s="55"/>
      <c r="BJ134" s="55"/>
      <c r="BK134" s="55"/>
      <c r="BL134" s="55"/>
      <c r="BM134" s="55"/>
      <c r="BN134" s="55"/>
      <c r="BO134" s="55"/>
      <c r="BP134" s="55"/>
      <c r="BQ134" s="55"/>
      <c r="BR134" s="55"/>
      <c r="BS134" s="55"/>
      <c r="BT134" s="55"/>
      <c r="BU134" s="55"/>
      <c r="BV134" s="55"/>
      <c r="BW134" s="55"/>
      <c r="BX134" s="55"/>
      <c r="BY134" s="55"/>
      <c r="BZ134" s="55"/>
      <c r="CI134" s="55"/>
      <c r="CJ134" s="55"/>
      <c r="CK134" s="55"/>
      <c r="CL134" s="55"/>
      <c r="CM134" s="55"/>
      <c r="CN134" s="55"/>
      <c r="CO134" s="55"/>
      <c r="CP134" s="55"/>
      <c r="CQ134" s="55"/>
      <c r="DJ134" s="55"/>
      <c r="DK134" s="55"/>
      <c r="DL134" s="55"/>
      <c r="DM134" s="55"/>
      <c r="DN134" s="55"/>
      <c r="DO134" s="55"/>
      <c r="DP134" s="55"/>
      <c r="DQ134" s="55"/>
      <c r="DR134" s="55"/>
      <c r="DS134" s="55"/>
      <c r="DT134" s="55"/>
      <c r="DU134" s="55"/>
      <c r="DV134" s="55"/>
    </row>
    <row r="135" spans="1:126" ht="14.25" customHeight="1" x14ac:dyDescent="0.2">
      <c r="A135" s="54"/>
      <c r="B135" s="457"/>
      <c r="C135" s="458"/>
      <c r="D135" s="348"/>
      <c r="E135" s="296"/>
      <c r="F135" s="296"/>
      <c r="G135" s="296"/>
      <c r="H135" s="296"/>
      <c r="I135" s="296"/>
      <c r="J135" s="296"/>
      <c r="K135" s="296"/>
      <c r="L135" s="296"/>
      <c r="M135" s="296"/>
      <c r="N135" s="296"/>
      <c r="O135" s="257" t="s">
        <v>504</v>
      </c>
      <c r="P135" s="257"/>
      <c r="Q135" s="257"/>
      <c r="R135" s="257"/>
      <c r="S135" s="257"/>
      <c r="T135" s="257"/>
      <c r="U135" s="257"/>
      <c r="V135" s="257"/>
      <c r="W135" s="257"/>
      <c r="X135" s="257"/>
      <c r="Y135" s="257"/>
      <c r="Z135" s="444" t="s">
        <v>2</v>
      </c>
      <c r="AA135" s="444"/>
      <c r="AB135" s="444"/>
      <c r="AC135" s="444"/>
      <c r="AD135" s="444"/>
      <c r="AE135" s="444"/>
      <c r="AF135" s="444"/>
    </row>
    <row r="136" spans="1:126" ht="14.25" customHeight="1" x14ac:dyDescent="0.2">
      <c r="A136" s="54"/>
      <c r="B136" s="457"/>
      <c r="C136" s="458"/>
      <c r="D136" s="246"/>
      <c r="E136" s="247"/>
      <c r="F136" s="247"/>
      <c r="G136" s="247"/>
      <c r="H136" s="247"/>
      <c r="I136" s="247"/>
      <c r="J136" s="247"/>
      <c r="K136" s="247"/>
      <c r="L136" s="247"/>
      <c r="M136" s="247"/>
      <c r="N136" s="247"/>
      <c r="O136" s="247"/>
      <c r="P136" s="247"/>
      <c r="Q136" s="247"/>
      <c r="R136" s="247"/>
      <c r="S136" s="247"/>
      <c r="T136" s="247"/>
      <c r="U136" s="247"/>
      <c r="V136" s="247"/>
      <c r="W136" s="247"/>
      <c r="X136" s="247"/>
      <c r="Y136" s="247"/>
      <c r="Z136" s="247"/>
      <c r="AA136" s="247"/>
      <c r="AB136" s="247"/>
      <c r="AC136" s="247"/>
      <c r="AD136" s="247"/>
      <c r="AE136" s="247"/>
      <c r="AF136" s="247"/>
    </row>
    <row r="137" spans="1:126" x14ac:dyDescent="0.2">
      <c r="A137" s="54"/>
      <c r="B137" s="457"/>
      <c r="C137" s="458"/>
      <c r="D137" s="348" t="s">
        <v>632</v>
      </c>
      <c r="E137" s="296"/>
      <c r="F137" s="296"/>
      <c r="G137" s="296"/>
      <c r="H137" s="296"/>
      <c r="I137" s="296"/>
      <c r="J137" s="296"/>
      <c r="K137" s="296"/>
      <c r="L137" s="296"/>
      <c r="M137" s="296"/>
      <c r="N137" s="296"/>
      <c r="O137" s="469" t="s">
        <v>634</v>
      </c>
      <c r="P137" s="469"/>
      <c r="Q137" s="469"/>
      <c r="R137" s="469"/>
      <c r="S137" s="469"/>
      <c r="T137" s="469"/>
      <c r="U137" s="469"/>
      <c r="V137" s="469"/>
      <c r="W137" s="469"/>
      <c r="X137" s="469"/>
      <c r="Y137" s="469"/>
      <c r="Z137" s="469"/>
      <c r="AA137" s="469"/>
      <c r="AB137" s="469"/>
      <c r="AC137" s="469"/>
      <c r="AD137" s="469"/>
      <c r="AE137" s="469"/>
      <c r="AF137" s="469"/>
    </row>
    <row r="138" spans="1:126" x14ac:dyDescent="0.2">
      <c r="A138" s="54"/>
      <c r="B138" s="457"/>
      <c r="C138" s="458"/>
      <c r="D138" s="348"/>
      <c r="E138" s="296"/>
      <c r="F138" s="296"/>
      <c r="G138" s="296"/>
      <c r="H138" s="296"/>
      <c r="I138" s="296"/>
      <c r="J138" s="296"/>
      <c r="K138" s="296"/>
      <c r="L138" s="296"/>
      <c r="M138" s="296"/>
      <c r="N138" s="296"/>
      <c r="O138" s="469"/>
      <c r="P138" s="469"/>
      <c r="Q138" s="469"/>
      <c r="R138" s="469"/>
      <c r="S138" s="469"/>
      <c r="T138" s="469"/>
      <c r="U138" s="469"/>
      <c r="V138" s="469"/>
      <c r="W138" s="469"/>
      <c r="X138" s="469"/>
      <c r="Y138" s="469"/>
      <c r="Z138" s="469"/>
      <c r="AA138" s="469"/>
      <c r="AB138" s="469"/>
      <c r="AC138" s="469"/>
      <c r="AD138" s="469"/>
      <c r="AE138" s="469"/>
      <c r="AF138" s="469"/>
    </row>
    <row r="139" spans="1:126" x14ac:dyDescent="0.2">
      <c r="A139" s="54"/>
      <c r="B139" s="457"/>
      <c r="C139" s="458"/>
      <c r="D139" s="348"/>
      <c r="E139" s="296"/>
      <c r="F139" s="296"/>
      <c r="G139" s="296"/>
      <c r="H139" s="296"/>
      <c r="I139" s="296"/>
      <c r="J139" s="296"/>
      <c r="K139" s="296"/>
      <c r="L139" s="296"/>
      <c r="M139" s="296"/>
      <c r="N139" s="296"/>
      <c r="O139" s="469"/>
      <c r="P139" s="469"/>
      <c r="Q139" s="469"/>
      <c r="R139" s="469"/>
      <c r="S139" s="469"/>
      <c r="T139" s="469"/>
      <c r="U139" s="469"/>
      <c r="V139" s="469"/>
      <c r="W139" s="469"/>
      <c r="X139" s="469"/>
      <c r="Y139" s="469"/>
      <c r="Z139" s="469"/>
      <c r="AA139" s="469"/>
      <c r="AB139" s="469"/>
      <c r="AC139" s="469"/>
      <c r="AD139" s="469"/>
      <c r="AE139" s="469"/>
      <c r="AF139" s="469"/>
    </row>
    <row r="140" spans="1:126" x14ac:dyDescent="0.2">
      <c r="A140" s="54"/>
      <c r="B140" s="457"/>
      <c r="C140" s="458"/>
      <c r="D140" s="348"/>
      <c r="E140" s="296"/>
      <c r="F140" s="296"/>
      <c r="G140" s="296"/>
      <c r="H140" s="296"/>
      <c r="I140" s="296"/>
      <c r="J140" s="296"/>
      <c r="K140" s="296"/>
      <c r="L140" s="296"/>
      <c r="M140" s="296"/>
      <c r="N140" s="296"/>
      <c r="O140" s="469"/>
      <c r="P140" s="469"/>
      <c r="Q140" s="469"/>
      <c r="R140" s="469"/>
      <c r="S140" s="469"/>
      <c r="T140" s="469"/>
      <c r="U140" s="469"/>
      <c r="V140" s="469"/>
      <c r="W140" s="469"/>
      <c r="X140" s="469"/>
      <c r="Y140" s="469"/>
      <c r="Z140" s="469"/>
      <c r="AA140" s="469"/>
      <c r="AB140" s="469"/>
      <c r="AC140" s="469"/>
      <c r="AD140" s="469"/>
      <c r="AE140" s="469"/>
      <c r="AF140" s="469"/>
    </row>
    <row r="141" spans="1:126" ht="15" thickBot="1" x14ac:dyDescent="0.25">
      <c r="A141" s="54"/>
      <c r="B141" s="459"/>
      <c r="C141" s="460"/>
      <c r="D141" s="405"/>
      <c r="E141" s="406"/>
      <c r="F141" s="406"/>
      <c r="G141" s="406"/>
      <c r="H141" s="406"/>
      <c r="I141" s="406"/>
      <c r="J141" s="406"/>
      <c r="K141" s="406"/>
      <c r="L141" s="406"/>
      <c r="M141" s="406"/>
      <c r="N141" s="406"/>
      <c r="O141" s="470"/>
      <c r="P141" s="470"/>
      <c r="Q141" s="470"/>
      <c r="R141" s="470"/>
      <c r="S141" s="470"/>
      <c r="T141" s="470"/>
      <c r="U141" s="470"/>
      <c r="V141" s="470"/>
      <c r="W141" s="470"/>
      <c r="X141" s="470"/>
      <c r="Y141" s="470"/>
      <c r="Z141" s="470"/>
      <c r="AA141" s="470"/>
      <c r="AB141" s="470"/>
      <c r="AC141" s="470"/>
      <c r="AD141" s="470"/>
      <c r="AE141" s="470"/>
      <c r="AF141" s="470"/>
    </row>
    <row r="142" spans="1:126" ht="11.25" customHeight="1" x14ac:dyDescent="0.2">
      <c r="A142" s="54"/>
      <c r="B142" s="85"/>
      <c r="C142" s="85"/>
      <c r="D142" s="82"/>
      <c r="E142" s="82"/>
      <c r="F142" s="82"/>
      <c r="G142" s="82"/>
      <c r="H142" s="82"/>
      <c r="I142" s="82"/>
      <c r="J142" s="82"/>
      <c r="K142" s="82"/>
      <c r="L142" s="82"/>
      <c r="M142" s="82"/>
      <c r="N142" s="82"/>
      <c r="O142" s="96"/>
      <c r="P142" s="96"/>
      <c r="Q142" s="96"/>
      <c r="R142" s="96"/>
      <c r="S142" s="96"/>
      <c r="T142" s="96"/>
      <c r="U142" s="96"/>
      <c r="V142" s="96"/>
      <c r="W142" s="96"/>
      <c r="X142" s="96"/>
      <c r="Y142" s="96"/>
      <c r="Z142" s="96"/>
      <c r="AA142" s="96"/>
      <c r="AB142" s="96"/>
      <c r="AC142" s="96"/>
      <c r="AD142" s="96"/>
      <c r="AE142" s="96"/>
      <c r="AF142" s="96"/>
    </row>
    <row r="143" spans="1:126" ht="12.75" x14ac:dyDescent="0.2">
      <c r="A143" s="54"/>
      <c r="B143" s="54"/>
      <c r="C143" s="171"/>
      <c r="D143" s="171"/>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9"/>
      <c r="AY143" s="55"/>
      <c r="AZ143" s="55"/>
      <c r="BA143" s="55"/>
      <c r="BB143" s="55"/>
      <c r="BC143" s="55"/>
      <c r="BD143" s="55"/>
      <c r="BE143" s="55"/>
      <c r="BF143" s="55"/>
      <c r="BG143" s="55"/>
      <c r="BH143" s="55"/>
      <c r="BI143" s="55"/>
      <c r="BJ143" s="55"/>
      <c r="BK143" s="55"/>
      <c r="BL143" s="55"/>
      <c r="BM143" s="55"/>
      <c r="BN143" s="55"/>
      <c r="BO143" s="55"/>
      <c r="BP143" s="55"/>
      <c r="BQ143" s="55"/>
      <c r="BR143" s="55"/>
      <c r="BS143" s="55"/>
      <c r="BT143" s="55"/>
      <c r="BU143" s="55"/>
      <c r="BV143" s="55"/>
      <c r="BW143" s="55"/>
      <c r="BX143" s="55"/>
      <c r="BY143" s="55"/>
      <c r="BZ143" s="55"/>
      <c r="CI143" s="55"/>
      <c r="CJ143" s="55"/>
      <c r="CK143" s="55"/>
      <c r="CL143" s="55"/>
      <c r="CM143" s="55"/>
      <c r="CN143" s="55"/>
      <c r="CO143" s="55"/>
      <c r="CP143" s="55"/>
      <c r="CQ143" s="55"/>
      <c r="DJ143" s="55"/>
      <c r="DK143" s="55"/>
      <c r="DL143" s="55"/>
      <c r="DM143" s="55"/>
      <c r="DN143" s="55"/>
      <c r="DO143" s="55"/>
      <c r="DP143" s="55"/>
      <c r="DQ143" s="55"/>
      <c r="DR143" s="55"/>
      <c r="DS143" s="55"/>
      <c r="DT143" s="55"/>
      <c r="DU143" s="55"/>
      <c r="DV143" s="55"/>
    </row>
    <row r="144" spans="1:126" ht="15" x14ac:dyDescent="0.2">
      <c r="A144" s="54"/>
      <c r="B144" s="248" t="s">
        <v>990</v>
      </c>
      <c r="C144" s="248"/>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8"/>
      <c r="AB144" s="248"/>
      <c r="AC144" s="248"/>
      <c r="AD144" s="248"/>
      <c r="AE144" s="248"/>
      <c r="AF144" s="248"/>
      <c r="AG144" s="248"/>
      <c r="AH144" s="248"/>
      <c r="AI144" s="248"/>
      <c r="AJ144" s="248"/>
      <c r="AK144" s="209"/>
      <c r="BC144" s="62"/>
      <c r="BD144" s="62"/>
      <c r="BF144" s="62"/>
      <c r="BG144" s="62"/>
      <c r="BH144" s="62"/>
      <c r="BI144" s="62"/>
      <c r="BJ144" s="62"/>
      <c r="BK144" s="62"/>
      <c r="BL144" s="62"/>
      <c r="BM144" s="62"/>
      <c r="BN144" s="62"/>
      <c r="BO144" s="62"/>
      <c r="BP144" s="62"/>
      <c r="BR144" s="62"/>
      <c r="BS144" s="62"/>
      <c r="BT144" s="62"/>
      <c r="BU144" s="62"/>
      <c r="BV144" s="62"/>
      <c r="BW144" s="62"/>
      <c r="BX144" s="62"/>
      <c r="BY144" s="62"/>
      <c r="BZ144" s="62"/>
      <c r="CK144" s="62"/>
      <c r="CL144" s="62"/>
      <c r="CM144" s="62"/>
      <c r="CN144" s="62"/>
      <c r="CO144" s="62"/>
      <c r="CP144" s="62"/>
      <c r="CQ144" s="62"/>
      <c r="DP144" s="62"/>
      <c r="DQ144" s="62"/>
      <c r="DR144" s="62"/>
      <c r="DS144" s="62"/>
      <c r="DT144" s="62"/>
      <c r="DU144" s="62"/>
      <c r="DV144" s="62"/>
    </row>
    <row r="145" spans="1:126" x14ac:dyDescent="0.2">
      <c r="A145" s="54"/>
      <c r="B145" s="54"/>
      <c r="C145" s="54"/>
      <c r="D145" s="54"/>
      <c r="E145" s="54"/>
      <c r="F145" s="54"/>
      <c r="G145" s="54"/>
      <c r="H145" s="54"/>
      <c r="I145" s="54"/>
      <c r="J145" s="54"/>
      <c r="K145" s="54"/>
      <c r="L145" s="54"/>
      <c r="M145" s="54"/>
      <c r="N145" s="54"/>
      <c r="O145" s="54"/>
      <c r="P145" s="54"/>
      <c r="Q145" s="54"/>
      <c r="R145" s="54"/>
      <c r="S145" s="54"/>
      <c r="T145" s="54"/>
      <c r="U145" s="54"/>
      <c r="V145" s="54"/>
      <c r="W145" s="54"/>
      <c r="X145" s="54"/>
      <c r="Y145" s="54"/>
      <c r="Z145" s="54"/>
      <c r="AY145" s="62"/>
      <c r="AZ145" s="62"/>
      <c r="BA145" s="62"/>
      <c r="BC145" s="62"/>
      <c r="BD145" s="62"/>
      <c r="BF145" s="62"/>
      <c r="BG145" s="62"/>
      <c r="BH145" s="62"/>
      <c r="BI145" s="62"/>
      <c r="BJ145" s="62"/>
      <c r="BK145" s="62"/>
      <c r="BL145" s="62"/>
      <c r="BM145" s="62"/>
      <c r="BN145" s="62"/>
      <c r="BO145" s="62"/>
      <c r="BP145" s="62"/>
      <c r="BR145" s="62"/>
      <c r="BS145" s="62"/>
      <c r="BT145" s="62"/>
      <c r="BU145" s="62"/>
      <c r="BV145" s="62"/>
      <c r="BW145" s="62"/>
      <c r="BX145" s="62"/>
      <c r="BY145" s="62"/>
      <c r="BZ145" s="62"/>
      <c r="CI145" s="62"/>
      <c r="CK145" s="62"/>
      <c r="CL145" s="62"/>
      <c r="CM145" s="62"/>
      <c r="CN145" s="62"/>
      <c r="CO145" s="62"/>
      <c r="CP145" s="62"/>
      <c r="CQ145" s="62"/>
      <c r="DJ145" s="62"/>
      <c r="DK145" s="62"/>
      <c r="DL145" s="62"/>
      <c r="DP145" s="62"/>
      <c r="DQ145" s="62"/>
      <c r="DR145" s="62"/>
      <c r="DS145" s="62"/>
      <c r="DT145" s="62"/>
      <c r="DU145" s="62"/>
      <c r="DV145" s="62"/>
    </row>
    <row r="146" spans="1:126" ht="300" customHeight="1" x14ac:dyDescent="0.2">
      <c r="A146" s="54"/>
      <c r="B146" s="211" t="s">
        <v>991</v>
      </c>
      <c r="C146" s="54"/>
      <c r="D146" s="54"/>
      <c r="E146" s="54"/>
      <c r="F146" s="54"/>
      <c r="G146" s="54"/>
      <c r="H146" s="54"/>
      <c r="I146" s="54"/>
      <c r="J146" s="54"/>
      <c r="K146" s="54"/>
      <c r="L146" s="54"/>
      <c r="M146" s="54"/>
      <c r="N146" s="54"/>
      <c r="O146" s="54"/>
      <c r="P146" s="54"/>
      <c r="Q146" s="54"/>
      <c r="R146" s="54"/>
      <c r="S146" s="54"/>
      <c r="T146" s="54"/>
      <c r="U146" s="54"/>
      <c r="V146" s="54"/>
      <c r="W146" s="54"/>
      <c r="X146" s="54"/>
      <c r="Y146" s="54"/>
      <c r="Z146" s="54"/>
      <c r="AY146" s="62"/>
      <c r="AZ146" s="62"/>
      <c r="BA146" s="62"/>
      <c r="BC146" s="62"/>
      <c r="BD146" s="62"/>
      <c r="BF146" s="62"/>
      <c r="BG146" s="62"/>
      <c r="BH146" s="62"/>
      <c r="BI146" s="62"/>
      <c r="BJ146" s="62"/>
      <c r="BK146" s="62"/>
      <c r="BL146" s="62"/>
      <c r="BM146" s="62"/>
      <c r="BN146" s="62"/>
      <c r="BO146" s="62"/>
      <c r="BP146" s="62"/>
      <c r="BR146" s="62"/>
      <c r="BS146" s="62"/>
      <c r="BT146" s="62"/>
      <c r="BU146" s="62"/>
      <c r="BV146" s="62"/>
      <c r="BW146" s="62"/>
      <c r="BX146" s="62"/>
      <c r="BY146" s="62"/>
      <c r="BZ146" s="62"/>
      <c r="CI146" s="62"/>
      <c r="CK146" s="62"/>
      <c r="CL146" s="62"/>
      <c r="CM146" s="62"/>
      <c r="CN146" s="62"/>
      <c r="CO146" s="62"/>
      <c r="CP146" s="62"/>
      <c r="CQ146" s="62"/>
      <c r="DJ146" s="62"/>
      <c r="DK146" s="62"/>
      <c r="DL146" s="62"/>
      <c r="DP146" s="62"/>
      <c r="DQ146" s="62"/>
      <c r="DR146" s="62"/>
      <c r="DS146" s="62"/>
      <c r="DT146" s="62"/>
      <c r="DU146" s="62"/>
      <c r="DV146" s="62"/>
    </row>
    <row r="147" spans="1:126" ht="11.25" customHeight="1" x14ac:dyDescent="0.2">
      <c r="A147" s="54"/>
      <c r="B147" s="210"/>
      <c r="C147" s="210"/>
      <c r="D147" s="208"/>
      <c r="E147" s="208"/>
      <c r="F147" s="208"/>
      <c r="G147" s="208"/>
      <c r="H147" s="208"/>
      <c r="I147" s="208"/>
      <c r="J147" s="208"/>
      <c r="K147" s="208"/>
      <c r="L147" s="208"/>
      <c r="M147" s="208"/>
      <c r="N147" s="208"/>
      <c r="O147" s="96"/>
      <c r="P147" s="96"/>
      <c r="Q147" s="96"/>
      <c r="R147" s="96"/>
      <c r="S147" s="96"/>
      <c r="T147" s="96"/>
      <c r="U147" s="96"/>
      <c r="V147" s="96"/>
      <c r="W147" s="96"/>
      <c r="X147" s="96"/>
      <c r="Y147" s="96"/>
      <c r="Z147" s="96"/>
      <c r="AA147" s="96"/>
      <c r="AB147" s="96"/>
      <c r="AC147" s="96"/>
      <c r="AD147" s="96"/>
      <c r="AE147" s="96"/>
      <c r="AF147" s="96"/>
    </row>
    <row r="148" spans="1:126" ht="11.25" customHeight="1" x14ac:dyDescent="0.2">
      <c r="A148" s="54"/>
      <c r="B148" s="210"/>
      <c r="C148" s="210"/>
      <c r="D148" s="208"/>
      <c r="E148" s="208"/>
      <c r="F148" s="208"/>
      <c r="G148" s="208"/>
      <c r="H148" s="208"/>
      <c r="I148" s="208"/>
      <c r="J148" s="208"/>
      <c r="K148" s="208"/>
      <c r="L148" s="208"/>
      <c r="M148" s="208"/>
      <c r="N148" s="208"/>
      <c r="O148" s="96"/>
      <c r="P148" s="96"/>
      <c r="Q148" s="96"/>
      <c r="R148" s="96"/>
      <c r="S148" s="96"/>
      <c r="T148" s="96"/>
      <c r="U148" s="96"/>
      <c r="V148" s="96"/>
      <c r="W148" s="96"/>
      <c r="X148" s="96"/>
      <c r="Y148" s="96"/>
      <c r="Z148" s="96"/>
      <c r="AA148" s="96"/>
      <c r="AB148" s="96"/>
      <c r="AC148" s="96"/>
      <c r="AD148" s="96"/>
      <c r="AE148" s="96"/>
      <c r="AF148" s="96"/>
    </row>
    <row r="149" spans="1:126" ht="12.75" x14ac:dyDescent="0.2">
      <c r="A149" s="54"/>
      <c r="B149" s="54"/>
      <c r="C149" s="287" t="s">
        <v>958</v>
      </c>
      <c r="D149" s="288"/>
      <c r="E149" s="288"/>
      <c r="F149" s="288"/>
      <c r="G149" s="288"/>
      <c r="H149" s="288"/>
      <c r="I149" s="288"/>
      <c r="J149" s="288"/>
      <c r="K149" s="288"/>
      <c r="L149" s="288"/>
      <c r="M149" s="288"/>
      <c r="N149" s="288"/>
      <c r="O149" s="288"/>
      <c r="P149" s="288"/>
      <c r="Q149" s="288"/>
      <c r="R149" s="288"/>
      <c r="S149" s="288"/>
      <c r="T149" s="288"/>
      <c r="U149" s="288"/>
      <c r="V149" s="288"/>
      <c r="W149" s="288"/>
      <c r="X149" s="288"/>
      <c r="Y149" s="288"/>
      <c r="Z149" s="288"/>
      <c r="AA149" s="288"/>
      <c r="AB149" s="288"/>
      <c r="AC149" s="288"/>
      <c r="AD149" s="288"/>
      <c r="AE149" s="288"/>
      <c r="AF149" s="288"/>
      <c r="AG149" s="288"/>
      <c r="AH149" s="288"/>
      <c r="AI149" s="288"/>
      <c r="AJ149" s="288"/>
      <c r="AK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c r="CI149" s="55"/>
      <c r="CJ149" s="55"/>
      <c r="CK149" s="55"/>
      <c r="CL149" s="55"/>
      <c r="CM149" s="55"/>
      <c r="CN149" s="55"/>
      <c r="CO149" s="55"/>
      <c r="CP149" s="55"/>
      <c r="CQ149" s="55"/>
      <c r="DJ149" s="55"/>
      <c r="DK149" s="55"/>
      <c r="DL149" s="55"/>
      <c r="DM149" s="55"/>
      <c r="DN149" s="55"/>
      <c r="DO149" s="55"/>
      <c r="DP149" s="55"/>
      <c r="DQ149" s="55"/>
      <c r="DR149" s="55"/>
      <c r="DS149" s="55"/>
      <c r="DT149" s="55"/>
      <c r="DU149" s="55"/>
      <c r="DV149" s="55"/>
    </row>
    <row r="150" spans="1:126" ht="12.75" x14ac:dyDescent="0.2">
      <c r="A150" s="54"/>
      <c r="B150" s="54"/>
      <c r="C150" s="288"/>
      <c r="D150" s="288"/>
      <c r="E150" s="288"/>
      <c r="F150" s="288"/>
      <c r="G150" s="288"/>
      <c r="H150" s="288"/>
      <c r="I150" s="288"/>
      <c r="J150" s="288"/>
      <c r="K150" s="288"/>
      <c r="L150" s="288"/>
      <c r="M150" s="288"/>
      <c r="N150" s="288"/>
      <c r="O150" s="288"/>
      <c r="P150" s="288"/>
      <c r="Q150" s="288"/>
      <c r="R150" s="288"/>
      <c r="S150" s="288"/>
      <c r="T150" s="288"/>
      <c r="U150" s="288"/>
      <c r="V150" s="288"/>
      <c r="W150" s="288"/>
      <c r="X150" s="288"/>
      <c r="Y150" s="288"/>
      <c r="Z150" s="288"/>
      <c r="AA150" s="288"/>
      <c r="AB150" s="288"/>
      <c r="AC150" s="288"/>
      <c r="AD150" s="288"/>
      <c r="AE150" s="288"/>
      <c r="AF150" s="288"/>
      <c r="AG150" s="288"/>
      <c r="AH150" s="288"/>
      <c r="AI150" s="288"/>
      <c r="AJ150" s="288"/>
      <c r="AK150" s="55"/>
      <c r="AY150" s="55"/>
      <c r="AZ150" s="55"/>
      <c r="BA150" s="55"/>
      <c r="BB150" s="55"/>
      <c r="BC150" s="55"/>
      <c r="BD150" s="55"/>
      <c r="BE150" s="55"/>
      <c r="BF150" s="55"/>
      <c r="BG150" s="55"/>
      <c r="BH150" s="55"/>
      <c r="BI150" s="55"/>
      <c r="BJ150" s="55"/>
      <c r="BK150" s="55"/>
      <c r="BL150" s="55"/>
      <c r="BM150" s="55"/>
      <c r="BN150" s="55"/>
      <c r="BO150" s="55"/>
      <c r="BP150" s="55"/>
      <c r="BQ150" s="55"/>
      <c r="BR150" s="55"/>
      <c r="BS150" s="55"/>
      <c r="BT150" s="55"/>
      <c r="BU150" s="55"/>
      <c r="BV150" s="55"/>
      <c r="BW150" s="55"/>
      <c r="BX150" s="55"/>
      <c r="BY150" s="55"/>
      <c r="BZ150" s="55"/>
      <c r="CI150" s="55"/>
      <c r="CJ150" s="55"/>
      <c r="CK150" s="55"/>
      <c r="CL150" s="55"/>
      <c r="CM150" s="55"/>
      <c r="CN150" s="55"/>
      <c r="CO150" s="55"/>
      <c r="CP150" s="55"/>
      <c r="CQ150" s="55"/>
      <c r="DJ150" s="55"/>
      <c r="DK150" s="55"/>
      <c r="DL150" s="55"/>
      <c r="DM150" s="55"/>
      <c r="DN150" s="55"/>
      <c r="DO150" s="55"/>
      <c r="DP150" s="55"/>
      <c r="DQ150" s="55"/>
      <c r="DR150" s="55"/>
      <c r="DS150" s="55"/>
      <c r="DT150" s="55"/>
      <c r="DU150" s="55"/>
      <c r="DV150" s="55"/>
    </row>
    <row r="151" spans="1:126" ht="12.75" x14ac:dyDescent="0.2">
      <c r="A151" s="54"/>
      <c r="B151" s="54"/>
      <c r="C151" s="288"/>
      <c r="D151" s="288"/>
      <c r="E151" s="288"/>
      <c r="F151" s="288"/>
      <c r="G151" s="288"/>
      <c r="H151" s="288"/>
      <c r="I151" s="288"/>
      <c r="J151" s="288"/>
      <c r="K151" s="288"/>
      <c r="L151" s="288"/>
      <c r="M151" s="288"/>
      <c r="N151" s="288"/>
      <c r="O151" s="288"/>
      <c r="P151" s="288"/>
      <c r="Q151" s="288"/>
      <c r="R151" s="288"/>
      <c r="S151" s="288"/>
      <c r="T151" s="288"/>
      <c r="U151" s="288"/>
      <c r="V151" s="288"/>
      <c r="W151" s="288"/>
      <c r="X151" s="288"/>
      <c r="Y151" s="288"/>
      <c r="Z151" s="288"/>
      <c r="AA151" s="288"/>
      <c r="AB151" s="288"/>
      <c r="AC151" s="288"/>
      <c r="AD151" s="288"/>
      <c r="AE151" s="288"/>
      <c r="AF151" s="288"/>
      <c r="AG151" s="288"/>
      <c r="AH151" s="288"/>
      <c r="AI151" s="288"/>
      <c r="AJ151" s="288"/>
      <c r="AK151" s="55"/>
      <c r="AY151" s="55"/>
      <c r="AZ151" s="55"/>
      <c r="BA151" s="55"/>
      <c r="BB151" s="55"/>
      <c r="BC151" s="55"/>
      <c r="BD151" s="55"/>
      <c r="BE151" s="55"/>
      <c r="BF151" s="55"/>
      <c r="BG151" s="55"/>
      <c r="BH151" s="55"/>
      <c r="BI151" s="55"/>
      <c r="BJ151" s="55"/>
      <c r="BK151" s="55"/>
      <c r="BL151" s="55"/>
      <c r="BM151" s="55"/>
      <c r="BN151" s="55"/>
      <c r="BO151" s="55"/>
      <c r="BP151" s="55"/>
      <c r="BQ151" s="55"/>
      <c r="BR151" s="55"/>
      <c r="BS151" s="55"/>
      <c r="BT151" s="55"/>
      <c r="BU151" s="55"/>
      <c r="BV151" s="55"/>
      <c r="BW151" s="55"/>
      <c r="BX151" s="55"/>
      <c r="BY151" s="55"/>
      <c r="BZ151" s="55"/>
      <c r="CI151" s="55"/>
      <c r="CJ151" s="55"/>
      <c r="CK151" s="55"/>
      <c r="CL151" s="55"/>
      <c r="CM151" s="55"/>
      <c r="CN151" s="55"/>
      <c r="CO151" s="55"/>
      <c r="CP151" s="55"/>
      <c r="CQ151" s="55"/>
      <c r="DJ151" s="55"/>
      <c r="DK151" s="55"/>
      <c r="DL151" s="55"/>
      <c r="DM151" s="55"/>
      <c r="DN151" s="55"/>
      <c r="DO151" s="55"/>
      <c r="DP151" s="55"/>
      <c r="DQ151" s="55"/>
      <c r="DR151" s="55"/>
      <c r="DS151" s="55"/>
      <c r="DT151" s="55"/>
      <c r="DU151" s="55"/>
      <c r="DV151" s="55"/>
    </row>
    <row r="152" spans="1:126" ht="12.75" x14ac:dyDescent="0.2">
      <c r="A152" s="54"/>
      <c r="B152" s="54"/>
      <c r="C152" s="288"/>
      <c r="D152" s="288"/>
      <c r="E152" s="288"/>
      <c r="F152" s="288"/>
      <c r="G152" s="288"/>
      <c r="H152" s="288"/>
      <c r="I152" s="288"/>
      <c r="J152" s="288"/>
      <c r="K152" s="288"/>
      <c r="L152" s="288"/>
      <c r="M152" s="288"/>
      <c r="N152" s="288"/>
      <c r="O152" s="288"/>
      <c r="P152" s="288"/>
      <c r="Q152" s="288"/>
      <c r="R152" s="288"/>
      <c r="S152" s="288"/>
      <c r="T152" s="288"/>
      <c r="U152" s="288"/>
      <c r="V152" s="288"/>
      <c r="W152" s="288"/>
      <c r="X152" s="288"/>
      <c r="Y152" s="288"/>
      <c r="Z152" s="288"/>
      <c r="AA152" s="288"/>
      <c r="AB152" s="288"/>
      <c r="AC152" s="288"/>
      <c r="AD152" s="288"/>
      <c r="AE152" s="288"/>
      <c r="AF152" s="288"/>
      <c r="AG152" s="288"/>
      <c r="AH152" s="288"/>
      <c r="AI152" s="288"/>
      <c r="AJ152" s="288"/>
      <c r="AK152" s="55"/>
      <c r="AY152" s="55"/>
      <c r="AZ152" s="55"/>
      <c r="BA152" s="55"/>
      <c r="BB152" s="55"/>
      <c r="BC152" s="55"/>
      <c r="BD152" s="55"/>
      <c r="BE152" s="55"/>
      <c r="BF152" s="55"/>
      <c r="BG152" s="55"/>
      <c r="BH152" s="55"/>
      <c r="BI152" s="55"/>
      <c r="BJ152" s="55"/>
      <c r="BK152" s="55"/>
      <c r="BL152" s="55"/>
      <c r="BM152" s="55"/>
      <c r="BN152" s="55"/>
      <c r="BO152" s="55"/>
      <c r="BP152" s="55"/>
      <c r="BQ152" s="55"/>
      <c r="BR152" s="55"/>
      <c r="BS152" s="55"/>
      <c r="BT152" s="55"/>
      <c r="BU152" s="55"/>
      <c r="BV152" s="55"/>
      <c r="BW152" s="55"/>
      <c r="BX152" s="55"/>
      <c r="BY152" s="55"/>
      <c r="BZ152" s="55"/>
      <c r="CI152" s="55"/>
      <c r="CJ152" s="55"/>
      <c r="CK152" s="55"/>
      <c r="CL152" s="55"/>
      <c r="CM152" s="55"/>
      <c r="CN152" s="55"/>
      <c r="CO152" s="55"/>
      <c r="CP152" s="55"/>
      <c r="CQ152" s="55"/>
      <c r="DJ152" s="55"/>
      <c r="DK152" s="55"/>
      <c r="DL152" s="55"/>
      <c r="DM152" s="55"/>
      <c r="DN152" s="55"/>
      <c r="DO152" s="55"/>
      <c r="DP152" s="55"/>
      <c r="DQ152" s="55"/>
      <c r="DR152" s="55"/>
      <c r="DS152" s="55"/>
      <c r="DT152" s="55"/>
      <c r="DU152" s="55"/>
      <c r="DV152" s="55"/>
    </row>
    <row r="153" spans="1:126" ht="12.75" x14ac:dyDescent="0.2">
      <c r="A153" s="54"/>
      <c r="B153" s="54"/>
      <c r="C153" s="288"/>
      <c r="D153" s="288"/>
      <c r="E153" s="288"/>
      <c r="F153" s="288"/>
      <c r="G153" s="288"/>
      <c r="H153" s="288"/>
      <c r="I153" s="288"/>
      <c r="J153" s="288"/>
      <c r="K153" s="288"/>
      <c r="L153" s="288"/>
      <c r="M153" s="288"/>
      <c r="N153" s="288"/>
      <c r="O153" s="288"/>
      <c r="P153" s="288"/>
      <c r="Q153" s="288"/>
      <c r="R153" s="288"/>
      <c r="S153" s="288"/>
      <c r="T153" s="288"/>
      <c r="U153" s="288"/>
      <c r="V153" s="288"/>
      <c r="W153" s="288"/>
      <c r="X153" s="288"/>
      <c r="Y153" s="288"/>
      <c r="Z153" s="288"/>
      <c r="AA153" s="288"/>
      <c r="AB153" s="288"/>
      <c r="AC153" s="288"/>
      <c r="AD153" s="288"/>
      <c r="AE153" s="288"/>
      <c r="AF153" s="288"/>
      <c r="AG153" s="288"/>
      <c r="AH153" s="288"/>
      <c r="AI153" s="288"/>
      <c r="AJ153" s="288"/>
      <c r="AK153" s="55"/>
      <c r="AY153" s="55"/>
      <c r="AZ153" s="55"/>
      <c r="BA153" s="55"/>
      <c r="BB153" s="55"/>
      <c r="BC153" s="55"/>
      <c r="BD153" s="55"/>
      <c r="BE153" s="55"/>
      <c r="BF153" s="55"/>
      <c r="BG153" s="55"/>
      <c r="BH153" s="55"/>
      <c r="BI153" s="55"/>
      <c r="BJ153" s="55"/>
      <c r="BK153" s="55"/>
      <c r="BL153" s="55"/>
      <c r="BM153" s="55"/>
      <c r="BN153" s="55"/>
      <c r="BO153" s="55"/>
      <c r="BP153" s="55"/>
      <c r="BQ153" s="55"/>
      <c r="BR153" s="55"/>
      <c r="BS153" s="55"/>
      <c r="BT153" s="55"/>
      <c r="BU153" s="55"/>
      <c r="BV153" s="55"/>
      <c r="BW153" s="55"/>
      <c r="BX153" s="55"/>
      <c r="BY153" s="55"/>
      <c r="BZ153" s="55"/>
      <c r="CI153" s="55"/>
      <c r="CJ153" s="55"/>
      <c r="CK153" s="55"/>
      <c r="CL153" s="55"/>
      <c r="CM153" s="55"/>
      <c r="CN153" s="55"/>
      <c r="CO153" s="55"/>
      <c r="CP153" s="55"/>
      <c r="CQ153" s="55"/>
      <c r="DJ153" s="55"/>
      <c r="DK153" s="55"/>
      <c r="DL153" s="55"/>
      <c r="DM153" s="55"/>
      <c r="DN153" s="55"/>
      <c r="DO153" s="55"/>
      <c r="DP153" s="55"/>
      <c r="DQ153" s="55"/>
      <c r="DR153" s="55"/>
      <c r="DS153" s="55"/>
      <c r="DT153" s="55"/>
      <c r="DU153" s="55"/>
      <c r="DV153" s="55"/>
    </row>
    <row r="154" spans="1:126" ht="12.75" x14ac:dyDescent="0.2">
      <c r="A154" s="54"/>
      <c r="B154" s="54"/>
      <c r="C154" s="288"/>
      <c r="D154" s="288"/>
      <c r="E154" s="288"/>
      <c r="F154" s="288"/>
      <c r="G154" s="288"/>
      <c r="H154" s="288"/>
      <c r="I154" s="288"/>
      <c r="J154" s="288"/>
      <c r="K154" s="288"/>
      <c r="L154" s="288"/>
      <c r="M154" s="288"/>
      <c r="N154" s="288"/>
      <c r="O154" s="288"/>
      <c r="P154" s="288"/>
      <c r="Q154" s="288"/>
      <c r="R154" s="288"/>
      <c r="S154" s="288"/>
      <c r="T154" s="288"/>
      <c r="U154" s="288"/>
      <c r="V154" s="288"/>
      <c r="W154" s="288"/>
      <c r="X154" s="288"/>
      <c r="Y154" s="288"/>
      <c r="Z154" s="288"/>
      <c r="AA154" s="288"/>
      <c r="AB154" s="288"/>
      <c r="AC154" s="288"/>
      <c r="AD154" s="288"/>
      <c r="AE154" s="288"/>
      <c r="AF154" s="288"/>
      <c r="AG154" s="288"/>
      <c r="AH154" s="288"/>
      <c r="AI154" s="288"/>
      <c r="AJ154" s="288"/>
      <c r="AK154" s="55"/>
      <c r="AY154" s="55"/>
      <c r="AZ154" s="55"/>
      <c r="BA154" s="55"/>
      <c r="BB154" s="55"/>
      <c r="BC154" s="55"/>
      <c r="BD154" s="55"/>
      <c r="BE154" s="55"/>
      <c r="BF154" s="55"/>
      <c r="BG154" s="55"/>
      <c r="BH154" s="55"/>
      <c r="BI154" s="55"/>
      <c r="BJ154" s="55"/>
      <c r="BK154" s="55"/>
      <c r="BL154" s="55"/>
      <c r="BM154" s="55"/>
      <c r="BN154" s="55"/>
      <c r="BO154" s="55"/>
      <c r="BP154" s="55"/>
      <c r="BQ154" s="55"/>
      <c r="BR154" s="55"/>
      <c r="BS154" s="55"/>
      <c r="BT154" s="55"/>
      <c r="BU154" s="55"/>
      <c r="BV154" s="55"/>
      <c r="BW154" s="55"/>
      <c r="BX154" s="55"/>
      <c r="BY154" s="55"/>
      <c r="BZ154" s="55"/>
      <c r="CI154" s="55"/>
      <c r="CJ154" s="55"/>
      <c r="CK154" s="55"/>
      <c r="CL154" s="55"/>
      <c r="CM154" s="55"/>
      <c r="CN154" s="55"/>
      <c r="CO154" s="55"/>
      <c r="CP154" s="55"/>
      <c r="CQ154" s="55"/>
      <c r="DJ154" s="55"/>
      <c r="DK154" s="55"/>
      <c r="DL154" s="55"/>
      <c r="DM154" s="55"/>
      <c r="DN154" s="55"/>
      <c r="DO154" s="55"/>
      <c r="DP154" s="55"/>
      <c r="DQ154" s="55"/>
      <c r="DR154" s="55"/>
      <c r="DS154" s="55"/>
      <c r="DT154" s="55"/>
      <c r="DU154" s="55"/>
      <c r="DV154" s="55"/>
    </row>
    <row r="155" spans="1:126" ht="12.75" x14ac:dyDescent="0.2">
      <c r="A155" s="54"/>
      <c r="B155" s="54"/>
      <c r="C155" s="288"/>
      <c r="D155" s="288"/>
      <c r="E155" s="288"/>
      <c r="F155" s="288"/>
      <c r="G155" s="288"/>
      <c r="H155" s="288"/>
      <c r="I155" s="288"/>
      <c r="J155" s="288"/>
      <c r="K155" s="288"/>
      <c r="L155" s="288"/>
      <c r="M155" s="288"/>
      <c r="N155" s="288"/>
      <c r="O155" s="288"/>
      <c r="P155" s="288"/>
      <c r="Q155" s="288"/>
      <c r="R155" s="288"/>
      <c r="S155" s="288"/>
      <c r="T155" s="288"/>
      <c r="U155" s="288"/>
      <c r="V155" s="288"/>
      <c r="W155" s="288"/>
      <c r="X155" s="288"/>
      <c r="Y155" s="288"/>
      <c r="Z155" s="288"/>
      <c r="AA155" s="288"/>
      <c r="AB155" s="288"/>
      <c r="AC155" s="288"/>
      <c r="AD155" s="288"/>
      <c r="AE155" s="288"/>
      <c r="AF155" s="288"/>
      <c r="AG155" s="288"/>
      <c r="AH155" s="288"/>
      <c r="AI155" s="288"/>
      <c r="AJ155" s="288"/>
      <c r="AK155" s="179"/>
      <c r="AY155" s="55"/>
      <c r="AZ155" s="55"/>
      <c r="BA155" s="55"/>
      <c r="BB155" s="55"/>
      <c r="BC155" s="55"/>
      <c r="BD155" s="55"/>
      <c r="BE155" s="55"/>
      <c r="BF155" s="55"/>
      <c r="BG155" s="55"/>
      <c r="BH155" s="55"/>
      <c r="BI155" s="55"/>
      <c r="BJ155" s="55"/>
      <c r="BK155" s="55"/>
      <c r="BL155" s="55"/>
      <c r="BM155" s="55"/>
      <c r="BN155" s="55"/>
      <c r="BO155" s="55"/>
      <c r="BP155" s="55"/>
      <c r="BQ155" s="55"/>
      <c r="BR155" s="55"/>
      <c r="BS155" s="55"/>
      <c r="BT155" s="55"/>
      <c r="BU155" s="55"/>
      <c r="BV155" s="55"/>
      <c r="BW155" s="55"/>
      <c r="BX155" s="55"/>
      <c r="BY155" s="55"/>
      <c r="BZ155" s="55"/>
      <c r="CI155" s="55"/>
      <c r="CJ155" s="55"/>
      <c r="CK155" s="55"/>
      <c r="CL155" s="55"/>
      <c r="CM155" s="55"/>
      <c r="CN155" s="55"/>
      <c r="CO155" s="55"/>
      <c r="CP155" s="55"/>
      <c r="CQ155" s="55"/>
      <c r="DJ155" s="55"/>
      <c r="DK155" s="55"/>
      <c r="DL155" s="55"/>
      <c r="DM155" s="55"/>
      <c r="DN155" s="55"/>
      <c r="DO155" s="55"/>
      <c r="DP155" s="55"/>
      <c r="DQ155" s="55"/>
      <c r="DR155" s="55"/>
      <c r="DS155" s="55"/>
      <c r="DT155" s="55"/>
      <c r="DU155" s="55"/>
      <c r="DV155" s="55"/>
    </row>
    <row r="156" spans="1:126" ht="12.75" x14ac:dyDescent="0.2">
      <c r="A156" s="54"/>
      <c r="B156" s="54"/>
      <c r="C156" s="207"/>
      <c r="D156" s="207"/>
      <c r="E156" s="207"/>
      <c r="F156" s="207"/>
      <c r="G156" s="207"/>
      <c r="H156" s="207"/>
      <c r="I156" s="207"/>
      <c r="J156" s="207"/>
      <c r="K156" s="207"/>
      <c r="L156" s="207"/>
      <c r="M156" s="207"/>
      <c r="N156" s="207"/>
      <c r="O156" s="207"/>
      <c r="P156" s="207"/>
      <c r="Q156" s="207"/>
      <c r="R156" s="207"/>
      <c r="S156" s="207"/>
      <c r="T156" s="207"/>
      <c r="U156" s="207"/>
      <c r="V156" s="207"/>
      <c r="W156" s="207"/>
      <c r="X156" s="207"/>
      <c r="Y156" s="207"/>
      <c r="Z156" s="207"/>
      <c r="AA156" s="207"/>
      <c r="AB156" s="207"/>
      <c r="AC156" s="207"/>
      <c r="AD156" s="207"/>
      <c r="AE156" s="207"/>
      <c r="AF156" s="207"/>
      <c r="AG156" s="207"/>
      <c r="AH156" s="207"/>
      <c r="AI156" s="207"/>
      <c r="AJ156" s="207"/>
      <c r="AK156" s="207"/>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c r="BW156" s="55"/>
      <c r="BX156" s="55"/>
      <c r="BY156" s="55"/>
      <c r="BZ156" s="55"/>
      <c r="CI156" s="55"/>
      <c r="CJ156" s="55"/>
      <c r="CK156" s="55"/>
      <c r="CL156" s="55"/>
      <c r="CM156" s="55"/>
      <c r="CN156" s="55"/>
      <c r="CO156" s="55"/>
      <c r="CP156" s="55"/>
      <c r="CQ156" s="55"/>
      <c r="DJ156" s="55"/>
      <c r="DK156" s="55"/>
      <c r="DL156" s="55"/>
      <c r="DM156" s="55"/>
      <c r="DN156" s="55"/>
      <c r="DO156" s="55"/>
      <c r="DP156" s="55"/>
      <c r="DQ156" s="55"/>
      <c r="DR156" s="55"/>
      <c r="DS156" s="55"/>
      <c r="DT156" s="55"/>
      <c r="DU156" s="55"/>
      <c r="DV156" s="55"/>
    </row>
    <row r="157" spans="1:126" ht="12.75" x14ac:dyDescent="0.2">
      <c r="A157" s="54"/>
      <c r="B157" s="54"/>
      <c r="C157" s="171"/>
      <c r="D157" s="171"/>
      <c r="E157" s="171"/>
      <c r="F157" s="171"/>
      <c r="G157" s="171"/>
      <c r="H157" s="171"/>
      <c r="I157" s="171"/>
      <c r="J157" s="171"/>
      <c r="K157" s="171"/>
      <c r="L157" s="171"/>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9"/>
      <c r="AY157" s="55"/>
      <c r="AZ157" s="55"/>
      <c r="BA157" s="55"/>
      <c r="BB157" s="55"/>
      <c r="BC157" s="55"/>
      <c r="BD157" s="55"/>
      <c r="BE157" s="55"/>
      <c r="BF157" s="55"/>
      <c r="BG157" s="55"/>
      <c r="BH157" s="55"/>
      <c r="BI157" s="55"/>
      <c r="BJ157" s="55"/>
      <c r="BK157" s="55"/>
      <c r="BL157" s="55"/>
      <c r="BM157" s="55"/>
      <c r="BN157" s="55"/>
      <c r="BO157" s="55"/>
      <c r="BP157" s="55"/>
      <c r="BQ157" s="55"/>
      <c r="BR157" s="55"/>
      <c r="BS157" s="55"/>
      <c r="BT157" s="55"/>
      <c r="BU157" s="55"/>
      <c r="BV157" s="55"/>
      <c r="BW157" s="55"/>
      <c r="BX157" s="55"/>
      <c r="BY157" s="55"/>
      <c r="BZ157" s="55"/>
      <c r="CI157" s="55"/>
      <c r="CJ157" s="55"/>
      <c r="CK157" s="55"/>
      <c r="CL157" s="55"/>
      <c r="CM157" s="55"/>
      <c r="CN157" s="55"/>
      <c r="CO157" s="55"/>
      <c r="CP157" s="55"/>
      <c r="CQ157" s="55"/>
      <c r="DJ157" s="55"/>
      <c r="DK157" s="55"/>
      <c r="DL157" s="55"/>
      <c r="DM157" s="55"/>
      <c r="DN157" s="55"/>
      <c r="DO157" s="55"/>
      <c r="DP157" s="55"/>
      <c r="DQ157" s="55"/>
      <c r="DR157" s="55"/>
      <c r="DS157" s="55"/>
      <c r="DT157" s="55"/>
      <c r="DU157" s="55"/>
      <c r="DV157" s="55"/>
    </row>
    <row r="158" spans="1:126" ht="15" x14ac:dyDescent="0.2">
      <c r="A158" s="54"/>
      <c r="B158" s="248" t="s">
        <v>992</v>
      </c>
      <c r="C158" s="248"/>
      <c r="D158" s="248"/>
      <c r="E158" s="248"/>
      <c r="F158" s="248"/>
      <c r="G158" s="248"/>
      <c r="H158" s="248"/>
      <c r="I158" s="248"/>
      <c r="J158" s="248"/>
      <c r="K158" s="248"/>
      <c r="L158" s="248"/>
      <c r="M158" s="248"/>
      <c r="N158" s="248"/>
      <c r="O158" s="248"/>
      <c r="P158" s="248"/>
      <c r="Q158" s="248"/>
      <c r="R158" s="248"/>
      <c r="S158" s="248"/>
      <c r="T158" s="248"/>
      <c r="U158" s="248"/>
      <c r="V158" s="248"/>
      <c r="W158" s="248"/>
      <c r="X158" s="248"/>
      <c r="Y158" s="248"/>
      <c r="Z158" s="248"/>
      <c r="AA158" s="248"/>
      <c r="AB158" s="248"/>
      <c r="AC158" s="248"/>
      <c r="AD158" s="248"/>
      <c r="AE158" s="248"/>
      <c r="AF158" s="248"/>
      <c r="AG158" s="248"/>
      <c r="AH158" s="248"/>
      <c r="AI158" s="248"/>
      <c r="AJ158" s="248"/>
      <c r="AK158" s="176"/>
      <c r="BC158" s="62"/>
      <c r="BD158" s="62"/>
      <c r="BF158" s="62"/>
      <c r="BG158" s="62"/>
      <c r="BH158" s="62"/>
      <c r="BI158" s="62"/>
      <c r="BJ158" s="62"/>
      <c r="BK158" s="62"/>
      <c r="BL158" s="62"/>
      <c r="BM158" s="62"/>
      <c r="BN158" s="62"/>
      <c r="BO158" s="62"/>
      <c r="BP158" s="62"/>
      <c r="BR158" s="62"/>
      <c r="BS158" s="62"/>
      <c r="BT158" s="62"/>
      <c r="BU158" s="62"/>
      <c r="BV158" s="62"/>
      <c r="BW158" s="62"/>
      <c r="BX158" s="62"/>
      <c r="BY158" s="62"/>
      <c r="BZ158" s="62"/>
      <c r="CK158" s="62"/>
      <c r="CL158" s="62"/>
      <c r="CM158" s="62"/>
      <c r="CN158" s="62"/>
      <c r="CO158" s="62"/>
      <c r="CP158" s="62"/>
      <c r="CQ158" s="62"/>
      <c r="DP158" s="62"/>
      <c r="DQ158" s="62"/>
      <c r="DR158" s="62"/>
      <c r="DS158" s="62"/>
      <c r="DT158" s="62"/>
      <c r="DU158" s="62"/>
      <c r="DV158" s="62"/>
    </row>
    <row r="159" spans="1:126" x14ac:dyDescent="0.2">
      <c r="A159" s="54"/>
      <c r="B159" s="54"/>
      <c r="C159" s="54"/>
      <c r="D159" s="54"/>
      <c r="E159" s="54"/>
      <c r="F159" s="54"/>
      <c r="G159" s="54"/>
      <c r="H159" s="54"/>
      <c r="I159" s="54"/>
      <c r="J159" s="54"/>
      <c r="K159" s="54"/>
      <c r="L159" s="54"/>
      <c r="M159" s="54"/>
      <c r="N159" s="54"/>
      <c r="O159" s="54"/>
      <c r="P159" s="54"/>
      <c r="Q159" s="54"/>
      <c r="R159" s="54"/>
      <c r="S159" s="54"/>
      <c r="T159" s="54"/>
      <c r="U159" s="54"/>
      <c r="V159" s="54"/>
      <c r="W159" s="54"/>
      <c r="X159" s="54"/>
      <c r="Y159" s="54"/>
      <c r="Z159" s="54"/>
      <c r="AY159" s="62"/>
      <c r="AZ159" s="62"/>
      <c r="BA159" s="62"/>
      <c r="BC159" s="62"/>
      <c r="BD159" s="62"/>
      <c r="BF159" s="62"/>
      <c r="BG159" s="62"/>
      <c r="BH159" s="62"/>
      <c r="BI159" s="62"/>
      <c r="BJ159" s="62"/>
      <c r="BK159" s="62"/>
      <c r="BL159" s="62"/>
      <c r="BM159" s="62"/>
      <c r="BN159" s="62"/>
      <c r="BO159" s="62"/>
      <c r="BP159" s="62"/>
      <c r="BR159" s="62"/>
      <c r="BS159" s="62"/>
      <c r="BT159" s="62"/>
      <c r="BU159" s="62"/>
      <c r="BV159" s="62"/>
      <c r="BW159" s="62"/>
      <c r="BX159" s="62"/>
      <c r="BY159" s="62"/>
      <c r="BZ159" s="62"/>
      <c r="CI159" s="62"/>
      <c r="CK159" s="62"/>
      <c r="CL159" s="62"/>
      <c r="CM159" s="62"/>
      <c r="CN159" s="62"/>
      <c r="CO159" s="62"/>
      <c r="CP159" s="62"/>
      <c r="CQ159" s="62"/>
      <c r="DJ159" s="62"/>
      <c r="DK159" s="62"/>
      <c r="DL159" s="62"/>
      <c r="DP159" s="62"/>
      <c r="DQ159" s="62"/>
      <c r="DR159" s="62"/>
      <c r="DS159" s="62"/>
      <c r="DT159" s="62"/>
      <c r="DU159" s="62"/>
      <c r="DV159" s="62"/>
    </row>
    <row r="160" spans="1:126" x14ac:dyDescent="0.2">
      <c r="A160" s="54"/>
      <c r="B160" s="54"/>
      <c r="C160" s="324" t="s">
        <v>933</v>
      </c>
      <c r="D160" s="333"/>
      <c r="E160" s="333"/>
      <c r="F160" s="333"/>
      <c r="G160" s="333"/>
      <c r="H160" s="333"/>
      <c r="I160" s="333"/>
      <c r="J160" s="333"/>
      <c r="K160" s="333"/>
      <c r="L160" s="333"/>
      <c r="M160" s="333"/>
      <c r="N160" s="333"/>
      <c r="O160" s="333"/>
      <c r="P160" s="333"/>
      <c r="Q160" s="333"/>
      <c r="R160" s="333"/>
      <c r="S160" s="333"/>
      <c r="T160" s="333"/>
      <c r="U160" s="333"/>
      <c r="V160" s="333"/>
      <c r="W160" s="333"/>
      <c r="X160" s="333"/>
      <c r="Y160" s="333"/>
      <c r="Z160" s="333"/>
      <c r="AA160" s="333"/>
      <c r="AB160" s="333"/>
      <c r="AC160" s="333"/>
      <c r="AD160" s="333"/>
      <c r="AE160" s="333"/>
      <c r="AF160" s="333"/>
      <c r="AG160" s="333"/>
      <c r="AH160" s="333"/>
      <c r="AI160" s="333"/>
      <c r="AJ160" s="333"/>
      <c r="AK160" s="175"/>
      <c r="AY160" s="62"/>
      <c r="AZ160" s="62"/>
      <c r="BA160" s="62"/>
      <c r="CI160" s="62"/>
      <c r="DJ160" s="62"/>
      <c r="DK160" s="62"/>
      <c r="DL160" s="62"/>
    </row>
    <row r="161" spans="1:126" x14ac:dyDescent="0.2">
      <c r="A161" s="56"/>
      <c r="B161" s="54"/>
      <c r="C161" s="54"/>
      <c r="D161" s="54"/>
      <c r="F161" s="54"/>
      <c r="G161" s="54"/>
      <c r="H161" s="54"/>
      <c r="I161" s="54"/>
      <c r="J161" s="54"/>
      <c r="K161" s="54"/>
      <c r="L161" s="54"/>
      <c r="M161" s="54"/>
      <c r="N161" s="54"/>
      <c r="O161" s="54"/>
      <c r="P161" s="54"/>
      <c r="Q161" s="54"/>
      <c r="R161" s="54"/>
      <c r="S161" s="54"/>
      <c r="T161" s="54"/>
      <c r="U161" s="54"/>
      <c r="V161" s="54"/>
      <c r="W161" s="54"/>
      <c r="X161" s="54"/>
      <c r="Y161" s="54"/>
      <c r="Z161" s="54"/>
      <c r="AY161" s="63"/>
      <c r="AZ161" s="63"/>
      <c r="BA161" s="63"/>
      <c r="CI161" s="63"/>
      <c r="DJ161" s="63"/>
      <c r="DK161" s="63"/>
      <c r="DL161" s="63"/>
    </row>
    <row r="162" spans="1:126" x14ac:dyDescent="0.2">
      <c r="A162" s="54"/>
      <c r="B162" s="54"/>
      <c r="C162" s="54"/>
      <c r="D162" s="324" t="s">
        <v>941</v>
      </c>
      <c r="E162" s="333"/>
      <c r="F162" s="333"/>
      <c r="G162" s="333"/>
      <c r="H162" s="333"/>
      <c r="I162" s="333"/>
      <c r="J162" s="333"/>
      <c r="K162" s="333"/>
      <c r="L162" s="333"/>
      <c r="M162" s="333"/>
      <c r="N162" s="333"/>
      <c r="O162" s="333"/>
      <c r="P162" s="333"/>
      <c r="Q162" s="333"/>
      <c r="R162" s="333"/>
      <c r="S162" s="333"/>
      <c r="T162" s="333"/>
      <c r="U162" s="333"/>
      <c r="V162" s="333"/>
      <c r="W162" s="333"/>
      <c r="X162" s="333"/>
      <c r="Y162" s="333"/>
      <c r="Z162" s="333"/>
      <c r="AA162" s="333"/>
      <c r="AB162" s="333"/>
      <c r="AC162" s="333"/>
      <c r="AD162" s="333"/>
      <c r="AE162" s="333"/>
      <c r="AF162" s="333"/>
      <c r="AG162" s="333"/>
      <c r="AH162" s="333"/>
      <c r="AI162" s="333"/>
      <c r="AJ162" s="333"/>
      <c r="AK162" s="175"/>
      <c r="AY162" s="62"/>
      <c r="AZ162" s="62"/>
      <c r="BA162" s="62"/>
      <c r="BB162" s="63"/>
      <c r="BE162" s="63"/>
      <c r="BQ162" s="63"/>
      <c r="CI162" s="62"/>
      <c r="CJ162" s="63"/>
      <c r="DJ162" s="62"/>
      <c r="DK162" s="62"/>
      <c r="DL162" s="62"/>
      <c r="DM162" s="63"/>
      <c r="DN162" s="63"/>
      <c r="DO162" s="63"/>
    </row>
    <row r="163" spans="1:126" ht="7.5" customHeight="1" x14ac:dyDescent="0.2">
      <c r="A163" s="54"/>
      <c r="B163" s="54"/>
      <c r="C163" s="54"/>
      <c r="D163" s="164"/>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91"/>
      <c r="AK163" s="182"/>
      <c r="AY163" s="62"/>
      <c r="AZ163" s="62"/>
      <c r="BA163" s="62"/>
      <c r="BC163" s="62"/>
      <c r="BD163" s="62"/>
      <c r="BF163" s="62"/>
      <c r="BG163" s="62"/>
      <c r="BH163" s="62"/>
      <c r="BI163" s="62"/>
      <c r="BJ163" s="62"/>
      <c r="BK163" s="62"/>
      <c r="BL163" s="62"/>
      <c r="BM163" s="62"/>
      <c r="BN163" s="62"/>
      <c r="BO163" s="62"/>
      <c r="BP163" s="62"/>
      <c r="BR163" s="62"/>
      <c r="BS163" s="62"/>
      <c r="BT163" s="62"/>
      <c r="BU163" s="62"/>
      <c r="BV163" s="62"/>
      <c r="BW163" s="62"/>
      <c r="BX163" s="62"/>
      <c r="BY163" s="62"/>
      <c r="BZ163" s="62"/>
      <c r="CI163" s="62"/>
      <c r="CK163" s="62"/>
      <c r="CL163" s="62"/>
      <c r="CM163" s="62"/>
      <c r="CN163" s="62"/>
      <c r="CO163" s="62"/>
      <c r="CP163" s="62"/>
      <c r="CQ163" s="62"/>
      <c r="DJ163" s="62"/>
      <c r="DK163" s="62"/>
      <c r="DL163" s="62"/>
      <c r="DP163" s="62"/>
      <c r="DQ163" s="62"/>
      <c r="DR163" s="62"/>
      <c r="DS163" s="62"/>
      <c r="DT163" s="62"/>
      <c r="DU163" s="62"/>
      <c r="DV163" s="62"/>
    </row>
    <row r="164" spans="1:126" ht="14.25" customHeight="1" x14ac:dyDescent="0.2">
      <c r="A164" s="54"/>
      <c r="B164" s="481" t="s">
        <v>272</v>
      </c>
      <c r="C164" s="481"/>
      <c r="D164" s="481"/>
      <c r="E164" s="481"/>
      <c r="F164" s="481"/>
      <c r="G164" s="481"/>
      <c r="H164" s="481"/>
      <c r="I164" s="481"/>
      <c r="J164" s="481"/>
      <c r="K164" s="481"/>
      <c r="L164" s="473" t="s">
        <v>543</v>
      </c>
      <c r="M164" s="473"/>
      <c r="N164" s="473"/>
      <c r="O164" s="473"/>
      <c r="P164" s="473"/>
      <c r="Q164" s="473"/>
      <c r="R164" s="473"/>
      <c r="S164" s="473"/>
      <c r="T164" s="473"/>
      <c r="U164" s="473"/>
      <c r="V164" s="473"/>
      <c r="W164" s="473"/>
      <c r="X164" s="473" t="s">
        <v>544</v>
      </c>
      <c r="Y164" s="473"/>
      <c r="Z164" s="473"/>
      <c r="AA164" s="473"/>
      <c r="AB164" s="473"/>
      <c r="AC164" s="473"/>
      <c r="AD164" s="473"/>
      <c r="AE164" s="473"/>
      <c r="AF164" s="473"/>
      <c r="AG164" s="473"/>
      <c r="AH164" s="473"/>
      <c r="AI164" s="473"/>
      <c r="AY164" s="63"/>
      <c r="AZ164" s="63"/>
      <c r="BA164" s="63"/>
      <c r="BB164" s="63"/>
      <c r="BC164" s="55"/>
      <c r="BD164" s="55"/>
      <c r="BE164" s="63"/>
      <c r="BF164" s="63"/>
      <c r="BG164" s="63"/>
      <c r="BH164" s="55"/>
      <c r="BI164" s="55"/>
      <c r="BJ164" s="55"/>
      <c r="BK164" s="55"/>
      <c r="BL164" s="55"/>
      <c r="BM164" s="55"/>
      <c r="BN164" s="55"/>
      <c r="BO164" s="55"/>
      <c r="BP164" s="55"/>
      <c r="BQ164" s="63"/>
      <c r="BR164" s="63"/>
      <c r="BS164" s="63"/>
      <c r="BT164" s="55"/>
      <c r="BU164" s="55"/>
      <c r="BV164" s="55"/>
      <c r="BW164" s="55"/>
      <c r="BX164" s="55"/>
      <c r="BY164" s="55"/>
      <c r="BZ164" s="55"/>
      <c r="CI164" s="63"/>
      <c r="CJ164" s="63"/>
      <c r="CK164" s="63"/>
      <c r="CL164" s="63"/>
      <c r="CM164" s="55"/>
      <c r="CN164" s="55"/>
      <c r="CO164" s="55"/>
      <c r="CP164" s="55"/>
      <c r="CQ164" s="55"/>
      <c r="DJ164" s="63"/>
      <c r="DK164" s="63"/>
      <c r="DL164" s="63"/>
      <c r="DM164" s="63"/>
      <c r="DN164" s="63"/>
      <c r="DO164" s="63"/>
      <c r="DP164" s="63"/>
      <c r="DQ164" s="63"/>
      <c r="DR164" s="55"/>
      <c r="DS164" s="55"/>
      <c r="DT164" s="55"/>
      <c r="DU164" s="55"/>
      <c r="DV164" s="55"/>
    </row>
    <row r="165" spans="1:126" ht="12.75" customHeight="1" thickBot="1" x14ac:dyDescent="0.25">
      <c r="A165" s="54"/>
      <c r="B165" s="482"/>
      <c r="C165" s="482"/>
      <c r="D165" s="482"/>
      <c r="E165" s="482"/>
      <c r="F165" s="482"/>
      <c r="G165" s="482"/>
      <c r="H165" s="482"/>
      <c r="I165" s="482"/>
      <c r="J165" s="482"/>
      <c r="K165" s="482"/>
      <c r="L165" s="429" t="s">
        <v>376</v>
      </c>
      <c r="M165" s="429"/>
      <c r="N165" s="429"/>
      <c r="O165" s="429"/>
      <c r="P165" s="483" t="s">
        <v>377</v>
      </c>
      <c r="Q165" s="483"/>
      <c r="R165" s="483"/>
      <c r="S165" s="483"/>
      <c r="T165" s="438" t="s">
        <v>378</v>
      </c>
      <c r="U165" s="438"/>
      <c r="V165" s="438"/>
      <c r="W165" s="438"/>
      <c r="X165" s="429" t="s">
        <v>376</v>
      </c>
      <c r="Y165" s="429"/>
      <c r="Z165" s="429"/>
      <c r="AA165" s="429"/>
      <c r="AB165" s="483" t="s">
        <v>377</v>
      </c>
      <c r="AC165" s="483"/>
      <c r="AD165" s="483"/>
      <c r="AE165" s="483"/>
      <c r="AF165" s="438" t="s">
        <v>378</v>
      </c>
      <c r="AG165" s="438"/>
      <c r="AH165" s="438"/>
      <c r="AI165" s="438"/>
      <c r="BC165" s="55"/>
      <c r="BD165" s="55"/>
      <c r="BH165" s="55"/>
      <c r="BI165" s="55"/>
      <c r="BJ165" s="55"/>
      <c r="BK165" s="55"/>
      <c r="BL165" s="55"/>
      <c r="BM165" s="55"/>
      <c r="BN165" s="55"/>
      <c r="BO165" s="55"/>
      <c r="BP165" s="55"/>
      <c r="BT165" s="55"/>
      <c r="BU165" s="55"/>
      <c r="BV165" s="55"/>
      <c r="BW165" s="55"/>
      <c r="BX165" s="55"/>
      <c r="BY165" s="55"/>
      <c r="BZ165" s="55"/>
      <c r="CM165" s="55"/>
      <c r="CN165" s="55"/>
      <c r="CO165" s="55"/>
      <c r="CP165" s="55"/>
      <c r="CQ165" s="55"/>
      <c r="DR165" s="55"/>
      <c r="DS165" s="55"/>
      <c r="DT165" s="55"/>
      <c r="DU165" s="55"/>
      <c r="DV165" s="55"/>
    </row>
    <row r="166" spans="1:126" x14ac:dyDescent="0.2">
      <c r="A166" s="54"/>
      <c r="B166" s="468" t="s">
        <v>411</v>
      </c>
      <c r="C166" s="468"/>
      <c r="D166" s="468"/>
      <c r="E166" s="468"/>
      <c r="F166" s="468"/>
      <c r="G166" s="468"/>
      <c r="H166" s="468"/>
      <c r="I166" s="468"/>
      <c r="J166" s="398">
        <v>1.2</v>
      </c>
      <c r="K166" s="399"/>
      <c r="L166" s="409"/>
      <c r="M166" s="407"/>
      <c r="N166" s="407"/>
      <c r="O166" s="407"/>
      <c r="P166" s="407"/>
      <c r="Q166" s="407"/>
      <c r="R166" s="407"/>
      <c r="S166" s="407"/>
      <c r="T166" s="407"/>
      <c r="U166" s="407"/>
      <c r="V166" s="407"/>
      <c r="W166" s="408"/>
      <c r="X166" s="409"/>
      <c r="Y166" s="407"/>
      <c r="Z166" s="407"/>
      <c r="AA166" s="407"/>
      <c r="AB166" s="407"/>
      <c r="AC166" s="407"/>
      <c r="AD166" s="407"/>
      <c r="AE166" s="407"/>
      <c r="AF166" s="407"/>
      <c r="AG166" s="407"/>
      <c r="AH166" s="407"/>
      <c r="AI166" s="407"/>
      <c r="BC166" s="55"/>
      <c r="BD166" s="55"/>
      <c r="BH166" s="55"/>
      <c r="BI166" s="55"/>
      <c r="BJ166" s="55"/>
      <c r="BK166" s="55"/>
      <c r="BL166" s="55"/>
      <c r="BM166" s="55"/>
      <c r="BN166" s="55"/>
      <c r="BO166" s="55"/>
      <c r="BP166" s="55"/>
      <c r="BT166" s="55"/>
      <c r="BU166" s="55"/>
      <c r="BV166" s="55"/>
      <c r="BW166" s="55"/>
      <c r="BX166" s="55"/>
      <c r="BY166" s="55"/>
      <c r="BZ166" s="55"/>
      <c r="CM166" s="55"/>
      <c r="CN166" s="55"/>
      <c r="CO166" s="55"/>
      <c r="CP166" s="55"/>
      <c r="CQ166" s="55"/>
      <c r="DR166" s="55"/>
      <c r="DS166" s="55"/>
      <c r="DT166" s="55"/>
      <c r="DU166" s="55"/>
      <c r="DV166" s="55"/>
    </row>
    <row r="167" spans="1:126" ht="13.5" customHeight="1" x14ac:dyDescent="0.2">
      <c r="A167" s="54"/>
      <c r="B167" s="451" t="s">
        <v>412</v>
      </c>
      <c r="C167" s="451"/>
      <c r="D167" s="451"/>
      <c r="E167" s="451"/>
      <c r="F167" s="451"/>
      <c r="G167" s="451"/>
      <c r="H167" s="451"/>
      <c r="I167" s="451"/>
      <c r="J167" s="385">
        <v>1.6</v>
      </c>
      <c r="K167" s="386"/>
      <c r="L167" s="393"/>
      <c r="M167" s="389"/>
      <c r="N167" s="389"/>
      <c r="O167" s="389"/>
      <c r="P167" s="389"/>
      <c r="Q167" s="389"/>
      <c r="R167" s="389"/>
      <c r="S167" s="389"/>
      <c r="T167" s="389"/>
      <c r="U167" s="389"/>
      <c r="V167" s="389"/>
      <c r="W167" s="392"/>
      <c r="X167" s="393"/>
      <c r="Y167" s="389"/>
      <c r="Z167" s="389"/>
      <c r="AA167" s="389"/>
      <c r="AB167" s="389"/>
      <c r="AC167" s="389"/>
      <c r="AD167" s="389"/>
      <c r="AE167" s="389"/>
      <c r="AF167" s="389"/>
      <c r="AG167" s="389"/>
      <c r="AH167" s="389"/>
      <c r="AI167" s="389"/>
      <c r="BC167" s="55"/>
      <c r="BD167" s="55"/>
      <c r="BH167" s="55"/>
      <c r="BI167" s="55"/>
      <c r="BJ167" s="55"/>
      <c r="BK167" s="55"/>
      <c r="BL167" s="55"/>
      <c r="BM167" s="55"/>
      <c r="BN167" s="55"/>
      <c r="BO167" s="55"/>
      <c r="BP167" s="55"/>
      <c r="BT167" s="55"/>
      <c r="BU167" s="55"/>
      <c r="BV167" s="55"/>
      <c r="BW167" s="55"/>
      <c r="BX167" s="55"/>
      <c r="BY167" s="55"/>
      <c r="BZ167" s="55"/>
      <c r="CM167" s="55"/>
      <c r="CN167" s="55"/>
      <c r="CO167" s="55"/>
      <c r="CP167" s="55"/>
      <c r="CQ167" s="55"/>
      <c r="DR167" s="55"/>
      <c r="DS167" s="55"/>
      <c r="DT167" s="55"/>
      <c r="DU167" s="55"/>
      <c r="DV167" s="55"/>
    </row>
    <row r="168" spans="1:126" ht="14.25" customHeight="1" x14ac:dyDescent="0.2">
      <c r="A168" s="54"/>
      <c r="B168" s="451" t="s">
        <v>413</v>
      </c>
      <c r="C168" s="451"/>
      <c r="D168" s="451"/>
      <c r="E168" s="451"/>
      <c r="F168" s="451"/>
      <c r="G168" s="451"/>
      <c r="H168" s="451"/>
      <c r="I168" s="451"/>
      <c r="J168" s="385">
        <v>1</v>
      </c>
      <c r="K168" s="386"/>
      <c r="L168" s="393"/>
      <c r="M168" s="389"/>
      <c r="N168" s="389"/>
      <c r="O168" s="389"/>
      <c r="P168" s="389"/>
      <c r="Q168" s="389"/>
      <c r="R168" s="389"/>
      <c r="S168" s="389"/>
      <c r="T168" s="389"/>
      <c r="U168" s="389"/>
      <c r="V168" s="389"/>
      <c r="W168" s="392"/>
      <c r="X168" s="393"/>
      <c r="Y168" s="389"/>
      <c r="Z168" s="389"/>
      <c r="AA168" s="389"/>
      <c r="AB168" s="389"/>
      <c r="AC168" s="389"/>
      <c r="AD168" s="389"/>
      <c r="AE168" s="389"/>
      <c r="AF168" s="389"/>
      <c r="AG168" s="389"/>
      <c r="AH168" s="389"/>
      <c r="AI168" s="389"/>
      <c r="BC168" s="55"/>
      <c r="BD168" s="55"/>
      <c r="BH168" s="55"/>
      <c r="BI168" s="55"/>
      <c r="BJ168" s="55"/>
      <c r="BK168" s="55"/>
      <c r="BL168" s="55"/>
      <c r="BM168" s="55"/>
      <c r="BN168" s="55"/>
      <c r="BO168" s="55"/>
      <c r="BP168" s="55"/>
      <c r="BT168" s="55"/>
      <c r="BU168" s="55"/>
      <c r="BV168" s="55"/>
      <c r="BW168" s="55"/>
      <c r="BX168" s="55"/>
      <c r="BY168" s="55"/>
      <c r="BZ168" s="55"/>
      <c r="CM168" s="55"/>
      <c r="CN168" s="55"/>
      <c r="CO168" s="55"/>
      <c r="CP168" s="55"/>
      <c r="CQ168" s="55"/>
      <c r="DR168" s="55"/>
      <c r="DS168" s="55"/>
      <c r="DT168" s="55"/>
      <c r="DU168" s="55"/>
      <c r="DV168" s="55"/>
    </row>
    <row r="169" spans="1:126" ht="14.25" customHeight="1" x14ac:dyDescent="0.2">
      <c r="A169" s="54"/>
      <c r="B169" s="451" t="s">
        <v>542</v>
      </c>
      <c r="C169" s="451"/>
      <c r="D169" s="451"/>
      <c r="E169" s="451"/>
      <c r="F169" s="451"/>
      <c r="G169" s="451"/>
      <c r="H169" s="451"/>
      <c r="I169" s="451"/>
      <c r="J169" s="385">
        <v>1.7</v>
      </c>
      <c r="K169" s="386"/>
      <c r="L169" s="393"/>
      <c r="M169" s="389"/>
      <c r="N169" s="389"/>
      <c r="O169" s="389"/>
      <c r="P169" s="389"/>
      <c r="Q169" s="389"/>
      <c r="R169" s="389"/>
      <c r="S169" s="389"/>
      <c r="T169" s="389"/>
      <c r="U169" s="389"/>
      <c r="V169" s="389"/>
      <c r="W169" s="392"/>
      <c r="X169" s="393"/>
      <c r="Y169" s="389"/>
      <c r="Z169" s="389"/>
      <c r="AA169" s="389"/>
      <c r="AB169" s="389"/>
      <c r="AC169" s="389"/>
      <c r="AD169" s="389"/>
      <c r="AE169" s="389"/>
      <c r="AF169" s="389"/>
      <c r="AG169" s="389"/>
      <c r="AH169" s="389"/>
      <c r="AI169" s="389"/>
      <c r="AK169" s="55"/>
      <c r="AY169" s="55"/>
      <c r="BC169" s="55"/>
      <c r="BD169" s="55"/>
      <c r="BH169" s="55"/>
      <c r="BI169" s="55"/>
      <c r="BJ169" s="55"/>
      <c r="BK169" s="55"/>
      <c r="BL169" s="55"/>
      <c r="BM169" s="55"/>
      <c r="BN169" s="55"/>
      <c r="BO169" s="55"/>
      <c r="BP169" s="55"/>
      <c r="BT169" s="55"/>
      <c r="BU169" s="55"/>
      <c r="BV169" s="55"/>
      <c r="BW169" s="55"/>
      <c r="BX169" s="55"/>
      <c r="BY169" s="55"/>
      <c r="BZ169" s="55"/>
      <c r="CM169" s="55"/>
      <c r="CN169" s="55"/>
      <c r="CO169" s="55"/>
      <c r="CP169" s="55"/>
      <c r="CQ169" s="55"/>
      <c r="DR169" s="55"/>
      <c r="DS169" s="55"/>
      <c r="DT169" s="55"/>
      <c r="DU169" s="55"/>
      <c r="DV169" s="55"/>
    </row>
    <row r="170" spans="1:126" ht="13.5" customHeight="1" x14ac:dyDescent="0.2">
      <c r="A170" s="54"/>
      <c r="B170" s="451" t="s">
        <v>662</v>
      </c>
      <c r="C170" s="451"/>
      <c r="D170" s="451"/>
      <c r="E170" s="451"/>
      <c r="F170" s="451"/>
      <c r="G170" s="451"/>
      <c r="H170" s="451"/>
      <c r="I170" s="451"/>
      <c r="J170" s="385">
        <v>1.4</v>
      </c>
      <c r="K170" s="386"/>
      <c r="L170" s="390"/>
      <c r="M170" s="391"/>
      <c r="N170" s="389"/>
      <c r="O170" s="389"/>
      <c r="P170" s="389"/>
      <c r="Q170" s="389"/>
      <c r="R170" s="389"/>
      <c r="S170" s="389"/>
      <c r="T170" s="389"/>
      <c r="U170" s="389"/>
      <c r="V170" s="389"/>
      <c r="W170" s="392"/>
      <c r="X170" s="393"/>
      <c r="Y170" s="389"/>
      <c r="Z170" s="389"/>
      <c r="AA170" s="389"/>
      <c r="AB170" s="389"/>
      <c r="AC170" s="389"/>
      <c r="AD170" s="389"/>
      <c r="AE170" s="389"/>
      <c r="AF170" s="389"/>
      <c r="AG170" s="389"/>
      <c r="AH170" s="389"/>
      <c r="AI170" s="389"/>
      <c r="AK170" s="55"/>
      <c r="AY170" s="55"/>
      <c r="BC170" s="55"/>
      <c r="BD170" s="55"/>
      <c r="BH170" s="55"/>
      <c r="BI170" s="55"/>
      <c r="BJ170" s="55"/>
      <c r="BK170" s="55"/>
      <c r="BL170" s="55"/>
      <c r="BM170" s="55"/>
      <c r="BN170" s="55"/>
      <c r="BO170" s="55"/>
      <c r="BP170" s="55"/>
      <c r="BT170" s="55"/>
      <c r="BU170" s="55"/>
      <c r="BV170" s="55"/>
      <c r="BW170" s="55"/>
      <c r="BX170" s="55"/>
      <c r="BY170" s="55"/>
      <c r="BZ170" s="55"/>
      <c r="CM170" s="55"/>
      <c r="CN170" s="55"/>
      <c r="CO170" s="55"/>
      <c r="CP170" s="55"/>
      <c r="CQ170" s="55"/>
      <c r="DR170" s="55"/>
      <c r="DS170" s="55"/>
      <c r="DT170" s="55"/>
      <c r="DU170" s="55"/>
      <c r="DV170" s="55"/>
    </row>
    <row r="171" spans="1:126" x14ac:dyDescent="0.2">
      <c r="A171" s="54"/>
      <c r="B171" s="451" t="s">
        <v>381</v>
      </c>
      <c r="C171" s="451"/>
      <c r="D171" s="451"/>
      <c r="E171" s="451"/>
      <c r="F171" s="451"/>
      <c r="G171" s="451"/>
      <c r="H171" s="451"/>
      <c r="I171" s="451"/>
      <c r="J171" s="385">
        <v>0</v>
      </c>
      <c r="K171" s="386"/>
      <c r="L171" s="393"/>
      <c r="M171" s="389"/>
      <c r="N171" s="389"/>
      <c r="O171" s="389"/>
      <c r="P171" s="389"/>
      <c r="Q171" s="389"/>
      <c r="R171" s="389"/>
      <c r="S171" s="389"/>
      <c r="T171" s="389"/>
      <c r="U171" s="389"/>
      <c r="V171" s="389"/>
      <c r="W171" s="392"/>
      <c r="X171" s="393"/>
      <c r="Y171" s="389"/>
      <c r="Z171" s="389"/>
      <c r="AA171" s="389"/>
      <c r="AB171" s="389"/>
      <c r="AC171" s="389"/>
      <c r="AD171" s="389"/>
      <c r="AE171" s="389"/>
      <c r="AF171" s="389"/>
      <c r="AG171" s="389"/>
      <c r="AH171" s="389"/>
      <c r="AI171" s="389"/>
      <c r="AK171" s="55"/>
      <c r="AY171" s="55"/>
      <c r="AZ171" s="62"/>
      <c r="BA171" s="62"/>
      <c r="BB171" s="62"/>
      <c r="BC171" s="55"/>
      <c r="BD171" s="55"/>
      <c r="BE171" s="62"/>
      <c r="BF171" s="62"/>
      <c r="BG171" s="62"/>
      <c r="BH171" s="55"/>
      <c r="BI171" s="55"/>
      <c r="BJ171" s="55"/>
      <c r="BK171" s="55"/>
      <c r="BL171" s="55"/>
      <c r="BM171" s="55"/>
      <c r="BN171" s="55"/>
      <c r="BO171" s="55"/>
      <c r="BP171" s="55"/>
      <c r="BQ171" s="62"/>
      <c r="BR171" s="62"/>
      <c r="BS171" s="62"/>
      <c r="BT171" s="55"/>
      <c r="BU171" s="55"/>
      <c r="BV171" s="55"/>
      <c r="BW171" s="55"/>
      <c r="BX171" s="55"/>
      <c r="BY171" s="55"/>
      <c r="BZ171" s="55"/>
      <c r="CI171" s="62"/>
      <c r="CJ171" s="62"/>
      <c r="CK171" s="62"/>
      <c r="CL171" s="62"/>
      <c r="CM171" s="55"/>
      <c r="CN171" s="55"/>
      <c r="CO171" s="55"/>
      <c r="CP171" s="55"/>
      <c r="CQ171" s="55"/>
      <c r="DJ171" s="62"/>
      <c r="DK171" s="62"/>
      <c r="DL171" s="62"/>
      <c r="DM171" s="62"/>
      <c r="DN171" s="62"/>
      <c r="DO171" s="62"/>
      <c r="DP171" s="62"/>
      <c r="DQ171" s="62"/>
      <c r="DR171" s="55"/>
      <c r="DS171" s="55"/>
      <c r="DT171" s="55"/>
      <c r="DU171" s="55"/>
      <c r="DV171" s="55"/>
    </row>
    <row r="172" spans="1:126" x14ac:dyDescent="0.2">
      <c r="A172" s="54"/>
      <c r="B172" s="451" t="s">
        <v>661</v>
      </c>
      <c r="C172" s="451"/>
      <c r="D172" s="451"/>
      <c r="E172" s="451"/>
      <c r="F172" s="451"/>
      <c r="G172" s="451"/>
      <c r="H172" s="451"/>
      <c r="I172" s="451"/>
      <c r="J172" s="385">
        <v>1</v>
      </c>
      <c r="K172" s="386"/>
      <c r="L172" s="393">
        <v>1</v>
      </c>
      <c r="M172" s="389"/>
      <c r="N172" s="389"/>
      <c r="O172" s="389"/>
      <c r="P172" s="389">
        <v>2</v>
      </c>
      <c r="Q172" s="389"/>
      <c r="R172" s="389"/>
      <c r="S172" s="389"/>
      <c r="T172" s="389">
        <v>3</v>
      </c>
      <c r="U172" s="389"/>
      <c r="V172" s="389"/>
      <c r="W172" s="392"/>
      <c r="X172" s="393">
        <v>4</v>
      </c>
      <c r="Y172" s="389"/>
      <c r="Z172" s="389"/>
      <c r="AA172" s="389"/>
      <c r="AB172" s="389">
        <v>5</v>
      </c>
      <c r="AC172" s="389"/>
      <c r="AD172" s="389"/>
      <c r="AE172" s="389"/>
      <c r="AF172" s="389">
        <v>6</v>
      </c>
      <c r="AG172" s="389"/>
      <c r="AH172" s="389"/>
      <c r="AI172" s="389"/>
      <c r="AK172" s="55"/>
      <c r="AY172" s="55"/>
      <c r="BC172" s="55"/>
      <c r="BD172" s="55"/>
      <c r="BH172" s="55"/>
      <c r="BI172" s="55"/>
      <c r="BJ172" s="55"/>
      <c r="BK172" s="55"/>
      <c r="BL172" s="55"/>
      <c r="BM172" s="55"/>
      <c r="BN172" s="55"/>
      <c r="BO172" s="55"/>
      <c r="BP172" s="55"/>
      <c r="BT172" s="55"/>
      <c r="BU172" s="55"/>
      <c r="BV172" s="55"/>
      <c r="BW172" s="55"/>
      <c r="BX172" s="55"/>
      <c r="BY172" s="55"/>
      <c r="BZ172" s="55"/>
      <c r="CM172" s="55"/>
      <c r="CN172" s="55"/>
      <c r="CO172" s="55"/>
      <c r="CP172" s="55"/>
      <c r="CQ172" s="55"/>
      <c r="DR172" s="55"/>
      <c r="DS172" s="55"/>
      <c r="DT172" s="55"/>
      <c r="DU172" s="55"/>
      <c r="DV172" s="55"/>
    </row>
    <row r="173" spans="1:126" ht="15" customHeight="1" thickBot="1" x14ac:dyDescent="0.25">
      <c r="A173" s="54"/>
      <c r="B173" s="387"/>
      <c r="C173" s="387"/>
      <c r="D173" s="387"/>
      <c r="E173" s="387"/>
      <c r="F173" s="387"/>
      <c r="G173" s="387"/>
      <c r="H173" s="387"/>
      <c r="I173" s="387"/>
      <c r="J173" s="431">
        <v>0</v>
      </c>
      <c r="K173" s="432"/>
      <c r="L173" s="450"/>
      <c r="M173" s="396"/>
      <c r="N173" s="396"/>
      <c r="O173" s="396"/>
      <c r="P173" s="396"/>
      <c r="Q173" s="396"/>
      <c r="R173" s="396"/>
      <c r="S173" s="396"/>
      <c r="T173" s="396"/>
      <c r="U173" s="396"/>
      <c r="V173" s="396"/>
      <c r="W173" s="397"/>
      <c r="X173" s="450"/>
      <c r="Y173" s="396"/>
      <c r="Z173" s="396"/>
      <c r="AA173" s="396"/>
      <c r="AB173" s="396"/>
      <c r="AC173" s="396"/>
      <c r="AD173" s="396"/>
      <c r="AE173" s="396"/>
      <c r="AF173" s="396"/>
      <c r="AG173" s="396"/>
      <c r="AH173" s="396"/>
      <c r="AI173" s="396"/>
      <c r="AK173" s="55"/>
      <c r="AY173" s="55"/>
      <c r="BC173" s="55"/>
      <c r="BD173" s="55"/>
      <c r="BH173" s="55"/>
      <c r="BI173" s="55"/>
      <c r="BJ173" s="55"/>
      <c r="BK173" s="55"/>
      <c r="BL173" s="55"/>
      <c r="BM173" s="55"/>
      <c r="BN173" s="55"/>
      <c r="BO173" s="55"/>
      <c r="BP173" s="55"/>
      <c r="BT173" s="55"/>
      <c r="BU173" s="55"/>
      <c r="BV173" s="55"/>
      <c r="BW173" s="55"/>
      <c r="BX173" s="55"/>
      <c r="BY173" s="55"/>
      <c r="BZ173" s="55"/>
      <c r="CM173" s="55"/>
      <c r="CN173" s="55"/>
      <c r="CO173" s="55"/>
      <c r="CP173" s="55"/>
      <c r="CQ173" s="55"/>
      <c r="DR173" s="55"/>
      <c r="DS173" s="55"/>
      <c r="DT173" s="55"/>
      <c r="DU173" s="55"/>
      <c r="DV173" s="55"/>
    </row>
    <row r="174" spans="1:126" x14ac:dyDescent="0.2">
      <c r="A174" s="54"/>
      <c r="B174" s="388" t="s">
        <v>1006</v>
      </c>
      <c r="C174" s="388"/>
      <c r="D174" s="388"/>
      <c r="E174" s="388"/>
      <c r="F174" s="388"/>
      <c r="G174" s="388"/>
      <c r="H174" s="388"/>
      <c r="I174" s="388"/>
      <c r="J174" s="388"/>
      <c r="K174" s="388"/>
      <c r="L174" s="509">
        <f>SUM($J173*L173,$J172*L172,$J171*L171,$J170*L170,$J169*L169,$J168*L168,$J167*L167,$J166*L166,)</f>
        <v>1</v>
      </c>
      <c r="M174" s="508"/>
      <c r="N174" s="508"/>
      <c r="O174" s="508"/>
      <c r="P174" s="508">
        <f>SUM($J173*P173,$J172*P172,$J171*P171,$J170*P170,$J169*P169,$J168*P168,$J167*P167,$J166*P166,)</f>
        <v>2</v>
      </c>
      <c r="Q174" s="508"/>
      <c r="R174" s="508"/>
      <c r="S174" s="508"/>
      <c r="T174" s="508">
        <f>SUM($J173*T173,$J172*T172,$J171*T171,$J170*T170,$J169*T169,$J168*T168,$J167*T167,$J166*T166,)</f>
        <v>3</v>
      </c>
      <c r="U174" s="508"/>
      <c r="V174" s="508"/>
      <c r="W174" s="510"/>
      <c r="X174" s="509">
        <f>SUM($J173*X173,$J172*X172,$J171*X171,$J170*X170,$J169*X169,$J168*X168,$J167*X167,$J166*X166,)</f>
        <v>4</v>
      </c>
      <c r="Y174" s="508"/>
      <c r="Z174" s="508"/>
      <c r="AA174" s="508"/>
      <c r="AB174" s="508">
        <f>SUM($J173*AB173,$J172*AB172,$J171*AB171,$J170*AB170,$J169*AB169,$J168*AB168,$J167*AB167,$J166*AB166,)</f>
        <v>5</v>
      </c>
      <c r="AC174" s="508"/>
      <c r="AD174" s="508"/>
      <c r="AE174" s="508"/>
      <c r="AF174" s="508">
        <f>SUM($J173*AF173,$J172*AF172,$J171*AF171,$J170*AF170,$J169*AF169,$J168*AF168,$J167*AF167,$J166*AF166,)</f>
        <v>6</v>
      </c>
      <c r="AG174" s="508"/>
      <c r="AH174" s="508"/>
      <c r="AI174" s="508"/>
      <c r="AK174" s="55"/>
      <c r="AY174" s="55"/>
      <c r="BC174" s="55"/>
      <c r="BD174" s="55"/>
      <c r="BH174" s="55"/>
      <c r="BI174" s="55"/>
      <c r="BJ174" s="55"/>
      <c r="BK174" s="55"/>
      <c r="BL174" s="55"/>
      <c r="BM174" s="55"/>
      <c r="BN174" s="55"/>
      <c r="BO174" s="55"/>
      <c r="BP174" s="55"/>
      <c r="BT174" s="55"/>
      <c r="BU174" s="55"/>
      <c r="BV174" s="55"/>
      <c r="BW174" s="55"/>
      <c r="BX174" s="55"/>
      <c r="BY174" s="55"/>
      <c r="BZ174" s="55"/>
      <c r="CM174" s="55"/>
      <c r="CN174" s="55"/>
      <c r="CO174" s="55"/>
      <c r="CP174" s="55"/>
      <c r="CQ174" s="55"/>
      <c r="DR174" s="55"/>
      <c r="DS174" s="55"/>
      <c r="DT174" s="55"/>
      <c r="DU174" s="55"/>
      <c r="DV174" s="55"/>
    </row>
    <row r="175" spans="1:126" ht="3.75" customHeight="1" x14ac:dyDescent="0.2">
      <c r="A175" s="56"/>
      <c r="B175" s="54"/>
      <c r="C175" s="54"/>
      <c r="D175" s="54"/>
      <c r="E175" s="96"/>
      <c r="F175" s="54"/>
      <c r="G175" s="54"/>
      <c r="H175" s="54"/>
      <c r="I175" s="54"/>
      <c r="J175" s="54"/>
      <c r="K175" s="167"/>
      <c r="L175" s="301" t="str">
        <f>IFERROR(IF($B$174="Diseño de resistencia (LRFD)","",($J166*($J166*L166/L$174))+($J167*($J167*L167/L$174))+($J168*($J168*L168/L$174))+($J169*($J169*L169/L$174))+($J170*($J170*L170/L$174))+($J171*($J171*L171/L$174))+($J172*($J172*L172/L$174))+($J173*($J173*L173/L$174))),"")</f>
        <v/>
      </c>
      <c r="M175" s="301"/>
      <c r="N175" s="301"/>
      <c r="O175" s="301"/>
      <c r="P175" s="301" t="str">
        <f>IFERROR(IF($B$174="Diseño de resistencia (LRFD)","",($J166*($J166*P166/P$174))+($J167*($J167*P167/P$174))+($J168*($J168*P168/P$174))+($J169*($J169*P169/P$174))+($J170*($J170*P170/P$174))+($J171*($J171*P171/P$174))+($J172*($J172*P172/P$174))+($J173*($J173*P173/P$174))),"")</f>
        <v/>
      </c>
      <c r="Q175" s="301"/>
      <c r="R175" s="301"/>
      <c r="S175" s="301"/>
      <c r="T175" s="301" t="str">
        <f>IFERROR(IF($B$174="Diseño de resistencia (LRFD)","",($J166*($J166*T166/T$174))+($J167*($J167*T167/T$174))+($J168*($J168*T168/T$174))+($J169*($J169*T169/T$174))+($J170*($J170*T170/T$174))+($J171*($J171*T171/T$174))+($J172*($J172*T172/T$174))+($J173*($J173*T173/T$174))),"")</f>
        <v/>
      </c>
      <c r="U175" s="301"/>
      <c r="V175" s="301"/>
      <c r="W175" s="301"/>
      <c r="X175" s="301" t="str">
        <f>IFERROR(IF($B$174="Diseño de resistencia (LRFD)","",($J166*($J166*X166/X$174))+($J167*($J167*X167/X$174))+($J168*($J168*X168/X$174))+($J169*($J169*X169/X$174))+($J170*($J170*X170/X$174))+($J171*($J171*X171/X$174))+($J172*($J172*X172/X$174))+($J173*($J173*X173/X$174))),"")</f>
        <v/>
      </c>
      <c r="Y175" s="301"/>
      <c r="Z175" s="301"/>
      <c r="AA175" s="301"/>
      <c r="AB175" s="301" t="str">
        <f>IFERROR(IF($B$174="Diseño de resistencia (LRFD)","",($J166*($J166*AB166/AB$174))+($J167*($J167*AB167/AB$174))+($J168*($J168*AB168/AB$174))+($J169*($J169*AB169/AB$174))+($J170*($J170*AB170/AB$174))+($J171*($J171*AB171/AB$174))+($J172*($J172*AB172/AB$174))+($J173*($J173*AB173/AB$174))),"")</f>
        <v/>
      </c>
      <c r="AC175" s="301"/>
      <c r="AD175" s="301"/>
      <c r="AE175" s="301"/>
      <c r="AF175" s="301" t="str">
        <f>IFERROR(IF($B$174="Diseño de resistencia (LRFD)","",($J166*($J166*AF166/AF$174))+($J167*($J167*AF167/AF$174))+($J168*($J168*AF168/AF$174))+($J169*($J169*AF169/AF$174))+($J170*($J170*AF170/AF$174))+($J171*($J171*AF171/AF$174))+($J172*($J172*AF172/AF$174))+($J173*($J173*AF173/AF$174))),"")</f>
        <v/>
      </c>
      <c r="AG175" s="301"/>
      <c r="AH175" s="301"/>
      <c r="AI175" s="301"/>
      <c r="AJ175" s="55"/>
      <c r="AK175" s="55"/>
      <c r="AY175" s="55"/>
      <c r="AZ175" s="62"/>
      <c r="BA175" s="62"/>
      <c r="CI175" s="62"/>
      <c r="DJ175" s="62"/>
      <c r="DK175" s="62"/>
      <c r="DL175" s="62"/>
    </row>
    <row r="176" spans="1:126" ht="15" customHeight="1" thickBot="1" x14ac:dyDescent="0.25">
      <c r="A176" s="54"/>
      <c r="B176" s="497" t="s">
        <v>931</v>
      </c>
      <c r="C176" s="498"/>
      <c r="D176" s="498"/>
      <c r="E176" s="498"/>
      <c r="F176" s="498"/>
      <c r="G176" s="498"/>
      <c r="H176" s="498"/>
      <c r="I176" s="498"/>
      <c r="J176" s="498"/>
      <c r="K176" s="498"/>
      <c r="L176" s="433">
        <f>IFERROR(IF($B$174="Diseño de resistencia (LRFD)",1,$P$176),"N/A")</f>
        <v>1</v>
      </c>
      <c r="M176" s="433"/>
      <c r="N176" s="433"/>
      <c r="O176" s="433"/>
      <c r="P176" s="170" t="str">
        <f>IFERROR(AVERAGE($L$175:$AI$175),"N/A")</f>
        <v>N/A</v>
      </c>
      <c r="Q176" s="206" t="s">
        <v>932</v>
      </c>
      <c r="R176" s="95"/>
      <c r="S176" s="95"/>
      <c r="T176" s="95"/>
      <c r="U176" s="95"/>
      <c r="V176" s="95"/>
      <c r="W176" s="95"/>
      <c r="X176" s="95"/>
      <c r="Y176" s="95"/>
      <c r="Z176" s="95"/>
      <c r="AA176" s="95"/>
      <c r="AB176" s="95"/>
      <c r="AC176" s="95"/>
      <c r="AD176" s="95"/>
      <c r="AE176" s="95"/>
      <c r="AF176" s="95"/>
      <c r="AG176" s="95"/>
      <c r="AH176" s="95"/>
      <c r="AI176" s="95"/>
      <c r="AJ176" s="55"/>
      <c r="AK176" s="55"/>
      <c r="AY176" s="55"/>
      <c r="BC176" s="55"/>
      <c r="BD176" s="55"/>
      <c r="BH176" s="55"/>
      <c r="BI176" s="55"/>
      <c r="BJ176" s="55"/>
      <c r="BK176" s="55"/>
      <c r="BL176" s="55"/>
      <c r="BM176" s="55"/>
      <c r="BN176" s="55"/>
      <c r="BO176" s="55"/>
      <c r="BP176" s="55"/>
      <c r="BT176" s="55"/>
      <c r="BU176" s="55"/>
      <c r="BV176" s="55"/>
      <c r="BW176" s="55"/>
      <c r="BX176" s="55"/>
      <c r="BY176" s="55"/>
      <c r="BZ176" s="55"/>
      <c r="CM176" s="55"/>
      <c r="CN176" s="55"/>
      <c r="CO176" s="55"/>
      <c r="CP176" s="55"/>
      <c r="CQ176" s="55"/>
      <c r="DR176" s="55"/>
      <c r="DS176" s="55"/>
      <c r="DT176" s="55"/>
      <c r="DU176" s="55"/>
      <c r="DV176" s="55"/>
    </row>
    <row r="177" spans="1:119" ht="15" customHeight="1" x14ac:dyDescent="0.2">
      <c r="A177" s="54"/>
      <c r="B177" s="54"/>
      <c r="C177" s="54"/>
      <c r="D177" s="54"/>
      <c r="E177" s="54"/>
      <c r="F177" s="54"/>
      <c r="G177" s="54"/>
      <c r="H177" s="54"/>
      <c r="J177" s="54"/>
      <c r="K177" s="54"/>
      <c r="L177" s="54"/>
      <c r="M177" s="54"/>
      <c r="N177" s="54"/>
      <c r="O177" s="54"/>
      <c r="P177" s="54"/>
      <c r="Q177" s="54"/>
      <c r="R177" s="54"/>
      <c r="S177" s="54"/>
      <c r="T177" s="54"/>
      <c r="U177" s="54"/>
      <c r="V177" s="54"/>
      <c r="W177" s="54"/>
      <c r="X177" s="54"/>
      <c r="Y177" s="54"/>
      <c r="Z177" s="54"/>
      <c r="AJ177" s="55"/>
      <c r="AK177" s="55"/>
      <c r="AY177" s="55"/>
      <c r="AZ177" s="62"/>
      <c r="BA177" s="62"/>
      <c r="BB177" s="62"/>
      <c r="BE177" s="62"/>
      <c r="BQ177" s="62"/>
      <c r="CI177" s="62"/>
      <c r="CJ177" s="62"/>
      <c r="DJ177" s="62"/>
      <c r="DK177" s="62"/>
      <c r="DL177" s="62"/>
      <c r="DM177" s="62"/>
      <c r="DN177" s="62"/>
      <c r="DO177" s="62"/>
    </row>
    <row r="178" spans="1:119" ht="15" customHeight="1" x14ac:dyDescent="0.2">
      <c r="A178" s="54"/>
      <c r="B178" s="54"/>
      <c r="C178" s="54"/>
      <c r="D178" s="54"/>
      <c r="E178" s="54"/>
      <c r="F178" s="54"/>
      <c r="G178" s="54"/>
      <c r="H178" s="54"/>
      <c r="J178" s="54"/>
      <c r="K178" s="54"/>
      <c r="L178" s="54"/>
      <c r="M178" s="54"/>
      <c r="N178" s="54"/>
      <c r="O178" s="54"/>
      <c r="P178" s="54"/>
      <c r="Q178" s="54"/>
      <c r="R178" s="54"/>
      <c r="S178" s="54"/>
      <c r="T178" s="54"/>
      <c r="U178" s="54"/>
      <c r="V178" s="54"/>
      <c r="W178" s="54"/>
      <c r="X178" s="54"/>
      <c r="Y178" s="54"/>
      <c r="Z178" s="54"/>
      <c r="AJ178" s="55"/>
      <c r="AK178" s="55"/>
      <c r="AY178" s="55"/>
      <c r="AZ178" s="62"/>
      <c r="BA178" s="62"/>
      <c r="BB178" s="62"/>
      <c r="BE178" s="62"/>
      <c r="BQ178" s="62"/>
      <c r="CI178" s="62"/>
      <c r="CJ178" s="62"/>
      <c r="DJ178" s="62"/>
      <c r="DK178" s="62"/>
      <c r="DL178" s="62"/>
      <c r="DM178" s="62"/>
      <c r="DN178" s="62"/>
      <c r="DO178" s="62"/>
    </row>
    <row r="179" spans="1:119" x14ac:dyDescent="0.2">
      <c r="A179" s="54"/>
      <c r="B179" s="54"/>
      <c r="C179" s="288" t="s">
        <v>971</v>
      </c>
      <c r="D179" s="288"/>
      <c r="E179" s="288"/>
      <c r="F179" s="288"/>
      <c r="G179" s="288"/>
      <c r="H179" s="288"/>
      <c r="I179" s="288"/>
      <c r="J179" s="288"/>
      <c r="K179" s="288"/>
      <c r="L179" s="288"/>
      <c r="M179" s="288"/>
      <c r="N179" s="288"/>
      <c r="O179" s="288"/>
      <c r="P179" s="288"/>
      <c r="Q179" s="288"/>
      <c r="R179" s="288"/>
      <c r="S179" s="288"/>
      <c r="T179" s="288"/>
      <c r="U179" s="288"/>
      <c r="V179" s="288"/>
      <c r="W179" s="288"/>
      <c r="X179" s="288"/>
      <c r="Y179" s="288"/>
      <c r="Z179" s="288"/>
      <c r="AA179" s="288"/>
      <c r="AB179" s="288"/>
      <c r="AC179" s="288"/>
      <c r="AD179" s="288"/>
      <c r="AE179" s="288"/>
      <c r="AF179" s="288"/>
      <c r="AG179" s="288"/>
      <c r="AH179" s="288"/>
      <c r="AI179" s="288"/>
      <c r="AJ179" s="288"/>
      <c r="AK179" s="179"/>
      <c r="AY179" s="62"/>
      <c r="AZ179" s="62"/>
      <c r="BA179" s="62"/>
      <c r="BB179" s="63"/>
      <c r="BE179" s="63"/>
      <c r="BQ179" s="63"/>
      <c r="CI179" s="62"/>
      <c r="CJ179" s="63"/>
      <c r="DJ179" s="62"/>
      <c r="DK179" s="62"/>
      <c r="DL179" s="62"/>
      <c r="DM179" s="63"/>
      <c r="DN179" s="63"/>
      <c r="DO179" s="63"/>
    </row>
    <row r="180" spans="1:119" ht="13.5" customHeight="1" x14ac:dyDescent="0.2">
      <c r="A180" s="56"/>
      <c r="B180" s="54"/>
      <c r="C180" s="54"/>
      <c r="D180" s="54"/>
      <c r="F180" s="54"/>
      <c r="G180" s="54"/>
      <c r="H180" s="54"/>
      <c r="I180" s="54"/>
      <c r="J180" s="54"/>
      <c r="K180" s="54"/>
      <c r="L180" s="54"/>
      <c r="M180" s="54"/>
      <c r="N180" s="54"/>
      <c r="O180" s="54"/>
      <c r="P180" s="54"/>
      <c r="Q180" s="54"/>
      <c r="R180" s="54"/>
      <c r="S180" s="54"/>
      <c r="T180" s="54"/>
      <c r="U180" s="54"/>
      <c r="V180" s="54"/>
      <c r="W180" s="54"/>
      <c r="X180" s="54"/>
      <c r="Y180" s="54"/>
      <c r="Z180" s="54"/>
      <c r="AY180" s="62"/>
      <c r="AZ180" s="62"/>
      <c r="BA180" s="62"/>
      <c r="CI180" s="62"/>
      <c r="DJ180" s="62"/>
      <c r="DK180" s="62"/>
      <c r="DL180" s="62"/>
    </row>
    <row r="181" spans="1:119" x14ac:dyDescent="0.2">
      <c r="A181" s="54"/>
      <c r="B181" s="54"/>
      <c r="C181" s="54"/>
      <c r="D181" s="324" t="s">
        <v>453</v>
      </c>
      <c r="E181" s="333"/>
      <c r="F181" s="333"/>
      <c r="G181" s="333"/>
      <c r="H181" s="333"/>
      <c r="I181" s="333"/>
      <c r="J181" s="333"/>
      <c r="K181" s="333"/>
      <c r="L181" s="333"/>
      <c r="M181" s="333"/>
      <c r="N181" s="333"/>
      <c r="O181" s="333"/>
      <c r="P181" s="333"/>
      <c r="Q181" s="333"/>
      <c r="R181" s="333"/>
      <c r="S181" s="333"/>
      <c r="T181" s="333"/>
      <c r="U181" s="333"/>
      <c r="V181" s="333"/>
      <c r="W181" s="333"/>
      <c r="X181" s="333"/>
      <c r="Y181" s="333"/>
      <c r="Z181" s="333"/>
      <c r="AA181" s="333"/>
      <c r="AB181" s="333"/>
      <c r="AC181" s="333"/>
      <c r="AD181" s="333"/>
      <c r="AE181" s="333"/>
      <c r="AF181" s="333"/>
      <c r="AG181" s="333"/>
      <c r="AH181" s="333"/>
      <c r="AI181" s="333"/>
      <c r="AJ181" s="333"/>
      <c r="AK181" s="175"/>
      <c r="AY181" s="62"/>
      <c r="AZ181" s="62"/>
      <c r="BA181" s="62"/>
      <c r="CI181" s="62"/>
      <c r="DJ181" s="62"/>
      <c r="DK181" s="62"/>
      <c r="DL181" s="62"/>
    </row>
    <row r="182" spans="1:119" x14ac:dyDescent="0.2">
      <c r="A182" s="54"/>
      <c r="B182" s="54"/>
      <c r="C182" s="54"/>
      <c r="D182" s="54"/>
      <c r="E182" s="54"/>
      <c r="F182" s="54"/>
      <c r="G182" s="54"/>
      <c r="H182" s="54"/>
      <c r="I182" s="54"/>
      <c r="J182" s="54"/>
      <c r="K182" s="54"/>
      <c r="L182" s="54"/>
      <c r="M182" s="54"/>
      <c r="N182" s="54"/>
      <c r="O182" s="54"/>
      <c r="P182" s="54"/>
      <c r="Q182" s="54"/>
      <c r="R182" s="54"/>
      <c r="S182" s="54"/>
      <c r="T182" s="54"/>
      <c r="U182" s="54"/>
      <c r="V182" s="54"/>
      <c r="W182" s="54"/>
      <c r="X182" s="54"/>
      <c r="Y182" s="54"/>
      <c r="Z182" s="54"/>
      <c r="AY182" s="62"/>
      <c r="AZ182" s="62"/>
      <c r="BA182" s="62"/>
      <c r="CI182" s="62"/>
      <c r="DJ182" s="62"/>
      <c r="DK182" s="62"/>
      <c r="DL182" s="62"/>
    </row>
    <row r="183" spans="1:119" ht="14.25" customHeight="1" x14ac:dyDescent="0.2">
      <c r="A183" s="54"/>
      <c r="B183" s="54"/>
      <c r="C183" s="54"/>
      <c r="D183" s="54"/>
      <c r="E183" s="434" t="s">
        <v>965</v>
      </c>
      <c r="F183" s="434"/>
      <c r="G183" s="434"/>
      <c r="H183" s="434"/>
      <c r="I183" s="434"/>
      <c r="J183" s="434"/>
      <c r="K183" s="434"/>
      <c r="L183" s="434" t="s">
        <v>414</v>
      </c>
      <c r="M183" s="434"/>
      <c r="N183" s="434"/>
      <c r="O183" s="434"/>
      <c r="P183" s="434"/>
      <c r="Q183" s="516" t="s">
        <v>593</v>
      </c>
      <c r="R183" s="516"/>
      <c r="S183" s="516"/>
      <c r="T183" s="516"/>
      <c r="U183" s="516"/>
      <c r="V183" s="516"/>
      <c r="Y183" s="196"/>
      <c r="Z183" s="196"/>
      <c r="AA183" s="196"/>
      <c r="AB183" s="196"/>
      <c r="AK183" s="182"/>
      <c r="AY183" s="62"/>
      <c r="AZ183" s="62"/>
      <c r="BA183" s="62"/>
      <c r="CI183" s="62"/>
      <c r="DJ183" s="62"/>
      <c r="DK183" s="62"/>
      <c r="DL183" s="62"/>
    </row>
    <row r="184" spans="1:119" x14ac:dyDescent="0.2">
      <c r="A184" s="54"/>
      <c r="B184" s="54"/>
      <c r="C184" s="54"/>
      <c r="D184" s="54"/>
      <c r="E184" s="435"/>
      <c r="F184" s="435"/>
      <c r="G184" s="435"/>
      <c r="H184" s="435"/>
      <c r="I184" s="435"/>
      <c r="J184" s="435"/>
      <c r="K184" s="435"/>
      <c r="L184" s="514"/>
      <c r="M184" s="514"/>
      <c r="N184" s="514"/>
      <c r="O184" s="514"/>
      <c r="P184" s="514"/>
      <c r="Q184" s="479" t="s">
        <v>961</v>
      </c>
      <c r="R184" s="479"/>
      <c r="S184" s="479"/>
      <c r="T184" s="476" t="s">
        <v>962</v>
      </c>
      <c r="U184" s="476"/>
      <c r="V184" s="476"/>
      <c r="Y184" s="196"/>
      <c r="Z184" s="196"/>
      <c r="AA184" s="196"/>
      <c r="AB184" s="196"/>
      <c r="AC184" s="196"/>
      <c r="AD184" s="196"/>
      <c r="AE184" s="196"/>
      <c r="AF184" s="196"/>
      <c r="AG184" s="196"/>
      <c r="AH184" s="196"/>
      <c r="AI184" s="196"/>
      <c r="AK184" s="182"/>
      <c r="AY184" s="62"/>
      <c r="AZ184" s="62"/>
      <c r="BA184" s="62"/>
      <c r="CI184" s="62"/>
      <c r="DJ184" s="62"/>
      <c r="DK184" s="62"/>
      <c r="DL184" s="62"/>
    </row>
    <row r="185" spans="1:119" ht="14.25" customHeight="1" x14ac:dyDescent="0.2">
      <c r="A185" s="54"/>
      <c r="B185" s="54"/>
      <c r="C185" s="54"/>
      <c r="D185" s="54"/>
      <c r="E185" s="436" t="s">
        <v>415</v>
      </c>
      <c r="F185" s="436"/>
      <c r="G185" s="436"/>
      <c r="H185" s="436"/>
      <c r="I185" s="436"/>
      <c r="J185" s="436"/>
      <c r="K185" s="436"/>
      <c r="L185" s="515">
        <f>IFERROR(SUMIF($P$213:$P$282,"&gt;0",$P$213:$P$282),0)</f>
        <v>41.5</v>
      </c>
      <c r="M185" s="515"/>
      <c r="N185" s="515"/>
      <c r="O185" s="515"/>
      <c r="P185" s="515"/>
      <c r="Q185" s="477">
        <f>IFERROR(SUMIF($P$213:$P$282,"&gt;0",$DO$213:$DO$282)/SUMIF($P$213:$P$282,"&gt;0",$P$213:$P$282),0)</f>
        <v>125</v>
      </c>
      <c r="R185" s="477"/>
      <c r="S185" s="477"/>
      <c r="T185" s="477">
        <f>IFERROR(SUMIF($P$213:$P$282,"&gt;0",$DR$213:$DR$282)/SUMIF($P$213:$P$282,"&gt;0",$P$213:$P$282),0)</f>
        <v>96.385542168674704</v>
      </c>
      <c r="U185" s="477"/>
      <c r="V185" s="477"/>
      <c r="Y185" s="196"/>
      <c r="Z185" s="196"/>
      <c r="AA185" s="196"/>
      <c r="AB185" s="196"/>
      <c r="AC185" s="196"/>
      <c r="AD185" s="196"/>
      <c r="AE185" s="196"/>
      <c r="AF185" s="196"/>
      <c r="AG185" s="196"/>
      <c r="AH185" s="196"/>
      <c r="AI185" s="196"/>
      <c r="AY185" s="62"/>
      <c r="AZ185" s="62"/>
      <c r="BA185" s="168"/>
      <c r="BB185" s="168"/>
      <c r="BC185" s="168"/>
      <c r="BD185" s="168"/>
      <c r="BE185" s="168"/>
      <c r="BF185" s="168"/>
      <c r="BG185" s="168"/>
      <c r="BH185" s="168"/>
      <c r="BI185" s="168"/>
      <c r="BJ185" s="168"/>
      <c r="CI185" s="62"/>
      <c r="DJ185" s="62"/>
      <c r="DK185" s="62"/>
      <c r="DL185" s="62"/>
    </row>
    <row r="186" spans="1:119" ht="13.5" customHeight="1" x14ac:dyDescent="0.2">
      <c r="A186" s="54"/>
      <c r="B186" s="54"/>
      <c r="C186" s="54"/>
      <c r="D186" s="54"/>
      <c r="E186" s="437" t="s">
        <v>416</v>
      </c>
      <c r="F186" s="437"/>
      <c r="G186" s="437"/>
      <c r="H186" s="437"/>
      <c r="I186" s="437"/>
      <c r="J186" s="437"/>
      <c r="K186" s="437"/>
      <c r="L186" s="475">
        <f>IFERROR(SUMIF($P$213:$P$282,"&lt;0",$P$213:$P$282),0)</f>
        <v>-38.5</v>
      </c>
      <c r="M186" s="475"/>
      <c r="N186" s="475"/>
      <c r="O186" s="475"/>
      <c r="P186" s="475"/>
      <c r="Q186" s="478">
        <f>IFERROR(SUMIF($P$213:$P$282,"&lt;0",$DO$213:$DO$282)/SUMIF($P$213:$P$282,"&lt;0",$P$213:$P$282),0)</f>
        <v>-125</v>
      </c>
      <c r="R186" s="478"/>
      <c r="S186" s="478"/>
      <c r="T186" s="478">
        <f>IFERROR(SUMIF($P$213:$P$282,"&lt;0",$DR$213:$DR$282)/SUMIF($P$213:$P$282,"&lt;0",$P$213:$P$282),0)</f>
        <v>-103.8961038961039</v>
      </c>
      <c r="U186" s="478"/>
      <c r="V186" s="478"/>
      <c r="Y186" s="196"/>
      <c r="Z186" s="196"/>
      <c r="AA186" s="196"/>
      <c r="AB186" s="196"/>
      <c r="AC186" s="196"/>
      <c r="AD186" s="196"/>
      <c r="AE186" s="196"/>
      <c r="AF186" s="196"/>
      <c r="AG186" s="196"/>
      <c r="AH186" s="196"/>
      <c r="AI186" s="196"/>
      <c r="AY186" s="62"/>
      <c r="AZ186" s="62"/>
      <c r="BA186" s="62"/>
      <c r="BB186" s="62"/>
      <c r="BE186" s="62"/>
      <c r="BQ186" s="62"/>
      <c r="CI186" s="62"/>
      <c r="CJ186" s="62"/>
      <c r="DJ186" s="62"/>
      <c r="DK186" s="62"/>
      <c r="DL186" s="62"/>
      <c r="DM186" s="62"/>
      <c r="DN186" s="62"/>
      <c r="DO186" s="62"/>
    </row>
    <row r="187" spans="1:119" x14ac:dyDescent="0.2">
      <c r="A187" s="54"/>
      <c r="B187" s="54"/>
      <c r="C187" s="54"/>
      <c r="D187" s="54"/>
      <c r="E187" s="437" t="s">
        <v>915</v>
      </c>
      <c r="F187" s="437"/>
      <c r="G187" s="437"/>
      <c r="H187" s="437"/>
      <c r="I187" s="437"/>
      <c r="J187" s="437"/>
      <c r="K187" s="437"/>
      <c r="L187" s="475">
        <f>IFERROR(SUM($T$213:$T$282),0)</f>
        <v>0.99999999999999822</v>
      </c>
      <c r="M187" s="475"/>
      <c r="N187" s="475"/>
      <c r="O187" s="475"/>
      <c r="P187" s="475"/>
      <c r="Q187" s="478" t="s">
        <v>2</v>
      </c>
      <c r="R187" s="478"/>
      <c r="S187" s="478"/>
      <c r="T187" s="478">
        <f>IFERROR(SUMIF($T$213:$T$282,IF($L$187&gt;0,"&gt;0",IF($L$187&lt;0,"&lt;0","0")),$DZ$213:$DZ$282)/SUMIF($T$213:$T$282,IF($L$187&gt;0,"&gt;0",IF($L$187&lt;0,"&lt;0","0")),$T$213:$T$282),0)</f>
        <v>-125</v>
      </c>
      <c r="U187" s="478"/>
      <c r="V187" s="478"/>
      <c r="Y187" s="196"/>
      <c r="Z187" s="196"/>
      <c r="AA187" s="196"/>
      <c r="AB187" s="196"/>
      <c r="AC187" s="196"/>
      <c r="AD187" s="196"/>
      <c r="AE187" s="196"/>
      <c r="AF187" s="196"/>
      <c r="AG187" s="196"/>
      <c r="AH187" s="196"/>
      <c r="AI187" s="196"/>
      <c r="AY187" s="62"/>
      <c r="AZ187" s="62"/>
      <c r="BA187" s="62"/>
      <c r="CI187" s="62"/>
      <c r="DJ187" s="62"/>
      <c r="DK187" s="62"/>
      <c r="DL187" s="62"/>
    </row>
    <row r="188" spans="1:119" x14ac:dyDescent="0.2">
      <c r="A188" s="54"/>
      <c r="B188" s="54"/>
      <c r="C188" s="54"/>
      <c r="D188" s="54"/>
      <c r="E188" s="437" t="s">
        <v>916</v>
      </c>
      <c r="F188" s="437"/>
      <c r="G188" s="437"/>
      <c r="H188" s="437"/>
      <c r="I188" s="437"/>
      <c r="J188" s="437"/>
      <c r="K188" s="437"/>
      <c r="L188" s="475">
        <f>IFERROR(SUM($X$213:$X$282),0)</f>
        <v>1.9999999999999991</v>
      </c>
      <c r="M188" s="475"/>
      <c r="N188" s="475"/>
      <c r="O188" s="475"/>
      <c r="P188" s="475"/>
      <c r="Q188" s="478">
        <f>IFERROR(SUMIF($X$213:$X$282,IF($L$188&gt;0,"&gt;0",IF($L$188&lt;0,"&lt;0","0")),$EC$213:$EC$282)/SUMIF($X$213:$X$282,IF($L$188&gt;0,"&gt;0",IF($L$188&lt;0,"&lt;0","0")),$X$213:$X$282),0)</f>
        <v>125</v>
      </c>
      <c r="R188" s="478"/>
      <c r="S188" s="478"/>
      <c r="T188" s="478" t="s">
        <v>2</v>
      </c>
      <c r="U188" s="478"/>
      <c r="V188" s="478"/>
      <c r="Y188" s="196"/>
      <c r="Z188" s="196"/>
      <c r="AA188" s="196"/>
      <c r="AB188" s="196"/>
      <c r="AC188" s="196"/>
      <c r="AD188" s="196"/>
      <c r="AE188" s="196"/>
      <c r="AF188" s="196"/>
      <c r="AG188" s="196"/>
      <c r="AH188" s="196"/>
      <c r="AI188" s="196"/>
      <c r="AY188" s="62"/>
      <c r="AZ188" s="62"/>
      <c r="BA188" s="62"/>
      <c r="CI188" s="62"/>
      <c r="DJ188" s="62"/>
      <c r="DK188" s="62"/>
      <c r="DL188" s="62"/>
    </row>
    <row r="189" spans="1:119" ht="14.25" customHeight="1" x14ac:dyDescent="0.2">
      <c r="A189" s="54"/>
      <c r="B189" s="54"/>
      <c r="C189" s="54"/>
      <c r="D189" s="54"/>
      <c r="E189" s="66"/>
      <c r="Y189" s="196"/>
      <c r="Z189" s="196"/>
      <c r="AA189" s="196"/>
      <c r="AB189" s="196"/>
      <c r="AC189" s="196"/>
      <c r="AD189" s="196"/>
      <c r="AE189" s="196"/>
      <c r="AF189" s="196"/>
      <c r="AG189" s="196"/>
      <c r="AH189" s="196"/>
      <c r="AI189" s="196"/>
      <c r="AY189" s="62"/>
      <c r="AZ189" s="62"/>
      <c r="BA189" s="62"/>
      <c r="CI189" s="62"/>
      <c r="DJ189" s="62"/>
      <c r="DK189" s="62"/>
      <c r="DL189" s="62"/>
    </row>
    <row r="190" spans="1:119" x14ac:dyDescent="0.2">
      <c r="A190" s="54"/>
      <c r="B190" s="54"/>
      <c r="C190" s="324" t="s">
        <v>970</v>
      </c>
      <c r="D190" s="333"/>
      <c r="E190" s="333"/>
      <c r="F190" s="333"/>
      <c r="G190" s="333"/>
      <c r="H190" s="333"/>
      <c r="I190" s="333"/>
      <c r="J190" s="333"/>
      <c r="K190" s="333"/>
      <c r="L190" s="333"/>
      <c r="M190" s="333"/>
      <c r="N190" s="333"/>
      <c r="O190" s="333"/>
      <c r="P190" s="333"/>
      <c r="Q190" s="333"/>
      <c r="R190" s="333"/>
      <c r="S190" s="333"/>
      <c r="T190" s="333"/>
      <c r="U190" s="333"/>
      <c r="V190" s="333"/>
      <c r="W190" s="333"/>
      <c r="X190" s="333"/>
      <c r="Y190" s="333"/>
      <c r="Z190" s="333"/>
      <c r="AA190" s="333"/>
      <c r="AB190" s="333"/>
      <c r="AC190" s="333"/>
      <c r="AD190" s="333"/>
      <c r="AE190" s="333"/>
      <c r="AF190" s="333"/>
      <c r="AG190" s="333"/>
      <c r="AH190" s="333"/>
      <c r="AI190" s="333"/>
      <c r="AJ190" s="333"/>
      <c r="AK190" s="175"/>
      <c r="AY190" s="62"/>
      <c r="AZ190" s="62"/>
      <c r="BA190" s="62"/>
      <c r="CI190" s="62"/>
      <c r="DJ190" s="62"/>
      <c r="DK190" s="62"/>
      <c r="DL190" s="62"/>
    </row>
    <row r="191" spans="1:119" x14ac:dyDescent="0.2">
      <c r="A191" s="56"/>
      <c r="B191" s="54"/>
      <c r="C191" s="54"/>
      <c r="D191" s="54"/>
      <c r="F191" s="54"/>
      <c r="G191" s="54"/>
      <c r="H191" s="54"/>
      <c r="I191" s="54"/>
      <c r="J191" s="54"/>
      <c r="K191" s="54"/>
      <c r="L191" s="54"/>
      <c r="M191" s="54"/>
      <c r="N191" s="54"/>
      <c r="O191" s="54"/>
      <c r="P191" s="54"/>
      <c r="Q191" s="54"/>
      <c r="R191" s="54"/>
      <c r="S191" s="54"/>
      <c r="T191" s="54"/>
      <c r="U191" s="54"/>
      <c r="V191" s="54"/>
      <c r="W191" s="54"/>
      <c r="X191" s="54"/>
      <c r="Y191" s="54"/>
      <c r="Z191" s="54"/>
      <c r="AY191" s="62"/>
      <c r="AZ191" s="62"/>
      <c r="BA191" s="62"/>
      <c r="CI191" s="62"/>
      <c r="DJ191" s="62"/>
      <c r="DK191" s="62"/>
      <c r="DL191" s="62"/>
    </row>
    <row r="192" spans="1:119" ht="12.75" customHeight="1" x14ac:dyDescent="0.2">
      <c r="A192" s="54"/>
      <c r="B192" s="54"/>
      <c r="C192" s="54"/>
      <c r="D192" s="324" t="s">
        <v>418</v>
      </c>
      <c r="E192" s="324"/>
      <c r="F192" s="324"/>
      <c r="G192" s="324"/>
      <c r="H192" s="324"/>
      <c r="I192" s="324"/>
      <c r="J192" s="324"/>
      <c r="K192" s="324"/>
      <c r="L192" s="324"/>
      <c r="M192" s="324"/>
      <c r="N192" s="324"/>
      <c r="O192" s="324"/>
      <c r="P192" s="324"/>
      <c r="Q192" s="324"/>
      <c r="R192" s="324"/>
      <c r="S192" s="324"/>
      <c r="T192" s="324"/>
      <c r="U192" s="324"/>
      <c r="V192" s="324"/>
      <c r="W192" s="324"/>
      <c r="X192" s="193"/>
      <c r="Y192" s="193"/>
      <c r="Z192" s="162"/>
      <c r="AA192" s="162"/>
      <c r="AB192" s="162"/>
      <c r="AC192" s="162"/>
      <c r="AD192" s="162"/>
      <c r="AE192" s="162"/>
      <c r="AF192" s="162"/>
      <c r="AG192" s="162"/>
      <c r="AH192" s="162"/>
      <c r="AI192" s="162"/>
      <c r="AJ192" s="162"/>
      <c r="AK192" s="175"/>
      <c r="AY192" s="62"/>
      <c r="AZ192" s="62"/>
      <c r="BA192" s="62"/>
      <c r="CI192" s="62"/>
      <c r="DJ192" s="62"/>
      <c r="DK192" s="62"/>
      <c r="DL192" s="62"/>
    </row>
    <row r="193" spans="1:127" ht="12.75" customHeight="1" x14ac:dyDescent="0.2">
      <c r="A193" s="54"/>
      <c r="B193" s="54"/>
      <c r="C193" s="54"/>
      <c r="D193" s="324"/>
      <c r="E193" s="324"/>
      <c r="F193" s="324"/>
      <c r="G193" s="324"/>
      <c r="H193" s="324"/>
      <c r="I193" s="324"/>
      <c r="J193" s="324"/>
      <c r="K193" s="324"/>
      <c r="L193" s="324"/>
      <c r="M193" s="324"/>
      <c r="N193" s="324"/>
      <c r="O193" s="324"/>
      <c r="P193" s="324"/>
      <c r="Q193" s="324"/>
      <c r="R193" s="324"/>
      <c r="S193" s="324"/>
      <c r="T193" s="324"/>
      <c r="U193" s="324"/>
      <c r="V193" s="324"/>
      <c r="W193" s="324"/>
      <c r="X193" s="193"/>
      <c r="Y193" s="193"/>
      <c r="Z193" s="162"/>
      <c r="AA193" s="162"/>
      <c r="AB193" s="162"/>
      <c r="AC193" s="162"/>
      <c r="AD193" s="162"/>
      <c r="AE193" s="162"/>
      <c r="AF193" s="162"/>
      <c r="AG193" s="162"/>
      <c r="AH193" s="162"/>
      <c r="AI193" s="162"/>
      <c r="AJ193" s="162"/>
      <c r="AK193" s="195"/>
      <c r="AY193" s="62"/>
      <c r="AZ193" s="62"/>
      <c r="BA193" s="62"/>
      <c r="CI193" s="62"/>
      <c r="DJ193" s="62"/>
      <c r="DK193" s="62"/>
      <c r="DL193" s="62"/>
    </row>
    <row r="194" spans="1:127" ht="12.75" customHeight="1" x14ac:dyDescent="0.2">
      <c r="A194" s="54"/>
      <c r="B194" s="54"/>
      <c r="C194" s="54"/>
      <c r="D194" s="324"/>
      <c r="E194" s="324"/>
      <c r="F194" s="324"/>
      <c r="G194" s="324"/>
      <c r="H194" s="324"/>
      <c r="I194" s="324"/>
      <c r="J194" s="324"/>
      <c r="K194" s="324"/>
      <c r="L194" s="324"/>
      <c r="M194" s="324"/>
      <c r="N194" s="324"/>
      <c r="O194" s="324"/>
      <c r="P194" s="324"/>
      <c r="Q194" s="324"/>
      <c r="R194" s="324"/>
      <c r="S194" s="324"/>
      <c r="T194" s="324"/>
      <c r="U194" s="324"/>
      <c r="V194" s="324"/>
      <c r="W194" s="324"/>
      <c r="X194" s="193"/>
      <c r="Y194" s="193"/>
      <c r="Z194" s="195"/>
      <c r="AA194" s="195"/>
      <c r="AB194" s="195"/>
      <c r="AC194" s="195"/>
      <c r="AD194" s="195"/>
      <c r="AE194" s="195"/>
      <c r="AF194" s="195"/>
      <c r="AG194" s="195"/>
      <c r="AH194" s="195"/>
      <c r="AI194" s="195"/>
      <c r="AJ194" s="195"/>
      <c r="AK194" s="175"/>
      <c r="AY194" s="62"/>
      <c r="AZ194" s="62"/>
      <c r="BA194" s="62"/>
      <c r="CI194" s="62"/>
      <c r="DJ194" s="62"/>
      <c r="DK194" s="62"/>
      <c r="DL194" s="62"/>
    </row>
    <row r="195" spans="1:127" x14ac:dyDescent="0.2">
      <c r="A195" s="54"/>
      <c r="B195" s="54"/>
      <c r="C195" s="54"/>
      <c r="D195" s="54"/>
      <c r="E195" s="54"/>
      <c r="F195" s="54"/>
      <c r="G195" s="54"/>
      <c r="H195" s="54"/>
      <c r="I195" s="54"/>
      <c r="J195" s="54"/>
      <c r="K195" s="54"/>
      <c r="L195" s="54"/>
      <c r="M195" s="54"/>
      <c r="N195" s="54"/>
      <c r="O195" s="54"/>
      <c r="P195" s="54"/>
      <c r="Q195" s="54"/>
      <c r="R195" s="54"/>
      <c r="S195" s="54"/>
      <c r="T195" s="54"/>
      <c r="U195" s="54"/>
      <c r="V195" s="54"/>
      <c r="W195" s="54"/>
      <c r="X195" s="54"/>
      <c r="Y195" s="54"/>
      <c r="Z195" s="54"/>
      <c r="AY195" s="62"/>
      <c r="AZ195" s="62"/>
      <c r="BA195" s="62"/>
      <c r="BC195" s="62"/>
      <c r="BD195" s="62"/>
      <c r="BF195" s="62"/>
      <c r="BG195" s="62"/>
      <c r="BH195" s="62"/>
      <c r="BI195" s="62"/>
      <c r="BJ195" s="62"/>
      <c r="BK195" s="62"/>
      <c r="BL195" s="62"/>
      <c r="BM195" s="62"/>
      <c r="BN195" s="62"/>
      <c r="BO195" s="62"/>
      <c r="BP195" s="62"/>
      <c r="BR195" s="62"/>
      <c r="BS195" s="62"/>
      <c r="BT195" s="62"/>
      <c r="BU195" s="62"/>
      <c r="BV195" s="62"/>
      <c r="BW195" s="62"/>
      <c r="BX195" s="62"/>
      <c r="BY195" s="62"/>
      <c r="BZ195" s="62"/>
      <c r="CI195" s="62"/>
      <c r="CK195" s="62"/>
      <c r="CL195" s="62"/>
      <c r="CM195" s="62"/>
      <c r="CN195" s="62"/>
      <c r="CO195" s="62"/>
      <c r="CP195" s="62"/>
      <c r="CQ195" s="62"/>
      <c r="DJ195" s="62"/>
      <c r="DK195" s="62"/>
      <c r="DL195" s="62"/>
      <c r="DP195" s="62"/>
      <c r="DQ195" s="62"/>
      <c r="DR195" s="62"/>
      <c r="DS195" s="62"/>
      <c r="DT195" s="62"/>
      <c r="DU195" s="62"/>
      <c r="DV195" s="62"/>
    </row>
    <row r="196" spans="1:127" ht="12.75" customHeight="1" x14ac:dyDescent="0.2">
      <c r="A196" s="54"/>
      <c r="B196" s="54"/>
      <c r="C196" s="54"/>
      <c r="D196" s="489" t="s">
        <v>455</v>
      </c>
      <c r="E196" s="489"/>
      <c r="F196" s="489"/>
      <c r="G196" s="489"/>
      <c r="H196" s="489"/>
      <c r="I196" s="489"/>
      <c r="J196" s="489"/>
      <c r="K196" s="489"/>
      <c r="L196" s="489"/>
      <c r="M196" s="489"/>
      <c r="N196" s="489"/>
      <c r="O196" s="489"/>
      <c r="P196" s="484">
        <f>IFERROR(MATCH($S$196,$P$213:$P$259,0),"")</f>
        <v>1</v>
      </c>
      <c r="Q196" s="485"/>
      <c r="R196" s="485"/>
      <c r="S196" s="486">
        <f>IF(MAX($P$213:$S$259)&lt;0,"-",MAX($P$213:$S$259))</f>
        <v>36.75</v>
      </c>
      <c r="T196" s="486"/>
      <c r="U196" s="486"/>
      <c r="V196" s="487"/>
      <c r="W196" s="488"/>
      <c r="X196" s="54"/>
      <c r="Y196" s="54"/>
      <c r="Z196" s="54"/>
      <c r="AA196" s="54"/>
      <c r="AY196" s="62"/>
      <c r="AZ196" s="62"/>
      <c r="BA196" s="62"/>
      <c r="BB196" s="63"/>
      <c r="BC196" s="62"/>
      <c r="BD196" s="62"/>
      <c r="BE196" s="63"/>
      <c r="BF196" s="62"/>
      <c r="BG196" s="62"/>
      <c r="BH196" s="62"/>
      <c r="BI196" s="62"/>
      <c r="BJ196" s="62"/>
      <c r="BK196" s="62"/>
      <c r="BL196" s="62"/>
      <c r="BM196" s="62"/>
      <c r="BN196" s="62"/>
      <c r="BO196" s="62"/>
      <c r="BP196" s="62"/>
      <c r="BQ196" s="63"/>
      <c r="BR196" s="62"/>
      <c r="BS196" s="62"/>
      <c r="BT196" s="62"/>
      <c r="BU196" s="62"/>
      <c r="BV196" s="62"/>
      <c r="BW196" s="62"/>
      <c r="BX196" s="62"/>
      <c r="BY196" s="62"/>
      <c r="BZ196" s="62"/>
      <c r="CI196" s="62"/>
      <c r="CJ196" s="63"/>
      <c r="CK196" s="62"/>
      <c r="CL196" s="62"/>
      <c r="CM196" s="62"/>
      <c r="CN196" s="62"/>
      <c r="CO196" s="62"/>
      <c r="CP196" s="62"/>
      <c r="CQ196" s="62"/>
      <c r="DJ196" s="62"/>
      <c r="DK196" s="62"/>
      <c r="DL196" s="62"/>
      <c r="DM196" s="63"/>
      <c r="DN196" s="63"/>
      <c r="DO196" s="63"/>
      <c r="DP196" s="62"/>
      <c r="DQ196" s="62"/>
      <c r="DR196" s="62"/>
      <c r="DS196" s="62"/>
      <c r="DT196" s="62"/>
      <c r="DU196" s="62"/>
      <c r="DV196" s="62"/>
    </row>
    <row r="197" spans="1:127" ht="12.75" customHeight="1" x14ac:dyDescent="0.2">
      <c r="A197" s="54"/>
      <c r="B197" s="54"/>
      <c r="C197" s="54"/>
      <c r="D197" s="54"/>
      <c r="E197" s="54"/>
      <c r="F197" s="54"/>
      <c r="G197" s="54"/>
      <c r="H197" s="54"/>
      <c r="I197" s="54"/>
      <c r="J197" s="54"/>
      <c r="K197" s="54"/>
      <c r="P197" s="199"/>
      <c r="Q197" s="199"/>
      <c r="R197" s="199"/>
      <c r="X197" s="54"/>
      <c r="Y197" s="54"/>
      <c r="Z197" s="54"/>
      <c r="AA197" s="54"/>
      <c r="AY197" s="62"/>
      <c r="AZ197" s="62"/>
      <c r="BA197" s="62"/>
      <c r="BB197" s="63"/>
      <c r="BC197" s="62"/>
      <c r="BD197" s="62"/>
      <c r="BE197" s="63"/>
      <c r="BF197" s="62"/>
      <c r="BG197" s="62"/>
      <c r="BH197" s="62"/>
      <c r="BI197" s="62"/>
      <c r="BJ197" s="62"/>
      <c r="BK197" s="62"/>
      <c r="BL197" s="62"/>
      <c r="BM197" s="62"/>
      <c r="BN197" s="62"/>
      <c r="BO197" s="62"/>
      <c r="BP197" s="62"/>
      <c r="BQ197" s="63"/>
      <c r="BR197" s="62"/>
      <c r="BS197" s="62"/>
      <c r="BT197" s="62"/>
      <c r="BU197" s="62"/>
      <c r="BV197" s="62"/>
      <c r="BW197" s="62"/>
      <c r="BX197" s="62"/>
      <c r="BY197" s="62"/>
      <c r="BZ197" s="62"/>
      <c r="CI197" s="62"/>
      <c r="CJ197" s="63"/>
      <c r="CK197" s="62"/>
      <c r="CL197" s="62"/>
      <c r="CM197" s="62"/>
      <c r="CN197" s="62"/>
      <c r="CO197" s="62"/>
      <c r="CP197" s="62"/>
      <c r="CQ197" s="62"/>
      <c r="DJ197" s="62"/>
      <c r="DK197" s="62"/>
      <c r="DL197" s="62"/>
      <c r="DM197" s="63"/>
      <c r="DN197" s="63"/>
      <c r="DO197" s="63"/>
      <c r="DP197" s="62"/>
      <c r="DQ197" s="62"/>
      <c r="DR197" s="62"/>
      <c r="DS197" s="62"/>
      <c r="DT197" s="62"/>
      <c r="DU197" s="62"/>
      <c r="DV197" s="62"/>
    </row>
    <row r="198" spans="1:127" ht="12.75" customHeight="1" x14ac:dyDescent="0.2">
      <c r="A198" s="54"/>
      <c r="B198" s="54"/>
      <c r="C198" s="54"/>
      <c r="D198" s="489" t="s">
        <v>456</v>
      </c>
      <c r="E198" s="489"/>
      <c r="F198" s="489"/>
      <c r="G198" s="489"/>
      <c r="H198" s="489"/>
      <c r="I198" s="489"/>
      <c r="J198" s="489"/>
      <c r="K198" s="489"/>
      <c r="L198" s="489"/>
      <c r="M198" s="489"/>
      <c r="N198" s="489"/>
      <c r="O198" s="489"/>
      <c r="P198" s="484">
        <f>IFERROR(MATCH($S$198,$AB$213:$AB$259,0),"")</f>
        <v>3</v>
      </c>
      <c r="Q198" s="485"/>
      <c r="R198" s="485"/>
      <c r="S198" s="486">
        <f>IF(ABS(MAX($AB$213:$AE$259))&lt;ABS(MIN($AB$213:$AE$259)),MIN($AB$213:$AE$259),MAX($AB$213:$AE$259))</f>
        <v>9.017344398435716</v>
      </c>
      <c r="T198" s="486"/>
      <c r="U198" s="486"/>
      <c r="V198" s="487"/>
      <c r="W198" s="488"/>
      <c r="X198" s="54"/>
      <c r="Y198" s="54"/>
      <c r="Z198" s="54"/>
      <c r="AA198" s="54"/>
      <c r="AY198" s="62"/>
      <c r="AZ198" s="62"/>
      <c r="BA198" s="62"/>
      <c r="BB198" s="63"/>
      <c r="BC198" s="62"/>
      <c r="BD198" s="62"/>
      <c r="BE198" s="63"/>
      <c r="BF198" s="62"/>
      <c r="BG198" s="62"/>
      <c r="BH198" s="62"/>
      <c r="BI198" s="62"/>
      <c r="BJ198" s="62"/>
      <c r="BK198" s="62"/>
      <c r="BL198" s="62"/>
      <c r="BM198" s="62"/>
      <c r="BN198" s="62"/>
      <c r="BO198" s="62"/>
      <c r="BP198" s="62"/>
      <c r="BQ198" s="63"/>
      <c r="BR198" s="62"/>
      <c r="BS198" s="62"/>
      <c r="BT198" s="62"/>
      <c r="BU198" s="62"/>
      <c r="BV198" s="62"/>
      <c r="BW198" s="62"/>
      <c r="BX198" s="62"/>
      <c r="BY198" s="62"/>
      <c r="BZ198" s="62"/>
      <c r="CI198" s="62"/>
      <c r="CJ198" s="63"/>
      <c r="CK198" s="62"/>
      <c r="CL198" s="62"/>
      <c r="CM198" s="62"/>
      <c r="CN198" s="62"/>
      <c r="CO198" s="62"/>
      <c r="CP198" s="62"/>
      <c r="CQ198" s="62"/>
      <c r="DJ198" s="62"/>
      <c r="DK198" s="62"/>
      <c r="DL198" s="62"/>
      <c r="DM198" s="63"/>
      <c r="DN198" s="63"/>
      <c r="DO198" s="63"/>
      <c r="DP198" s="62"/>
      <c r="DQ198" s="62"/>
      <c r="DR198" s="62"/>
      <c r="DS198" s="62"/>
      <c r="DT198" s="62"/>
      <c r="DU198" s="62"/>
      <c r="DV198" s="62"/>
    </row>
    <row r="199" spans="1:127" ht="12.75" customHeight="1" x14ac:dyDescent="0.2">
      <c r="A199" s="54"/>
      <c r="B199" s="54"/>
      <c r="C199" s="54"/>
      <c r="X199" s="54"/>
      <c r="Y199" s="54"/>
      <c r="Z199" s="54"/>
      <c r="AA199" s="54"/>
      <c r="AY199" s="62"/>
      <c r="AZ199" s="62"/>
      <c r="BA199" s="62"/>
      <c r="BB199" s="63"/>
      <c r="BC199" s="62"/>
      <c r="BD199" s="62"/>
      <c r="BE199" s="63"/>
      <c r="BF199" s="62"/>
      <c r="BG199" s="62"/>
      <c r="BH199" s="62"/>
      <c r="BI199" s="62"/>
      <c r="BJ199" s="62"/>
      <c r="BK199" s="62"/>
      <c r="BL199" s="62"/>
      <c r="BM199" s="62"/>
      <c r="BN199" s="62"/>
      <c r="BO199" s="62"/>
      <c r="BP199" s="62"/>
      <c r="BQ199" s="63"/>
      <c r="BR199" s="62"/>
      <c r="BS199" s="62"/>
      <c r="BT199" s="62"/>
      <c r="BU199" s="62"/>
      <c r="BV199" s="62"/>
      <c r="BW199" s="62"/>
      <c r="BX199" s="62"/>
      <c r="BY199" s="62"/>
      <c r="BZ199" s="62"/>
      <c r="CI199" s="62"/>
      <c r="CJ199" s="63"/>
      <c r="CK199" s="62"/>
      <c r="CL199" s="62"/>
      <c r="CM199" s="62"/>
      <c r="CN199" s="62"/>
      <c r="CO199" s="62"/>
      <c r="CP199" s="62"/>
      <c r="CQ199" s="62"/>
      <c r="DJ199" s="62"/>
      <c r="DK199" s="62"/>
      <c r="DL199" s="62"/>
      <c r="DM199" s="63"/>
      <c r="DN199" s="63"/>
      <c r="DO199" s="63"/>
      <c r="DP199" s="62"/>
      <c r="DQ199" s="62"/>
      <c r="DR199" s="62"/>
      <c r="DS199" s="62"/>
      <c r="DT199" s="62"/>
      <c r="DU199" s="62"/>
      <c r="DV199" s="62"/>
    </row>
    <row r="200" spans="1:127" ht="12.75" customHeight="1" x14ac:dyDescent="0.2">
      <c r="A200" s="54"/>
      <c r="B200" s="54"/>
      <c r="C200" s="54"/>
      <c r="X200" s="54"/>
      <c r="Y200" s="54"/>
      <c r="Z200" s="54"/>
      <c r="AA200" s="54"/>
      <c r="AY200" s="62"/>
      <c r="AZ200" s="62"/>
      <c r="BA200" s="62"/>
      <c r="BB200" s="63"/>
      <c r="BC200" s="62"/>
      <c r="BD200" s="62"/>
      <c r="BE200" s="63"/>
      <c r="BF200" s="62"/>
      <c r="BG200" s="62"/>
      <c r="BH200" s="62"/>
      <c r="BI200" s="62"/>
      <c r="BJ200" s="62"/>
      <c r="BK200" s="62"/>
      <c r="BL200" s="62"/>
      <c r="BM200" s="62"/>
      <c r="BN200" s="62"/>
      <c r="BO200" s="62"/>
      <c r="BP200" s="62"/>
      <c r="BQ200" s="63"/>
      <c r="BR200" s="62"/>
      <c r="BS200" s="62"/>
      <c r="BT200" s="62"/>
      <c r="BU200" s="62"/>
      <c r="BV200" s="62"/>
      <c r="BW200" s="62"/>
      <c r="BX200" s="62"/>
      <c r="BY200" s="62"/>
      <c r="BZ200" s="62"/>
      <c r="CI200" s="62"/>
      <c r="CJ200" s="63"/>
      <c r="CK200" s="62"/>
      <c r="CL200" s="62"/>
      <c r="CM200" s="62"/>
      <c r="CN200" s="62"/>
      <c r="CO200" s="62"/>
      <c r="CP200" s="62"/>
      <c r="CQ200" s="62"/>
      <c r="DJ200" s="62"/>
      <c r="DK200" s="62"/>
      <c r="DL200" s="62"/>
      <c r="DM200" s="63"/>
      <c r="DN200" s="63"/>
      <c r="DO200" s="63"/>
      <c r="DP200" s="62"/>
      <c r="DQ200" s="62"/>
      <c r="DR200" s="62"/>
      <c r="DS200" s="62"/>
      <c r="DT200" s="62"/>
      <c r="DU200" s="62"/>
      <c r="DV200" s="62"/>
    </row>
    <row r="201" spans="1:127" ht="12.75" customHeight="1" x14ac:dyDescent="0.2">
      <c r="A201" s="54"/>
      <c r="B201" s="54"/>
      <c r="C201" s="54"/>
      <c r="D201" s="287" t="s">
        <v>1002</v>
      </c>
      <c r="E201" s="287"/>
      <c r="F201" s="287"/>
      <c r="G201" s="287"/>
      <c r="H201" s="287"/>
      <c r="I201" s="287"/>
      <c r="J201" s="287"/>
      <c r="K201" s="287"/>
      <c r="L201" s="287"/>
      <c r="M201" s="287"/>
      <c r="N201" s="287"/>
      <c r="O201" s="287"/>
      <c r="P201" s="287"/>
      <c r="Q201" s="287"/>
      <c r="R201" s="287"/>
      <c r="S201" s="287"/>
      <c r="T201" s="287"/>
      <c r="U201" s="287"/>
      <c r="V201" s="287"/>
      <c r="W201" s="287"/>
      <c r="X201" s="193"/>
      <c r="Y201" s="193"/>
      <c r="Z201" s="193"/>
      <c r="AA201" s="193"/>
      <c r="AB201" s="193"/>
      <c r="AC201" s="193"/>
      <c r="AD201" s="193"/>
      <c r="AE201" s="193"/>
      <c r="AF201" s="193"/>
      <c r="AG201" s="193"/>
      <c r="AH201" s="193"/>
      <c r="AI201" s="193"/>
      <c r="AJ201" s="193"/>
      <c r="AK201" s="177"/>
      <c r="AY201" s="62"/>
      <c r="AZ201" s="62"/>
      <c r="BA201" s="62"/>
      <c r="BB201" s="63"/>
      <c r="BC201" s="62"/>
      <c r="BD201" s="62"/>
      <c r="BE201" s="63"/>
      <c r="BF201" s="62"/>
      <c r="BG201" s="62"/>
      <c r="BH201" s="62"/>
      <c r="BI201" s="62"/>
      <c r="BJ201" s="62"/>
      <c r="BK201" s="62"/>
      <c r="BL201" s="62"/>
      <c r="BM201" s="62"/>
      <c r="BN201" s="62"/>
      <c r="BO201" s="62"/>
      <c r="BP201" s="62"/>
      <c r="BQ201" s="63"/>
      <c r="BR201" s="62"/>
      <c r="BS201" s="62"/>
      <c r="BT201" s="62"/>
      <c r="BU201" s="62"/>
      <c r="BV201" s="62"/>
      <c r="BW201" s="62"/>
      <c r="BX201" s="62"/>
      <c r="BY201" s="62"/>
      <c r="BZ201" s="62"/>
      <c r="CI201" s="62"/>
      <c r="CJ201" s="63"/>
      <c r="CK201" s="62"/>
      <c r="CL201" s="62"/>
      <c r="CM201" s="62"/>
      <c r="CN201" s="62"/>
      <c r="CO201" s="62"/>
      <c r="CP201" s="62"/>
      <c r="CQ201" s="62"/>
      <c r="DJ201" s="62"/>
      <c r="DK201" s="62"/>
      <c r="DL201" s="62"/>
      <c r="DM201" s="63"/>
      <c r="DN201" s="63"/>
      <c r="DO201" s="63"/>
      <c r="DP201" s="62"/>
      <c r="DQ201" s="62"/>
      <c r="DR201" s="62"/>
      <c r="DS201" s="62"/>
      <c r="DT201" s="62"/>
      <c r="DU201" s="62"/>
      <c r="DV201" s="62"/>
    </row>
    <row r="202" spans="1:127" ht="12.75" customHeight="1" x14ac:dyDescent="0.2">
      <c r="A202" s="54"/>
      <c r="B202" s="54"/>
      <c r="C202" s="54"/>
      <c r="D202" s="287"/>
      <c r="E202" s="287"/>
      <c r="F202" s="287"/>
      <c r="G202" s="287"/>
      <c r="H202" s="287"/>
      <c r="I202" s="287"/>
      <c r="J202" s="287"/>
      <c r="K202" s="287"/>
      <c r="L202" s="287"/>
      <c r="M202" s="287"/>
      <c r="N202" s="287"/>
      <c r="O202" s="287"/>
      <c r="P202" s="287"/>
      <c r="Q202" s="287"/>
      <c r="R202" s="287"/>
      <c r="S202" s="287"/>
      <c r="T202" s="287"/>
      <c r="U202" s="287"/>
      <c r="V202" s="287"/>
      <c r="W202" s="287"/>
      <c r="X202" s="193"/>
      <c r="Y202" s="193"/>
      <c r="Z202" s="193"/>
      <c r="AA202" s="193"/>
      <c r="AB202" s="193"/>
      <c r="AC202" s="193"/>
      <c r="AD202" s="193"/>
      <c r="AE202" s="193"/>
      <c r="AF202" s="193"/>
      <c r="AG202" s="193"/>
      <c r="AH202" s="193"/>
      <c r="AI202" s="193"/>
      <c r="AJ202" s="193"/>
      <c r="AK202" s="177"/>
      <c r="AQ202" s="61"/>
      <c r="AR202" s="61"/>
      <c r="AS202" s="61"/>
      <c r="AT202" s="61"/>
      <c r="AU202" s="61"/>
      <c r="AV202" s="61"/>
      <c r="AW202" s="61"/>
      <c r="AX202" s="61"/>
      <c r="BF202" s="62"/>
      <c r="BG202" s="62"/>
      <c r="BH202" s="62"/>
      <c r="BI202" s="62"/>
      <c r="BJ202" s="62"/>
      <c r="BK202" s="62"/>
      <c r="BL202" s="62"/>
      <c r="BM202" s="62"/>
      <c r="BN202" s="62"/>
      <c r="BO202" s="62"/>
      <c r="BP202" s="62"/>
      <c r="BQ202" s="63"/>
      <c r="BR202" s="62"/>
      <c r="BS202" s="62"/>
      <c r="BT202" s="62"/>
      <c r="BU202" s="62"/>
      <c r="BV202" s="62"/>
      <c r="BW202" s="62"/>
      <c r="BX202" s="62"/>
      <c r="BY202" s="62"/>
      <c r="BZ202" s="62"/>
      <c r="CI202" s="62"/>
      <c r="CJ202" s="63"/>
      <c r="CK202" s="62"/>
      <c r="CL202" s="62"/>
      <c r="CM202" s="62"/>
      <c r="CN202" s="62"/>
      <c r="CO202" s="62"/>
      <c r="CP202" s="62"/>
      <c r="CQ202" s="62"/>
      <c r="DJ202" s="62"/>
      <c r="DK202" s="62"/>
      <c r="DL202" s="62"/>
      <c r="DM202" s="63"/>
      <c r="DN202" s="63"/>
      <c r="DO202" s="63"/>
      <c r="DP202" s="62"/>
      <c r="DQ202" s="62"/>
      <c r="DR202" s="62"/>
      <c r="DS202" s="62"/>
      <c r="DT202" s="62"/>
      <c r="DU202" s="62"/>
      <c r="DV202" s="62"/>
    </row>
    <row r="203" spans="1:127" ht="12.75" customHeight="1" x14ac:dyDescent="0.2">
      <c r="A203" s="54"/>
      <c r="B203" s="54"/>
      <c r="C203" s="54"/>
      <c r="D203" s="287"/>
      <c r="E203" s="287"/>
      <c r="F203" s="287"/>
      <c r="G203" s="287"/>
      <c r="H203" s="287"/>
      <c r="I203" s="287"/>
      <c r="J203" s="287"/>
      <c r="K203" s="287"/>
      <c r="L203" s="287"/>
      <c r="M203" s="287"/>
      <c r="N203" s="287"/>
      <c r="O203" s="287"/>
      <c r="P203" s="287"/>
      <c r="Q203" s="287"/>
      <c r="R203" s="287"/>
      <c r="S203" s="287"/>
      <c r="T203" s="287"/>
      <c r="U203" s="287"/>
      <c r="V203" s="287"/>
      <c r="W203" s="287"/>
      <c r="X203" s="193"/>
      <c r="Y203" s="193"/>
      <c r="Z203" s="193"/>
      <c r="AA203" s="193"/>
      <c r="AB203" s="193"/>
      <c r="AC203" s="193"/>
      <c r="AD203" s="193"/>
      <c r="AE203" s="193"/>
      <c r="AF203" s="193"/>
      <c r="AG203" s="193"/>
      <c r="AH203" s="193"/>
      <c r="AI203" s="193"/>
      <c r="AJ203" s="193"/>
      <c r="AK203" s="177"/>
      <c r="AQ203" s="61"/>
      <c r="AR203" s="61"/>
      <c r="AS203" s="61"/>
      <c r="AT203" s="61"/>
      <c r="AU203" s="61"/>
      <c r="AV203" s="61"/>
      <c r="AW203" s="61"/>
      <c r="AX203" s="61"/>
      <c r="BF203" s="62"/>
      <c r="BG203" s="62"/>
      <c r="BH203" s="62"/>
      <c r="BI203" s="62"/>
      <c r="BJ203" s="62"/>
      <c r="BK203" s="62"/>
      <c r="BL203" s="62"/>
      <c r="BM203" s="62"/>
      <c r="BN203" s="62"/>
      <c r="BO203" s="62"/>
      <c r="BP203" s="62"/>
      <c r="BQ203" s="63"/>
      <c r="BR203" s="62"/>
      <c r="BS203" s="62"/>
      <c r="BT203" s="62"/>
      <c r="BU203" s="62"/>
      <c r="BV203" s="62"/>
      <c r="BW203" s="62"/>
      <c r="BX203" s="62"/>
      <c r="BY203" s="62"/>
      <c r="BZ203" s="62"/>
      <c r="CI203" s="62"/>
      <c r="CJ203" s="63"/>
      <c r="CK203" s="62"/>
      <c r="CL203" s="62"/>
      <c r="CM203" s="62"/>
      <c r="CN203" s="62"/>
      <c r="CO203" s="62"/>
      <c r="CP203" s="62"/>
      <c r="CQ203" s="62"/>
      <c r="DJ203" s="62"/>
      <c r="DK203" s="62"/>
      <c r="DL203" s="62"/>
      <c r="DM203" s="63"/>
      <c r="DN203" s="63"/>
      <c r="DO203" s="63"/>
      <c r="DP203" s="62"/>
      <c r="DQ203" s="62"/>
      <c r="DR203" s="62"/>
      <c r="DS203" s="62"/>
      <c r="DT203" s="62"/>
      <c r="DU203" s="62"/>
      <c r="DV203" s="62"/>
    </row>
    <row r="204" spans="1:127" ht="12.75" customHeight="1" x14ac:dyDescent="0.2">
      <c r="A204" s="54"/>
      <c r="B204" s="54"/>
      <c r="C204" s="54"/>
      <c r="D204" s="287"/>
      <c r="E204" s="287"/>
      <c r="F204" s="287"/>
      <c r="G204" s="287"/>
      <c r="H204" s="287"/>
      <c r="I204" s="287"/>
      <c r="J204" s="287"/>
      <c r="K204" s="287"/>
      <c r="L204" s="287"/>
      <c r="M204" s="287"/>
      <c r="N204" s="287"/>
      <c r="O204" s="287"/>
      <c r="P204" s="287"/>
      <c r="Q204" s="287"/>
      <c r="R204" s="287"/>
      <c r="S204" s="287"/>
      <c r="T204" s="287"/>
      <c r="U204" s="287"/>
      <c r="V204" s="287"/>
      <c r="W204" s="287"/>
      <c r="X204" s="193"/>
      <c r="Y204" s="193"/>
      <c r="Z204" s="193"/>
      <c r="AA204" s="193"/>
      <c r="AB204" s="193"/>
      <c r="AC204" s="193"/>
      <c r="AD204" s="193"/>
      <c r="AE204" s="193"/>
      <c r="AF204" s="193"/>
      <c r="AG204" s="193"/>
      <c r="AH204" s="193"/>
      <c r="AI204" s="193"/>
      <c r="AJ204" s="193"/>
      <c r="AK204" s="177"/>
      <c r="AQ204" s="61"/>
      <c r="AR204" s="61"/>
      <c r="AS204" s="61"/>
      <c r="AT204" s="61"/>
      <c r="AU204" s="61"/>
      <c r="AV204" s="61"/>
      <c r="AW204" s="61"/>
      <c r="AX204" s="61"/>
      <c r="BF204" s="62"/>
      <c r="BG204" s="62"/>
      <c r="BH204" s="62"/>
      <c r="BI204" s="62"/>
      <c r="BJ204" s="62"/>
      <c r="BK204" s="62"/>
      <c r="BL204" s="62"/>
      <c r="BM204" s="62"/>
      <c r="BN204" s="62"/>
      <c r="BO204" s="62"/>
      <c r="BP204" s="62"/>
      <c r="BQ204" s="63"/>
      <c r="BR204" s="62"/>
      <c r="BS204" s="62"/>
      <c r="BT204" s="62"/>
      <c r="BU204" s="62"/>
      <c r="BV204" s="62"/>
      <c r="BW204" s="62"/>
      <c r="BX204" s="62"/>
      <c r="BY204" s="62"/>
      <c r="BZ204" s="62"/>
      <c r="CI204" s="62"/>
      <c r="CJ204" s="63"/>
      <c r="CK204" s="62"/>
      <c r="CL204" s="62"/>
      <c r="CM204" s="62"/>
      <c r="CN204" s="62"/>
      <c r="CO204" s="62"/>
      <c r="CP204" s="62"/>
      <c r="CQ204" s="62"/>
      <c r="DJ204" s="62"/>
      <c r="DK204" s="62"/>
      <c r="DL204" s="62"/>
      <c r="DM204" s="63"/>
      <c r="DN204" s="63"/>
      <c r="DO204" s="63"/>
      <c r="DP204" s="62"/>
      <c r="DQ204" s="62"/>
      <c r="DR204" s="62"/>
      <c r="DS204" s="62"/>
      <c r="DT204" s="62"/>
      <c r="DU204" s="62"/>
      <c r="DV204" s="62"/>
    </row>
    <row r="205" spans="1:127" ht="12.75" customHeight="1" x14ac:dyDescent="0.2">
      <c r="A205" s="54"/>
      <c r="B205" s="54"/>
      <c r="C205" s="54"/>
      <c r="D205" s="287"/>
      <c r="E205" s="287"/>
      <c r="F205" s="287"/>
      <c r="G205" s="287"/>
      <c r="H205" s="287"/>
      <c r="I205" s="287"/>
      <c r="J205" s="287"/>
      <c r="K205" s="287"/>
      <c r="L205" s="287"/>
      <c r="M205" s="287"/>
      <c r="N205" s="287"/>
      <c r="O205" s="287"/>
      <c r="P205" s="287"/>
      <c r="Q205" s="287"/>
      <c r="R205" s="287"/>
      <c r="S205" s="287"/>
      <c r="T205" s="287"/>
      <c r="U205" s="287"/>
      <c r="V205" s="287"/>
      <c r="W205" s="287"/>
      <c r="X205" s="193"/>
      <c r="Y205" s="193"/>
      <c r="Z205" s="193"/>
      <c r="AA205" s="193"/>
      <c r="AB205" s="193"/>
      <c r="AC205" s="193"/>
      <c r="AD205" s="193"/>
      <c r="AE205" s="193"/>
      <c r="AF205" s="193"/>
      <c r="AG205" s="193"/>
      <c r="AH205" s="193"/>
      <c r="AI205" s="193"/>
      <c r="AJ205" s="193"/>
      <c r="AK205" s="177"/>
      <c r="AQ205" s="61"/>
      <c r="AR205" s="61"/>
      <c r="AS205" s="61"/>
      <c r="AT205" s="61"/>
      <c r="AU205" s="61"/>
      <c r="AV205" s="61"/>
      <c r="AW205" s="61"/>
      <c r="AX205" s="61"/>
      <c r="BF205" s="62"/>
      <c r="BG205" s="62"/>
      <c r="BH205" s="62"/>
      <c r="BI205" s="62"/>
      <c r="BJ205" s="62"/>
      <c r="BK205" s="62"/>
      <c r="BL205" s="62"/>
      <c r="BM205" s="62"/>
      <c r="BN205" s="62"/>
      <c r="BO205" s="62"/>
      <c r="BP205" s="62"/>
      <c r="BQ205" s="63"/>
      <c r="BR205" s="62"/>
      <c r="BS205" s="62"/>
      <c r="BT205" s="62"/>
      <c r="BU205" s="62"/>
      <c r="BV205" s="62"/>
      <c r="BW205" s="62"/>
      <c r="BX205" s="62"/>
      <c r="BY205" s="62"/>
      <c r="BZ205" s="62"/>
      <c r="CI205" s="62"/>
      <c r="CJ205" s="63"/>
      <c r="CK205" s="62"/>
      <c r="CL205" s="62"/>
      <c r="CM205" s="62"/>
      <c r="CN205" s="62"/>
      <c r="CO205" s="62"/>
      <c r="CP205" s="62"/>
      <c r="CQ205" s="62"/>
      <c r="DJ205" s="62"/>
      <c r="DK205" s="62"/>
      <c r="DL205" s="62"/>
      <c r="DM205" s="63"/>
      <c r="DN205" s="63"/>
      <c r="DO205" s="63"/>
      <c r="DP205" s="62"/>
      <c r="DQ205" s="62"/>
      <c r="DR205" s="62"/>
      <c r="DS205" s="62"/>
      <c r="DT205" s="62"/>
      <c r="DU205" s="62"/>
      <c r="DV205" s="62"/>
    </row>
    <row r="206" spans="1:127" ht="12.75" customHeight="1" x14ac:dyDescent="0.2">
      <c r="A206" s="54"/>
      <c r="B206" s="54"/>
      <c r="C206" s="54"/>
      <c r="D206" s="287"/>
      <c r="E206" s="287"/>
      <c r="F206" s="287"/>
      <c r="G206" s="287"/>
      <c r="H206" s="287"/>
      <c r="I206" s="287"/>
      <c r="J206" s="287"/>
      <c r="K206" s="287"/>
      <c r="L206" s="287"/>
      <c r="M206" s="287"/>
      <c r="N206" s="287"/>
      <c r="O206" s="287"/>
      <c r="P206" s="287"/>
      <c r="Q206" s="287"/>
      <c r="R206" s="287"/>
      <c r="S206" s="287"/>
      <c r="T206" s="287"/>
      <c r="U206" s="287"/>
      <c r="V206" s="287"/>
      <c r="W206" s="287"/>
      <c r="X206" s="193"/>
      <c r="Y206" s="193"/>
      <c r="Z206" s="193"/>
      <c r="AA206" s="193"/>
      <c r="AB206" s="193"/>
      <c r="AC206" s="193"/>
      <c r="AD206" s="193"/>
      <c r="AE206" s="193"/>
      <c r="AF206" s="193"/>
      <c r="AG206" s="193"/>
      <c r="AH206" s="193"/>
      <c r="AI206" s="193"/>
      <c r="AJ206" s="193"/>
      <c r="AK206" s="177"/>
      <c r="AQ206" s="61"/>
      <c r="AR206" s="61"/>
      <c r="AS206" s="61"/>
      <c r="AT206" s="61"/>
      <c r="AU206" s="61"/>
      <c r="AV206" s="61"/>
      <c r="AW206" s="61"/>
      <c r="AX206" s="61"/>
      <c r="BF206" s="62"/>
      <c r="BG206" s="62"/>
      <c r="BH206" s="62"/>
      <c r="BI206" s="62"/>
      <c r="BJ206" s="62"/>
      <c r="BK206" s="62"/>
      <c r="BL206" s="62"/>
      <c r="BM206" s="62"/>
      <c r="BN206" s="62"/>
      <c r="BO206" s="62"/>
      <c r="BP206" s="62"/>
      <c r="BQ206" s="63"/>
      <c r="BR206" s="62"/>
      <c r="BS206" s="62"/>
      <c r="BT206" s="62"/>
      <c r="BU206" s="62"/>
      <c r="BV206" s="62"/>
      <c r="BW206" s="62"/>
      <c r="BX206" s="62"/>
      <c r="BY206" s="62"/>
      <c r="BZ206" s="62"/>
      <c r="CI206" s="62"/>
      <c r="CJ206" s="63"/>
      <c r="CK206" s="62"/>
      <c r="CL206" s="62"/>
      <c r="CM206" s="62"/>
      <c r="CN206" s="62"/>
      <c r="CO206" s="62"/>
      <c r="CP206" s="62"/>
      <c r="CQ206" s="62"/>
      <c r="DJ206" s="62"/>
      <c r="DK206" s="62"/>
      <c r="DL206" s="62"/>
      <c r="DM206" s="63"/>
      <c r="DN206" s="63"/>
      <c r="DO206" s="63"/>
      <c r="DP206" s="62"/>
      <c r="DQ206" s="62"/>
      <c r="DR206" s="62"/>
      <c r="DS206" s="62"/>
      <c r="DT206" s="62"/>
      <c r="DU206" s="62"/>
      <c r="DV206" s="62"/>
    </row>
    <row r="207" spans="1:127" ht="12.75" customHeight="1" x14ac:dyDescent="0.2">
      <c r="A207" s="54"/>
      <c r="B207" s="54"/>
      <c r="C207" s="54"/>
      <c r="D207" s="287"/>
      <c r="E207" s="287"/>
      <c r="F207" s="287"/>
      <c r="G207" s="287"/>
      <c r="H207" s="287"/>
      <c r="I207" s="287"/>
      <c r="J207" s="287"/>
      <c r="K207" s="287"/>
      <c r="L207" s="287"/>
      <c r="M207" s="287"/>
      <c r="N207" s="287"/>
      <c r="O207" s="287"/>
      <c r="P207" s="287"/>
      <c r="Q207" s="287"/>
      <c r="R207" s="287"/>
      <c r="S207" s="287"/>
      <c r="T207" s="287"/>
      <c r="U207" s="287"/>
      <c r="V207" s="287"/>
      <c r="W207" s="287"/>
      <c r="X207" s="193"/>
      <c r="Y207" s="193"/>
      <c r="Z207" s="193"/>
      <c r="AA207" s="193"/>
      <c r="AB207" s="193"/>
      <c r="AC207" s="193"/>
      <c r="AD207" s="193"/>
      <c r="AE207" s="193"/>
      <c r="AF207" s="193"/>
      <c r="AG207" s="193"/>
      <c r="AH207" s="193"/>
      <c r="AI207" s="193"/>
      <c r="AJ207" s="193"/>
      <c r="AK207" s="193"/>
      <c r="AQ207" s="61"/>
      <c r="AR207" s="61"/>
      <c r="AS207" s="61"/>
      <c r="AT207" s="61"/>
      <c r="AU207" s="61"/>
      <c r="AV207" s="61"/>
      <c r="AW207" s="61"/>
      <c r="AX207" s="61"/>
      <c r="BF207" s="62"/>
      <c r="BG207" s="62"/>
      <c r="BH207" s="62"/>
      <c r="BI207" s="62"/>
      <c r="BJ207" s="62"/>
      <c r="BK207" s="62"/>
      <c r="BL207" s="62"/>
      <c r="BM207" s="62"/>
      <c r="BN207" s="62"/>
      <c r="BO207" s="62"/>
      <c r="BP207" s="62"/>
      <c r="BQ207" s="63"/>
      <c r="BR207" s="62"/>
      <c r="BS207" s="62"/>
      <c r="BT207" s="62"/>
      <c r="BU207" s="62"/>
      <c r="BV207" s="62"/>
      <c r="BW207" s="62"/>
      <c r="BX207" s="62"/>
      <c r="BY207" s="62"/>
      <c r="BZ207" s="62"/>
      <c r="CI207" s="62"/>
      <c r="CJ207" s="63"/>
      <c r="CK207" s="62"/>
      <c r="CL207" s="62"/>
      <c r="CM207" s="62"/>
      <c r="CN207" s="62"/>
      <c r="CO207" s="62"/>
      <c r="CP207" s="62"/>
      <c r="CQ207" s="62"/>
      <c r="DJ207" s="62"/>
      <c r="DK207" s="62"/>
      <c r="DL207" s="62"/>
      <c r="DM207" s="63"/>
      <c r="DN207" s="63"/>
      <c r="DO207" s="63"/>
      <c r="DP207" s="62"/>
      <c r="DQ207" s="62"/>
      <c r="DR207" s="62"/>
      <c r="DS207" s="62"/>
      <c r="DT207" s="62"/>
      <c r="DU207" s="62"/>
      <c r="DV207" s="62"/>
    </row>
    <row r="208" spans="1:127" ht="12.75" customHeight="1" x14ac:dyDescent="0.2">
      <c r="A208" s="54"/>
      <c r="B208" s="54"/>
      <c r="C208" s="54"/>
      <c r="D208" s="287"/>
      <c r="E208" s="287"/>
      <c r="F208" s="287"/>
      <c r="G208" s="287"/>
      <c r="H208" s="287"/>
      <c r="I208" s="287"/>
      <c r="J208" s="287"/>
      <c r="K208" s="287"/>
      <c r="L208" s="287"/>
      <c r="M208" s="287"/>
      <c r="N208" s="287"/>
      <c r="O208" s="287"/>
      <c r="P208" s="287"/>
      <c r="Q208" s="287"/>
      <c r="R208" s="287"/>
      <c r="S208" s="287"/>
      <c r="T208" s="287"/>
      <c r="U208" s="287"/>
      <c r="V208" s="287"/>
      <c r="W208" s="287"/>
      <c r="X208" s="194"/>
      <c r="Y208" s="194"/>
      <c r="Z208" s="194"/>
      <c r="AA208" s="194"/>
      <c r="AB208" s="194"/>
      <c r="AC208" s="194"/>
      <c r="AD208" s="194"/>
      <c r="AE208" s="194"/>
      <c r="AF208" s="194"/>
      <c r="AG208" s="194"/>
      <c r="AH208" s="194"/>
      <c r="AI208" s="194"/>
      <c r="AJ208" s="93"/>
      <c r="AK208" s="93"/>
      <c r="AY208" s="62"/>
      <c r="AZ208" s="62"/>
      <c r="BA208" s="62"/>
      <c r="BB208" s="63"/>
      <c r="BC208" s="62"/>
      <c r="BD208" s="62"/>
      <c r="BE208" s="63"/>
      <c r="BF208" s="62"/>
      <c r="BG208" s="62"/>
      <c r="BH208" s="62"/>
      <c r="BI208" s="62"/>
      <c r="BJ208" s="62"/>
      <c r="BK208" s="62"/>
      <c r="BL208" s="62"/>
      <c r="BM208" s="62"/>
      <c r="BN208" s="62"/>
      <c r="BO208" s="62"/>
      <c r="BP208" s="62"/>
      <c r="BQ208" s="63"/>
      <c r="BR208" s="62"/>
      <c r="BS208" s="62"/>
      <c r="BT208" s="62"/>
      <c r="BU208" s="62"/>
      <c r="BV208" s="62"/>
      <c r="BW208" s="62"/>
      <c r="BX208" s="62"/>
      <c r="BY208" s="62"/>
      <c r="BZ208" s="62"/>
      <c r="CB208" s="62"/>
      <c r="CC208" s="62"/>
      <c r="CD208" s="62"/>
      <c r="CE208" s="62"/>
      <c r="CF208" s="62"/>
      <c r="CG208" s="62"/>
      <c r="CH208" s="62"/>
      <c r="CI208" s="62"/>
      <c r="CJ208" s="62"/>
      <c r="CK208" s="62"/>
      <c r="CL208" s="62"/>
      <c r="CM208" s="62"/>
      <c r="CN208" s="62"/>
      <c r="CO208" s="62"/>
      <c r="CP208" s="62"/>
      <c r="CQ208" s="62"/>
      <c r="DJ208" s="62"/>
      <c r="DK208" s="62"/>
      <c r="DL208" s="62"/>
      <c r="DM208" s="63"/>
      <c r="DN208" s="63"/>
      <c r="DO208" s="63"/>
      <c r="DP208" s="62"/>
      <c r="DQ208" s="62"/>
      <c r="DR208" s="202"/>
      <c r="DS208" s="62"/>
      <c r="DT208" s="62"/>
      <c r="DU208" s="62"/>
      <c r="DV208" s="62"/>
      <c r="DW208" s="203"/>
    </row>
    <row r="209" spans="1:151" ht="12.75" customHeight="1" x14ac:dyDescent="0.2">
      <c r="A209" s="54"/>
      <c r="B209" s="54"/>
      <c r="C209" s="5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93"/>
      <c r="AK209" s="93"/>
      <c r="AY209" s="62"/>
      <c r="AZ209" s="62"/>
      <c r="BA209" s="62"/>
      <c r="BB209" s="63"/>
      <c r="BC209" s="62"/>
      <c r="BD209" s="62"/>
      <c r="BE209" s="63"/>
      <c r="BF209" s="62"/>
      <c r="BG209" s="62"/>
      <c r="BH209" s="62"/>
      <c r="BI209" s="62"/>
      <c r="BJ209" s="62"/>
      <c r="BK209" s="62"/>
      <c r="BL209" s="62"/>
      <c r="BM209" s="62"/>
      <c r="BN209" s="62"/>
      <c r="BO209" s="62"/>
      <c r="BP209" s="62"/>
      <c r="BQ209" s="63"/>
      <c r="BR209" s="62"/>
      <c r="BS209" s="62"/>
      <c r="BT209" s="62"/>
      <c r="BU209" s="62"/>
      <c r="BV209" s="62"/>
      <c r="BW209" s="62"/>
      <c r="BX209" s="62"/>
      <c r="BY209" s="62"/>
      <c r="BZ209" s="62"/>
      <c r="CB209" s="62"/>
      <c r="CC209" s="62"/>
      <c r="CD209" s="62"/>
      <c r="CE209" s="62"/>
      <c r="CF209" s="62"/>
      <c r="CG209" s="62"/>
      <c r="CH209" s="62"/>
      <c r="CI209" s="62"/>
      <c r="CJ209" s="62"/>
      <c r="CK209" s="62"/>
      <c r="CL209" s="62"/>
      <c r="CM209" s="62"/>
      <c r="CN209" s="62"/>
      <c r="CO209" s="62"/>
      <c r="CP209" s="62"/>
      <c r="CQ209" s="62"/>
      <c r="DJ209" s="62"/>
      <c r="DK209" s="62"/>
      <c r="DL209" s="62"/>
      <c r="DM209" s="63"/>
      <c r="DN209" s="63"/>
      <c r="DO209" s="63"/>
      <c r="DP209" s="62"/>
      <c r="DQ209" s="62"/>
      <c r="DR209" s="62"/>
      <c r="DS209" s="62"/>
      <c r="DT209" s="62"/>
      <c r="DU209" s="62"/>
      <c r="DV209" s="62"/>
    </row>
    <row r="210" spans="1:151" ht="12.75" customHeight="1" x14ac:dyDescent="0.2">
      <c r="A210" s="54"/>
      <c r="B210" s="54"/>
      <c r="C210" s="54"/>
      <c r="D210" s="194"/>
      <c r="E210" s="194"/>
      <c r="F210" s="194"/>
      <c r="G210" s="194"/>
      <c r="H210" s="194"/>
      <c r="I210" s="194"/>
      <c r="J210" s="194"/>
      <c r="K210" s="194"/>
      <c r="L210" s="194"/>
      <c r="M210" s="194"/>
      <c r="N210" s="194"/>
      <c r="O210" s="194"/>
      <c r="P210" s="194"/>
      <c r="Q210" s="194"/>
      <c r="R210" s="194"/>
      <c r="S210" s="194"/>
      <c r="T210" s="194"/>
      <c r="U210" s="194"/>
      <c r="V210" s="194"/>
      <c r="W210" s="194"/>
      <c r="AF210" s="194"/>
      <c r="AG210" s="194"/>
      <c r="AH210" s="194"/>
      <c r="AI210" s="194"/>
      <c r="AJ210" s="93"/>
      <c r="AK210" s="93"/>
      <c r="AY210" s="55"/>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3"/>
      <c r="CF210" s="62"/>
      <c r="CG210" s="62"/>
      <c r="CH210" s="63"/>
      <c r="CI210" s="62"/>
      <c r="CJ210" s="62"/>
      <c r="CK210" s="62"/>
      <c r="CL210" s="62"/>
      <c r="CM210" s="62"/>
      <c r="CN210" s="62"/>
      <c r="CO210" s="62"/>
      <c r="CP210" s="62"/>
      <c r="CQ210" s="62"/>
      <c r="CR210" s="62"/>
      <c r="CS210" s="62"/>
      <c r="CT210" s="63"/>
      <c r="CU210" s="62"/>
      <c r="CV210" s="62"/>
      <c r="CW210" s="62"/>
      <c r="CX210" s="62"/>
      <c r="CY210" s="63"/>
      <c r="CZ210" s="62"/>
      <c r="DA210" s="62"/>
      <c r="DB210" s="62"/>
      <c r="DC210" s="62"/>
      <c r="DD210" s="63"/>
      <c r="DE210" s="62"/>
      <c r="DF210" s="62"/>
      <c r="DG210" s="62"/>
      <c r="DH210" s="62"/>
      <c r="DI210" s="62"/>
      <c r="DJ210" s="62"/>
      <c r="DK210" s="62"/>
      <c r="DL210" s="62"/>
      <c r="DM210" s="62"/>
      <c r="DN210" s="55"/>
      <c r="DO210" s="62"/>
      <c r="DP210" s="62"/>
      <c r="DQ210" s="62"/>
      <c r="DR210" s="62"/>
      <c r="DS210" s="62"/>
      <c r="DT210" s="62"/>
      <c r="DU210" s="62"/>
      <c r="DV210" s="62"/>
      <c r="DW210" s="62"/>
      <c r="DX210" s="62"/>
      <c r="DY210" s="62"/>
      <c r="DZ210" s="62"/>
      <c r="EA210" s="62"/>
      <c r="EB210" s="62"/>
      <c r="EQ210" s="62"/>
      <c r="ER210" s="62"/>
      <c r="ES210" s="62"/>
      <c r="ET210" s="62"/>
      <c r="EU210" s="62"/>
    </row>
    <row r="211" spans="1:151" ht="14.25" customHeight="1" x14ac:dyDescent="0.2">
      <c r="A211" s="54"/>
      <c r="D211" s="400" t="s">
        <v>461</v>
      </c>
      <c r="E211" s="400"/>
      <c r="F211" s="400"/>
      <c r="G211" s="400"/>
      <c r="H211" s="400" t="s">
        <v>593</v>
      </c>
      <c r="I211" s="400"/>
      <c r="J211" s="400"/>
      <c r="K211" s="400"/>
      <c r="L211" s="400"/>
      <c r="M211" s="400"/>
      <c r="N211" s="400"/>
      <c r="O211" s="400"/>
      <c r="P211" s="400" t="s">
        <v>462</v>
      </c>
      <c r="Q211" s="400"/>
      <c r="R211" s="400"/>
      <c r="S211" s="400"/>
      <c r="T211" s="400" t="s">
        <v>906</v>
      </c>
      <c r="U211" s="400"/>
      <c r="V211" s="400"/>
      <c r="W211" s="400"/>
      <c r="X211" s="400"/>
      <c r="Y211" s="400"/>
      <c r="Z211" s="400"/>
      <c r="AA211" s="400"/>
      <c r="AB211" s="400"/>
      <c r="AC211" s="400"/>
      <c r="AD211" s="400"/>
      <c r="AE211" s="400"/>
      <c r="AK211" s="55"/>
      <c r="AL211" s="254" t="s">
        <v>641</v>
      </c>
      <c r="AM211" s="255"/>
      <c r="AN211" s="255"/>
      <c r="AO211" s="255"/>
      <c r="AP211" s="255"/>
      <c r="AQ211" s="255"/>
      <c r="AR211" s="255"/>
      <c r="AS211" s="255"/>
      <c r="AT211" s="255"/>
      <c r="AU211" s="255"/>
      <c r="AV211" s="255"/>
      <c r="AW211" s="255"/>
      <c r="AX211" s="255"/>
      <c r="AY211" s="255"/>
      <c r="AZ211" s="255"/>
      <c r="BA211" s="255"/>
      <c r="BB211" s="255"/>
      <c r="BC211" s="255"/>
      <c r="BD211" s="255"/>
      <c r="BE211" s="255"/>
      <c r="BF211" s="255"/>
      <c r="BG211" s="255"/>
      <c r="BH211" s="255"/>
      <c r="BI211" s="256"/>
      <c r="BJ211" s="254" t="s">
        <v>642</v>
      </c>
      <c r="BK211" s="255"/>
      <c r="BL211" s="255"/>
      <c r="BM211" s="255"/>
      <c r="BN211" s="255"/>
      <c r="BO211" s="255"/>
      <c r="BP211" s="255"/>
      <c r="BQ211" s="255"/>
      <c r="BR211" s="255"/>
      <c r="BS211" s="255"/>
      <c r="BT211" s="255"/>
      <c r="BU211" s="255"/>
      <c r="BV211" s="255"/>
      <c r="BW211" s="255"/>
      <c r="BX211" s="255"/>
      <c r="BY211" s="255"/>
      <c r="BZ211" s="255"/>
      <c r="CA211" s="255"/>
      <c r="CB211" s="255"/>
      <c r="CC211" s="255"/>
      <c r="CD211" s="255"/>
      <c r="CE211" s="255"/>
      <c r="CF211" s="255"/>
      <c r="CG211" s="256"/>
      <c r="CH211" s="254" t="s">
        <v>944</v>
      </c>
      <c r="CI211" s="255"/>
      <c r="CJ211" s="255"/>
      <c r="CK211" s="255"/>
      <c r="CL211" s="255"/>
      <c r="CM211" s="255"/>
      <c r="CN211" s="255"/>
      <c r="CO211" s="255"/>
      <c r="CP211" s="255"/>
      <c r="CQ211" s="255"/>
      <c r="CR211" s="255"/>
      <c r="CS211" s="255"/>
      <c r="CT211" s="255"/>
      <c r="CU211" s="255"/>
      <c r="CV211" s="255"/>
      <c r="CW211" s="255"/>
      <c r="CX211" s="255"/>
      <c r="CY211" s="255"/>
      <c r="CZ211" s="255"/>
      <c r="DA211" s="255"/>
      <c r="DB211" s="255"/>
      <c r="DC211" s="255"/>
      <c r="DD211" s="255"/>
      <c r="DE211" s="255"/>
      <c r="DF211" s="255"/>
      <c r="DG211" s="255"/>
      <c r="DH211" s="255"/>
      <c r="DI211" s="255"/>
      <c r="DJ211" s="255"/>
      <c r="DK211" s="256"/>
      <c r="DL211" s="531" t="s">
        <v>965</v>
      </c>
      <c r="DM211" s="532"/>
      <c r="DN211" s="532"/>
      <c r="DO211" s="532"/>
      <c r="DP211" s="532"/>
      <c r="DQ211" s="532"/>
      <c r="DR211" s="532"/>
      <c r="DS211" s="532"/>
      <c r="DT211" s="532"/>
      <c r="DU211" s="532"/>
      <c r="DV211" s="532"/>
      <c r="DW211" s="532"/>
      <c r="DX211" s="532"/>
      <c r="DY211" s="532"/>
      <c r="DZ211" s="532"/>
      <c r="EA211" s="532"/>
      <c r="EB211" s="532"/>
      <c r="EC211" s="532"/>
      <c r="ED211" s="532"/>
      <c r="EE211" s="533"/>
    </row>
    <row r="212" spans="1:151" ht="15" customHeight="1" x14ac:dyDescent="0.2">
      <c r="A212" s="54"/>
      <c r="D212" s="384"/>
      <c r="E212" s="384"/>
      <c r="F212" s="384"/>
      <c r="G212" s="384"/>
      <c r="H212" s="384" t="s">
        <v>595</v>
      </c>
      <c r="I212" s="384"/>
      <c r="J212" s="384"/>
      <c r="K212" s="384"/>
      <c r="L212" s="384" t="s">
        <v>594</v>
      </c>
      <c r="M212" s="384"/>
      <c r="N212" s="384"/>
      <c r="O212" s="384"/>
      <c r="P212" s="384"/>
      <c r="Q212" s="384"/>
      <c r="R212" s="384"/>
      <c r="S212" s="384"/>
      <c r="T212" s="384" t="s">
        <v>635</v>
      </c>
      <c r="U212" s="384"/>
      <c r="V212" s="384"/>
      <c r="W212" s="384"/>
      <c r="X212" s="384" t="s">
        <v>636</v>
      </c>
      <c r="Y212" s="384"/>
      <c r="Z212" s="384"/>
      <c r="AA212" s="384"/>
      <c r="AB212" s="384" t="s">
        <v>905</v>
      </c>
      <c r="AC212" s="384"/>
      <c r="AD212" s="384"/>
      <c r="AE212" s="384"/>
      <c r="AK212" s="55"/>
      <c r="AL212" s="512" t="s">
        <v>637</v>
      </c>
      <c r="AM212" s="253"/>
      <c r="AN212" s="253"/>
      <c r="AO212" s="253"/>
      <c r="AP212" s="253" t="s">
        <v>638</v>
      </c>
      <c r="AQ212" s="253"/>
      <c r="AR212" s="253"/>
      <c r="AS212" s="253"/>
      <c r="AT212" s="253" t="s">
        <v>639</v>
      </c>
      <c r="AU212" s="253"/>
      <c r="AV212" s="253"/>
      <c r="AW212" s="253"/>
      <c r="AX212" s="253" t="s">
        <v>640</v>
      </c>
      <c r="AY212" s="253"/>
      <c r="AZ212" s="253"/>
      <c r="BA212" s="253"/>
      <c r="BB212" s="253" t="s">
        <v>982</v>
      </c>
      <c r="BC212" s="253"/>
      <c r="BD212" s="253"/>
      <c r="BE212" s="253"/>
      <c r="BF212" s="253" t="s">
        <v>981</v>
      </c>
      <c r="BG212" s="253"/>
      <c r="BH212" s="253"/>
      <c r="BI212" s="258"/>
      <c r="BJ212" s="512" t="s">
        <v>275</v>
      </c>
      <c r="BK212" s="253"/>
      <c r="BL212" s="253" t="s">
        <v>637</v>
      </c>
      <c r="BM212" s="253"/>
      <c r="BN212" s="253"/>
      <c r="BO212" s="253"/>
      <c r="BP212" s="253" t="s">
        <v>275</v>
      </c>
      <c r="BQ212" s="253"/>
      <c r="BR212" s="253" t="s">
        <v>638</v>
      </c>
      <c r="BS212" s="253"/>
      <c r="BT212" s="253"/>
      <c r="BU212" s="253"/>
      <c r="BV212" s="253" t="s">
        <v>275</v>
      </c>
      <c r="BW212" s="253"/>
      <c r="BX212" s="253" t="s">
        <v>639</v>
      </c>
      <c r="BY212" s="253"/>
      <c r="BZ212" s="253"/>
      <c r="CA212" s="253"/>
      <c r="CB212" s="253" t="s">
        <v>275</v>
      </c>
      <c r="CC212" s="253"/>
      <c r="CD212" s="253" t="s">
        <v>640</v>
      </c>
      <c r="CE212" s="253"/>
      <c r="CF212" s="253"/>
      <c r="CG212" s="258"/>
      <c r="CH212" s="283" t="s">
        <v>945</v>
      </c>
      <c r="CI212" s="280"/>
      <c r="CJ212" s="280"/>
      <c r="CK212" s="280"/>
      <c r="CL212" s="280"/>
      <c r="CM212" s="280" t="s">
        <v>946</v>
      </c>
      <c r="CN212" s="280"/>
      <c r="CO212" s="280"/>
      <c r="CP212" s="280"/>
      <c r="CQ212" s="280"/>
      <c r="CR212" s="280" t="s">
        <v>1039</v>
      </c>
      <c r="CS212" s="280"/>
      <c r="CT212" s="280"/>
      <c r="CU212" s="280"/>
      <c r="CV212" s="280"/>
      <c r="CW212" s="280" t="s">
        <v>1040</v>
      </c>
      <c r="CX212" s="280"/>
      <c r="CY212" s="280"/>
      <c r="CZ212" s="280"/>
      <c r="DA212" s="280"/>
      <c r="DB212" s="280" t="s">
        <v>1041</v>
      </c>
      <c r="DC212" s="280"/>
      <c r="DD212" s="280"/>
      <c r="DE212" s="280"/>
      <c r="DF212" s="280"/>
      <c r="DG212" s="280" t="s">
        <v>1042</v>
      </c>
      <c r="DH212" s="280"/>
      <c r="DI212" s="280"/>
      <c r="DJ212" s="280"/>
      <c r="DK212" s="280"/>
      <c r="DL212" s="279" t="s">
        <v>967</v>
      </c>
      <c r="DM212" s="277"/>
      <c r="DN212" s="277"/>
      <c r="DO212" s="277" t="s">
        <v>963</v>
      </c>
      <c r="DP212" s="277"/>
      <c r="DQ212" s="277"/>
      <c r="DR212" s="277" t="s">
        <v>964</v>
      </c>
      <c r="DS212" s="277"/>
      <c r="DT212" s="277"/>
      <c r="DU212" s="197"/>
      <c r="DV212" s="197"/>
      <c r="DW212" s="197"/>
      <c r="DX212" s="197"/>
      <c r="DY212" s="197"/>
      <c r="DZ212" s="277" t="s">
        <v>969</v>
      </c>
      <c r="EA212" s="277"/>
      <c r="EB212" s="277"/>
      <c r="EC212" s="277" t="s">
        <v>968</v>
      </c>
      <c r="ED212" s="277"/>
      <c r="EE212" s="278"/>
    </row>
    <row r="213" spans="1:151" x14ac:dyDescent="0.2">
      <c r="A213" s="54"/>
      <c r="B213" s="54"/>
      <c r="D213" s="274">
        <v>1</v>
      </c>
      <c r="E213" s="274"/>
      <c r="F213" s="274"/>
      <c r="G213" s="274"/>
      <c r="H213" s="274">
        <v>125</v>
      </c>
      <c r="I213" s="274"/>
      <c r="J213" s="274"/>
      <c r="K213" s="274"/>
      <c r="L213" s="274">
        <v>125</v>
      </c>
      <c r="M213" s="274"/>
      <c r="N213" s="274"/>
      <c r="O213" s="274"/>
      <c r="P213" s="275">
        <f>IF($D213="",
       "",
       IFERROR(
           ($T$174/COUNT($D$213:$G$282))  +
           IFERROR($X$174/((COUNTIF($L$213:$L$282,$L213)*($L213/1000))),0)  +
           IFERROR($AB$174/((COUNTIF($H$213:$H$282,$H213)*($H213/1000))),0),
       "")
)</f>
        <v>36.75</v>
      </c>
      <c r="Q213" s="275"/>
      <c r="R213" s="275"/>
      <c r="S213" s="275"/>
      <c r="T213" s="275">
        <f>IF($D213="",
       "",
       IFERROR(
           (($L$174/COUNT($D$213:$G$282))  +
           ((($AF$174/($DL213/1000))/
             COUNTIF($DL$213:$DL$282,$DL213)) * COS(ABS(ATAN($L213/$H213))+ (IF( AND($H213&gt;0,$L213&gt;0),
                                                                                                                                                    1,
                                                                                                                                                    IF( AND($H213&lt;0,$L213&gt;0),
                                                                                                                                                         2,
                                                                                                                                                         IF( AND($H213&lt;0,$L213&lt;0),
                                                                                                                                                              3,
                                                                                                                                                              IF( AND($H213&lt;0,$L213&gt;0),
                                                                                                                                                                   4,
                                                                                                                                               ))))*(PI()/2))))
           ),
      0)
  )</f>
        <v>-5.7499999999999991</v>
      </c>
      <c r="U213" s="275"/>
      <c r="V213" s="275"/>
      <c r="W213" s="275"/>
      <c r="X213" s="275">
        <f>IF($D213="",
       "",
       IFERROR(
           (($P$174/COUNT($D$213:$G$282))  +
           ((($AF$174/($DL213/1000))/
             COUNTIF($DL$213:$DL$282,$DL213)) * SIN(ABS(ATAN($L213/$H213))+ (IF( AND($H213&gt;0,$L213&gt;0),
                                                                                                                                                    1,
                                                                                                                                                    IF( AND($H213&lt;0,$L213&gt;0),
                                                                                                                                                         2,
                                                                                                                                                         IF( AND($H213&lt;0,$L213&lt;0),
                                                                                                                                                              3,
                                                                                                                                                              IF( AND($H213&lt;0,$L213&gt;0),
                                                                                                                                                                   4,
                                                                                                                                               ))))*(PI()/2))))),
      0)
  )</f>
        <v>6.5</v>
      </c>
      <c r="Y213" s="275"/>
      <c r="Z213" s="275"/>
      <c r="AA213" s="275"/>
      <c r="AB213" s="276">
        <f t="shared" ref="AB213:AB244" si="0">IF($D213="","",IFERROR((($T213^2)+($X213^2))^(0.5),""))</f>
        <v>8.6782774788548913</v>
      </c>
      <c r="AC213" s="276"/>
      <c r="AD213" s="276"/>
      <c r="AE213" s="276"/>
      <c r="AJ213" s="169"/>
      <c r="AK213" s="96"/>
      <c r="AL213" s="260">
        <v>100</v>
      </c>
      <c r="AM213" s="259"/>
      <c r="AN213" s="259"/>
      <c r="AO213" s="259"/>
      <c r="AP213" s="259">
        <v>1000</v>
      </c>
      <c r="AQ213" s="259"/>
      <c r="AR213" s="259"/>
      <c r="AS213" s="259"/>
      <c r="AT213" s="261">
        <v>1000</v>
      </c>
      <c r="AU213" s="261"/>
      <c r="AV213" s="261"/>
      <c r="AW213" s="261"/>
      <c r="AX213" s="261">
        <v>350</v>
      </c>
      <c r="AY213" s="261"/>
      <c r="AZ213" s="261"/>
      <c r="BA213" s="262"/>
      <c r="BB213" s="242">
        <f>IF($D213="", "",
       MAX(
                   IF(AL213&lt;1.5*$Z$68,AL213,0),
                   IF(AP213&lt;1.5*$Z$68,AP213,0),
                   IF(AT213&lt;1.5*$Z$68,AT213,0),
                   IF(AX213&lt;1.5*$Z$68,AX213,0))
   )</f>
        <v>350</v>
      </c>
      <c r="BC213" s="243"/>
      <c r="BD213" s="243"/>
      <c r="BE213" s="243"/>
      <c r="BF213" s="249">
        <f>IF($D213="", "",
       COUNTIF(AL213:BA213,"&lt;"&amp;$Z$68*1.5)
   )</f>
        <v>2</v>
      </c>
      <c r="BG213" s="249"/>
      <c r="BH213" s="249"/>
      <c r="BI213" s="250"/>
      <c r="BJ213" s="260"/>
      <c r="BK213" s="259"/>
      <c r="BL213" s="249" t="str">
        <f>IF($D213="", "",
       IFERROR(
                          ABS($H213-LOOKUP(
                                                                    BJ213,
                                                                    $D$213:$D$259,
                                                                    $H$213:$H$259)),
       "-"))</f>
        <v>-</v>
      </c>
      <c r="BM213" s="249"/>
      <c r="BN213" s="249"/>
      <c r="BO213" s="249"/>
      <c r="BP213" s="259">
        <v>2</v>
      </c>
      <c r="BQ213" s="259"/>
      <c r="BR213" s="249">
        <f>IF($D213="", "",
       IFERROR(
                          ABS($H213-LOOKUP(
                                                                    BP213,
                                                                    $D$213:$D$259,
                                                                    $H$213:$H$259)),
       "-"))</f>
        <v>250</v>
      </c>
      <c r="BS213" s="249"/>
      <c r="BT213" s="249"/>
      <c r="BU213" s="249"/>
      <c r="BV213" s="259"/>
      <c r="BW213" s="259"/>
      <c r="BX213" s="249" t="str">
        <f>IF($D213="", "",
       IFERROR(
                          ABS($L213-LOOKUP(
                                                                    BV213,
                                                                    $D$213:$D$259,
                                                                    $L$213:$L$259)),
       "-"))</f>
        <v>-</v>
      </c>
      <c r="BY213" s="249"/>
      <c r="BZ213" s="249"/>
      <c r="CA213" s="249"/>
      <c r="CB213" s="259">
        <v>3</v>
      </c>
      <c r="CC213" s="259"/>
      <c r="CD213" s="249">
        <f>IF($D213="", "",
       IFERROR(
                          ABS($L213-LOOKUP(
                                                                    CB213,
                                                                    $D$213:$D$259,
                                                                    $L$213:$L$259)),
       "-"))</f>
        <v>250</v>
      </c>
      <c r="CE213" s="249"/>
      <c r="CF213" s="249"/>
      <c r="CG213" s="250"/>
      <c r="CH213" s="271">
        <f>IF($D213="", "",
       IFERROR(
                          (MIN($AL213,IFERROR($BL213/2,1.5*$AL213),1.5*$Z$68)     +     MIN($AP213,IFERROR($BR213/2,1.5*$AL213),1.5*$Z$68))*
                          (MIN($AT213,IFERROR($BX213/2,1.5*$AL213),1.5*$Z$68)     +     MIN($AX213,IFERROR($CD213/2,1.5*$AL213),1.5*$Z$68))/
                          1000000,
       "-"))</f>
        <v>6.1874999999999999E-2</v>
      </c>
      <c r="CI213" s="272"/>
      <c r="CJ213" s="272"/>
      <c r="CK213" s="272"/>
      <c r="CL213" s="272"/>
      <c r="CM213" s="272" t="str">
        <f>IF($D213="", "",
       IFERROR(
                          (MIN($AL213,IFERROR($BL213/2,1.5*$Z$113),$Z$113)     +     MIN($AP213,IFERROR($BR213/2,1.5*$Z$113),$Z$113))*
                          (MIN($AT213,IFERROR($BX213/2,1.5*$Z$113),$Z$113)     +     MIN($AX213,IFERROR($CD213/2,1.5*$Z$113),$Z$113))/
                          1000000,
       "-"))</f>
        <v>-</v>
      </c>
      <c r="CN213" s="272"/>
      <c r="CO213" s="272"/>
      <c r="CP213" s="272"/>
      <c r="CQ213" s="272"/>
      <c r="CR213" s="272">
        <f>IF($D213="", "",
        IFERROR((
                 IF($Q$594=2,
                      IF($AL213&gt;=MEDIAN($AL$213:$AO$282),1,0),
                      IF($AL213&lt;=MEDIAN($AL$213:$AO$282),1,0)
                 ))
                        *(MIN($AT213,  IFERROR($BX213/2,1.5*$Z$68),  1.5*IFERROR($AL213,$Z$68)  )     +
                         MIN($AX213,  IFERROR($CD213/2,1.5*$Z$68),  1.5*IFERROR($AL213,$Z$68)  ))     *
                         MIN(1.5*IFERROR($AL213,1.5*$Z$68),$Z$104)/1000000,
        "-"))</f>
        <v>4.1250000000000002E-2</v>
      </c>
      <c r="CS213" s="272"/>
      <c r="CT213" s="272"/>
      <c r="CU213" s="272"/>
      <c r="CV213" s="272"/>
      <c r="CW213" s="272">
        <f>IF($D213="", "",
        IFERROR((
                 IF($Q$594=2,
                      IF($AP213&gt;=MEDIAN($AP$213:$AS$282),1,0),
                      IF($AP213&lt;=MEDIAN($AP$213:$AS$282),1,0)
                 ))
                        *(MIN($AT213,  IFERROR($BX213/2,1.5*$Z$68),  1.5*IFERROR($AP213,$Z$68)  )     +
                         MIN($AX213,  IFERROR($CD213/2,1.5*$Z$68),  1.5*IFERROR($AP213,$Z$68)  ))     *
                         MIN(1.5*IFERROR($AP213,1.5*$Z$68),$Z$104)/1000000,
        "-"))</f>
        <v>1.2</v>
      </c>
      <c r="CX213" s="272"/>
      <c r="CY213" s="272"/>
      <c r="CZ213" s="272"/>
      <c r="DA213" s="272"/>
      <c r="DB213" s="272">
        <f>IF($D213="", "",
        IFERROR((
                 IF($Q$594=2,
                      IF($AT213&gt;=MEDIAN($AT$213:$AW$282),1,0),
                      IF($AT213&lt;=MEDIAN($AT$213:$AW$282),1,0)
                 ))
                        *(MIN($AL213,  IFERROR($BL213/2,1.5*$Z$68),  1.5*IFERROR($AT213,$Z$68)  )     +
                         MIN($AP213,  IFERROR($BR213/2,1.5*$Z$68),  1.5*IFERROR($AT213,$Z$68)  ))     *
                         MIN(1.5*IFERROR($AT213,1.5*$Z$68),$Z$104)/1000000,
        "-"))</f>
        <v>0.33750000000000002</v>
      </c>
      <c r="DC213" s="272"/>
      <c r="DD213" s="272"/>
      <c r="DE213" s="272"/>
      <c r="DF213" s="272"/>
      <c r="DG213" s="284">
        <f>IF($D213="", "",
        IFERROR((
                 IF($Q$594=2,
                      IF($AX213&gt;=MEDIAN($AX$213:$BA$282),1,0),
                      IF($AX213&lt;=MEDIAN($AX$213:$BA$282),1,0)
                 ))
                        *(MIN($AL213,  IFERROR($BL213/2,1.5*$Z$68),  1.5*IFERROR($AX213,$Z$68)  )     +
                         MIN($AP213,  IFERROR($BR213/2,1.5*$Z$68),  1.5*IFERROR($AX213,$Z$68)  ))     *
                         MIN(1.5*IFERROR($AX213,1.5*$Z$68),$Z$104)/1000000,
        "-"))</f>
        <v>0</v>
      </c>
      <c r="DH213" s="284"/>
      <c r="DI213" s="284"/>
      <c r="DJ213" s="284"/>
      <c r="DK213" s="285"/>
      <c r="DL213" s="267">
        <f>IF($D213="", "", IFERROR( (($H213^2)+($L213^2))^0.5,""))</f>
        <v>176.77669529663689</v>
      </c>
      <c r="DM213" s="268"/>
      <c r="DN213" s="268"/>
      <c r="DO213" s="263">
        <f t="shared" ref="DO213:DO244" si="1">IFERROR(H213*P213,"")</f>
        <v>4593.75</v>
      </c>
      <c r="DP213" s="263"/>
      <c r="DQ213" s="263"/>
      <c r="DR213" s="263">
        <f>IFERROR(L213*P213,"")</f>
        <v>4593.75</v>
      </c>
      <c r="DS213" s="263"/>
      <c r="DT213" s="263"/>
      <c r="DU213" s="198"/>
      <c r="DV213" s="198"/>
      <c r="DW213" s="198"/>
      <c r="DX213" s="198"/>
      <c r="DY213" s="198"/>
      <c r="DZ213" s="263">
        <f>IFERROR(L213*T213,"")</f>
        <v>-718.74999999999989</v>
      </c>
      <c r="EA213" s="263"/>
      <c r="EB213" s="263"/>
      <c r="EC213" s="263">
        <f>IFERROR(H213*X213,"")</f>
        <v>812.5</v>
      </c>
      <c r="ED213" s="263"/>
      <c r="EE213" s="265"/>
    </row>
    <row r="214" spans="1:151" x14ac:dyDescent="0.2">
      <c r="A214" s="54"/>
      <c r="B214" s="54"/>
      <c r="C214" s="54"/>
      <c r="D214" s="274">
        <v>2</v>
      </c>
      <c r="E214" s="274"/>
      <c r="F214" s="274"/>
      <c r="G214" s="274"/>
      <c r="H214" s="274">
        <v>-125</v>
      </c>
      <c r="I214" s="274"/>
      <c r="J214" s="274"/>
      <c r="K214" s="274"/>
      <c r="L214" s="274">
        <v>125</v>
      </c>
      <c r="M214" s="274"/>
      <c r="N214" s="274"/>
      <c r="O214" s="274"/>
      <c r="P214" s="275">
        <f t="shared" ref="P214:P277" si="2">IF($D214="",
       "",
       IFERROR(
           ($T$174/COUNT($D$213:$G$282))  +
           IFERROR($X$174/((COUNTIF($L$213:$L$282,$L214)*($L214/1000))),0)  +
           IFERROR($AB$174/((COUNTIF($H$213:$H$282,$H214)*($H214/1000))),0),
       "")
)</f>
        <v>-3.25</v>
      </c>
      <c r="Q214" s="275"/>
      <c r="R214" s="275"/>
      <c r="S214" s="275"/>
      <c r="T214" s="275">
        <f t="shared" ref="T214:T277" si="3">IF($D214="",
       "",
       IFERROR(
           (($L$174/COUNT($D$213:$G$282))  +
           ((($AF$174/($DL214/1000))/
             COUNTIF($DL$213:$DL$282,$DL214)) * COS(ABS(ATAN($L214/$H214))+ (IF( AND($H214&gt;0,$L214&gt;0),
                                                                                                                                                    1,
                                                                                                                                                    IF( AND($H214&lt;0,$L214&gt;0),
                                                                                                                                                         2,
                                                                                                                                                         IF( AND($H214&lt;0,$L214&lt;0),
                                                                                                                                                              3,
                                                                                                                                                              IF( AND($H214&lt;0,$L214&gt;0),
                                                                                                                                                                   4,
                                                                                                                                               ))))*(PI()/2))))
           ),
      0)
  )</f>
        <v>-5.7500000000000009</v>
      </c>
      <c r="U214" s="275"/>
      <c r="V214" s="275"/>
      <c r="W214" s="275"/>
      <c r="X214" s="275">
        <f t="shared" ref="X214:X277" si="4">IF($D214="",
       "",
       IFERROR(
           (($P$174/COUNT($D$213:$G$282))  +
           ((($AF$174/($DL214/1000))/
             COUNTIF($DL$213:$DL$282,$DL214)) * SIN(ABS(ATAN($L214/$H214))+ (IF( AND($H214&gt;0,$L214&gt;0),
                                                                                                                                                    1,
                                                                                                                                                    IF( AND($H214&lt;0,$L214&gt;0),
                                                                                                                                                         2,
                                                                                                                                                         IF( AND($H214&lt;0,$L214&lt;0),
                                                                                                                                                              3,
                                                                                                                                                              IF( AND($H214&lt;0,$L214&gt;0),
                                                                                                                                                                   4,
                                                                                                                                               ))))*(PI()/2))))),
      0)
  )</f>
        <v>-5.4999999999999991</v>
      </c>
      <c r="Y214" s="275"/>
      <c r="Z214" s="275"/>
      <c r="AA214" s="275"/>
      <c r="AB214" s="276">
        <f t="shared" si="0"/>
        <v>7.9569152314197744</v>
      </c>
      <c r="AC214" s="276"/>
      <c r="AD214" s="276"/>
      <c r="AE214" s="276"/>
      <c r="AJ214" s="169"/>
      <c r="AK214" s="96"/>
      <c r="AL214" s="260">
        <v>350</v>
      </c>
      <c r="AM214" s="259"/>
      <c r="AN214" s="259"/>
      <c r="AO214" s="259"/>
      <c r="AP214" s="259">
        <v>1000</v>
      </c>
      <c r="AQ214" s="259"/>
      <c r="AR214" s="259"/>
      <c r="AS214" s="259"/>
      <c r="AT214" s="261">
        <v>1000</v>
      </c>
      <c r="AU214" s="261"/>
      <c r="AV214" s="261"/>
      <c r="AW214" s="261"/>
      <c r="AX214" s="261">
        <v>350</v>
      </c>
      <c r="AY214" s="261"/>
      <c r="AZ214" s="261"/>
      <c r="BA214" s="262"/>
      <c r="BB214" s="242">
        <f t="shared" ref="BB214:BB277" si="5">IF($D214="", "",
       MAX(
                   IF(AL214&lt;1.5*$Z$68,AL214,0),
                   IF(AP214&lt;1.5*$Z$68,AP214,0),
                   IF(AT214&lt;1.5*$Z$68,AT214,0),
                   IF(AX214&lt;1.5*$Z$68,AX214,0))
   )</f>
        <v>350</v>
      </c>
      <c r="BC214" s="243"/>
      <c r="BD214" s="243"/>
      <c r="BE214" s="243"/>
      <c r="BF214" s="249">
        <f t="shared" ref="BF214:BF277" si="6">IF($D214="", "",
       COUNTIF(AL214:BA214,"&lt;"&amp;$Z$68*1.5)
   )</f>
        <v>2</v>
      </c>
      <c r="BG214" s="249"/>
      <c r="BH214" s="249"/>
      <c r="BI214" s="250"/>
      <c r="BJ214" s="260">
        <v>1</v>
      </c>
      <c r="BK214" s="259"/>
      <c r="BL214" s="249">
        <f t="shared" ref="BL214:BL277" si="7">IF($D214="", "",
       IFERROR(
                          ABS($H214-LOOKUP(
                                                                    BJ214,
                                                                    $D$213:$D$259,
                                                                    $H$213:$H$259)),
       "-"))</f>
        <v>250</v>
      </c>
      <c r="BM214" s="249"/>
      <c r="BN214" s="249"/>
      <c r="BO214" s="249"/>
      <c r="BP214" s="259"/>
      <c r="BQ214" s="259"/>
      <c r="BR214" s="249" t="str">
        <f t="shared" ref="BR214:BR277" si="8">IF($D214="", "",
       IFERROR(
                          ABS($H214-LOOKUP(
                                                                    BP214,
                                                                    $D$213:$D$259,
                                                                    $H$213:$H$259)),
       "-"))</f>
        <v>-</v>
      </c>
      <c r="BS214" s="249"/>
      <c r="BT214" s="249"/>
      <c r="BU214" s="249"/>
      <c r="BV214" s="259"/>
      <c r="BW214" s="259"/>
      <c r="BX214" s="249" t="str">
        <f t="shared" ref="BX214:BX277" si="9">IF($D214="", "",
       IFERROR(
                          ABS($L214-LOOKUP(
                                                                    BV214,
                                                                    $D$213:$D$259,
                                                                    $L$213:$L$259)),
       "-"))</f>
        <v>-</v>
      </c>
      <c r="BY214" s="249"/>
      <c r="BZ214" s="249"/>
      <c r="CA214" s="249"/>
      <c r="CB214" s="259">
        <v>4</v>
      </c>
      <c r="CC214" s="259"/>
      <c r="CD214" s="249">
        <f t="shared" ref="CD214:CD277" si="10">IF($D214="", "",
       IFERROR(
                          ABS($L214-LOOKUP(
                                                                    CB214,
                                                                    $D$213:$D$259,
                                                                    $L$213:$L$259)),
       "-"))</f>
        <v>250</v>
      </c>
      <c r="CE214" s="249"/>
      <c r="CF214" s="249"/>
      <c r="CG214" s="250"/>
      <c r="CH214" s="271">
        <f t="shared" ref="CH214:CH277" si="11">IF($D214="", "",
       IFERROR(
                          (MIN($AL214,IFERROR($BL214/2,1.5*$AL214),1.5*$Z$68)     +     MIN($AP214,IFERROR($BR214/2,1.5*$AL214),1.5*$Z$68))*
                          (MIN($AT214,IFERROR($BX214/2,1.5*$AL214),1.5*$Z$68)     +     MIN($AX214,IFERROR($CD214/2,1.5*$AL214),1.5*$Z$68))/
                          1000000,
       "-"))</f>
        <v>0.42249999999999999</v>
      </c>
      <c r="CI214" s="272"/>
      <c r="CJ214" s="272"/>
      <c r="CK214" s="272"/>
      <c r="CL214" s="272"/>
      <c r="CM214" s="272" t="str">
        <f t="shared" ref="CM214:CM277" si="12">IF($D214="", "",
        IFERROR(
                          (MIN($AL214,IFERROR($BL214/2,1.5*$Z$113),$Z$113)     +     MIN($AP214,IFERROR($BR214/2,1.5*$Z$113),$Z$113))*
                          (MIN($AT214,IFERROR($BX214/2,1.5*$Z$113),$Z$113)     +     MIN($AX214,IFERROR($CD214/2,1.5*$Z$113),$Z$113))/
                          1000000,
      "-"))</f>
        <v>-</v>
      </c>
      <c r="CN214" s="272"/>
      <c r="CO214" s="272"/>
      <c r="CP214" s="272"/>
      <c r="CQ214" s="272"/>
      <c r="CR214" s="272">
        <f t="shared" ref="CR214:CR277" si="13">IF($D214="", "",
        IFERROR((
                 IF($Q$594=2,
                      IF($AL214&gt;=MEDIAN($AL$213:$AO$282),1,0),
                      IF($AL214&lt;=MEDIAN($AL$213:$AO$282),1,0)
                 ))
                        *(MIN($AT214,  IFERROR($BX214/2,1.5*$Z$68),  1.5*IFERROR($AL214,$Z$68)  )     +
                         MIN($AX214,  IFERROR($CD214/2,1.5*$Z$68),  1.5*IFERROR($AL214,$Z$68)  ))     *
                         MIN(1.5*IFERROR($AL214,1.5*$Z$68),$Z$104)/1000000,
        "-"))</f>
        <v>0</v>
      </c>
      <c r="CS214" s="272"/>
      <c r="CT214" s="272"/>
      <c r="CU214" s="272"/>
      <c r="CV214" s="272"/>
      <c r="CW214" s="272">
        <f t="shared" ref="CW214:CW277" si="14">IF($D214="", "",
        IFERROR((
                 IF($Q$594=2,
                      IF($AP214&gt;=MEDIAN($AP$213:$AS$282),1,0),
                      IF($AP214&lt;=MEDIAN($AP$213:$AS$282),1,0)
                 ))
                        *(MIN($AT214,  IFERROR($BX214/2,1.5*$Z$68),  1.5*IFERROR($AP214,$Z$68)  )     +
                         MIN($AX214,  IFERROR($CD214/2,1.5*$Z$68),  1.5*IFERROR($AP214,$Z$68)  ))     *
                         MIN(1.5*IFERROR($AP214,1.5*$Z$68),$Z$104)/1000000,
        "-"))</f>
        <v>1.2</v>
      </c>
      <c r="CX214" s="272"/>
      <c r="CY214" s="272"/>
      <c r="CZ214" s="272"/>
      <c r="DA214" s="272"/>
      <c r="DB214" s="272">
        <f t="shared" ref="DB214:DB277" si="15">IF($D214="", "",
        IFERROR((
                 IF($Q$594=2,
                      IF($AT214&gt;=MEDIAN($AT$213:$AW$282),1,0),
                      IF($AT214&lt;=MEDIAN($AT$213:$AW$282),1,0)
                 ))
                        *(MIN($AL214,  IFERROR($BL214/2,1.5*$Z$68),  1.5*IFERROR($AT214,$Z$68)  )     +
                         MIN($AP214,  IFERROR($BR214/2,1.5*$Z$68),  1.5*IFERROR($AT214,$Z$68)  ))     *
                         MIN(1.5*IFERROR($AT214,1.5*$Z$68),$Z$104)/1000000,
        "-"))</f>
        <v>1.2</v>
      </c>
      <c r="DC214" s="272"/>
      <c r="DD214" s="272"/>
      <c r="DE214" s="272"/>
      <c r="DF214" s="272"/>
      <c r="DG214" s="272">
        <f t="shared" ref="DG214:DG277" si="16">IF($D214="", "",
        IFERROR((
                 IF($Q$594=2,
                      IF($AX214&gt;=MEDIAN($AX$213:$BA$282),1,0),
                      IF($AX214&lt;=MEDIAN($AX$213:$BA$282),1,0)
                 ))
                        *(MIN($AL214,  IFERROR($BL214/2,1.5*$Z$68),  1.5*IFERROR($AX214,$Z$68)  )     +
                         MIN($AP214,  IFERROR($BR214/2,1.5*$Z$68),  1.5*IFERROR($AX214,$Z$68)  ))     *
                         MIN(1.5*IFERROR($AX214,1.5*$Z$68),$Z$104)/1000000,
        "-"))</f>
        <v>0</v>
      </c>
      <c r="DH214" s="272"/>
      <c r="DI214" s="272"/>
      <c r="DJ214" s="272"/>
      <c r="DK214" s="273"/>
      <c r="DL214" s="267">
        <f t="shared" ref="DL214:DL277" si="17">IF($D214="", "", IFERROR( (($H214^2)+($L214^2))^0.5,""))</f>
        <v>176.77669529663689</v>
      </c>
      <c r="DM214" s="268"/>
      <c r="DN214" s="268"/>
      <c r="DO214" s="263">
        <f t="shared" si="1"/>
        <v>406.25</v>
      </c>
      <c r="DP214" s="263"/>
      <c r="DQ214" s="263"/>
      <c r="DR214" s="263">
        <f>IFERROR(L214*P214,"")</f>
        <v>-406.25</v>
      </c>
      <c r="DS214" s="263"/>
      <c r="DT214" s="263"/>
      <c r="DU214" s="198"/>
      <c r="DV214" s="198"/>
      <c r="DW214" s="198"/>
      <c r="DX214" s="198"/>
      <c r="DY214" s="198"/>
      <c r="DZ214" s="263">
        <f t="shared" ref="DZ214:DZ277" si="18">IFERROR(L214*T214,"")</f>
        <v>-718.75000000000011</v>
      </c>
      <c r="EA214" s="263"/>
      <c r="EB214" s="263"/>
      <c r="EC214" s="263">
        <f t="shared" ref="EC214:EC277" si="19">IFERROR(H214*X214,"")</f>
        <v>687.49999999999989</v>
      </c>
      <c r="ED214" s="263"/>
      <c r="EE214" s="265"/>
    </row>
    <row r="215" spans="1:151" ht="12.75" customHeight="1" x14ac:dyDescent="0.2">
      <c r="A215" s="54"/>
      <c r="B215" s="54"/>
      <c r="C215" s="54"/>
      <c r="D215" s="274">
        <v>3</v>
      </c>
      <c r="E215" s="274"/>
      <c r="F215" s="274"/>
      <c r="G215" s="274"/>
      <c r="H215" s="274">
        <v>125</v>
      </c>
      <c r="I215" s="274"/>
      <c r="J215" s="274"/>
      <c r="K215" s="274"/>
      <c r="L215" s="274">
        <v>-125</v>
      </c>
      <c r="M215" s="274"/>
      <c r="N215" s="274"/>
      <c r="O215" s="274"/>
      <c r="P215" s="275">
        <f t="shared" si="2"/>
        <v>4.75</v>
      </c>
      <c r="Q215" s="275"/>
      <c r="R215" s="275"/>
      <c r="S215" s="275"/>
      <c r="T215" s="275">
        <f t="shared" si="3"/>
        <v>6.25</v>
      </c>
      <c r="U215" s="275"/>
      <c r="V215" s="275"/>
      <c r="W215" s="275"/>
      <c r="X215" s="275">
        <f t="shared" si="4"/>
        <v>6.4999999999999991</v>
      </c>
      <c r="Y215" s="275"/>
      <c r="Z215" s="275"/>
      <c r="AA215" s="275"/>
      <c r="AB215" s="276">
        <f t="shared" si="0"/>
        <v>9.017344398435716</v>
      </c>
      <c r="AC215" s="276"/>
      <c r="AD215" s="276"/>
      <c r="AE215" s="276"/>
      <c r="AJ215" s="169"/>
      <c r="AK215" s="96"/>
      <c r="AL215" s="260">
        <v>100</v>
      </c>
      <c r="AM215" s="259"/>
      <c r="AN215" s="259"/>
      <c r="AO215" s="259"/>
      <c r="AP215" s="259">
        <v>1000</v>
      </c>
      <c r="AQ215" s="259"/>
      <c r="AR215" s="259"/>
      <c r="AS215" s="259"/>
      <c r="AT215" s="261">
        <v>1000</v>
      </c>
      <c r="AU215" s="261"/>
      <c r="AV215" s="261"/>
      <c r="AW215" s="261"/>
      <c r="AX215" s="261">
        <v>100</v>
      </c>
      <c r="AY215" s="261"/>
      <c r="AZ215" s="261"/>
      <c r="BA215" s="262"/>
      <c r="BB215" s="242">
        <f t="shared" si="5"/>
        <v>100</v>
      </c>
      <c r="BC215" s="243"/>
      <c r="BD215" s="243"/>
      <c r="BE215" s="243"/>
      <c r="BF215" s="249">
        <f t="shared" si="6"/>
        <v>2</v>
      </c>
      <c r="BG215" s="249"/>
      <c r="BH215" s="249"/>
      <c r="BI215" s="250"/>
      <c r="BJ215" s="260"/>
      <c r="BK215" s="259"/>
      <c r="BL215" s="249" t="str">
        <f t="shared" si="7"/>
        <v>-</v>
      </c>
      <c r="BM215" s="249"/>
      <c r="BN215" s="249"/>
      <c r="BO215" s="249"/>
      <c r="BP215" s="259">
        <v>4</v>
      </c>
      <c r="BQ215" s="259"/>
      <c r="BR215" s="249">
        <f t="shared" si="8"/>
        <v>250</v>
      </c>
      <c r="BS215" s="249"/>
      <c r="BT215" s="249"/>
      <c r="BU215" s="249"/>
      <c r="BV215" s="259">
        <v>1</v>
      </c>
      <c r="BW215" s="259"/>
      <c r="BX215" s="249">
        <f t="shared" si="9"/>
        <v>250</v>
      </c>
      <c r="BY215" s="249"/>
      <c r="BZ215" s="249"/>
      <c r="CA215" s="249"/>
      <c r="CB215" s="259"/>
      <c r="CC215" s="259"/>
      <c r="CD215" s="249" t="str">
        <f t="shared" si="10"/>
        <v>-</v>
      </c>
      <c r="CE215" s="249"/>
      <c r="CF215" s="249"/>
      <c r="CG215" s="250"/>
      <c r="CH215" s="271">
        <f t="shared" si="11"/>
        <v>5.0625000000000003E-2</v>
      </c>
      <c r="CI215" s="272"/>
      <c r="CJ215" s="272"/>
      <c r="CK215" s="272"/>
      <c r="CL215" s="272"/>
      <c r="CM215" s="272" t="str">
        <f t="shared" si="12"/>
        <v>-</v>
      </c>
      <c r="CN215" s="272"/>
      <c r="CO215" s="272"/>
      <c r="CP215" s="272"/>
      <c r="CQ215" s="272"/>
      <c r="CR215" s="272">
        <f t="shared" si="13"/>
        <v>3.3750000000000002E-2</v>
      </c>
      <c r="CS215" s="272"/>
      <c r="CT215" s="272"/>
      <c r="CU215" s="272"/>
      <c r="CV215" s="272"/>
      <c r="CW215" s="272">
        <f t="shared" si="14"/>
        <v>0.33750000000000002</v>
      </c>
      <c r="CX215" s="272"/>
      <c r="CY215" s="272"/>
      <c r="CZ215" s="272"/>
      <c r="DA215" s="272"/>
      <c r="DB215" s="272">
        <f t="shared" si="15"/>
        <v>0.33750000000000002</v>
      </c>
      <c r="DC215" s="272"/>
      <c r="DD215" s="272"/>
      <c r="DE215" s="272"/>
      <c r="DF215" s="272"/>
      <c r="DG215" s="272">
        <f t="shared" si="16"/>
        <v>3.3750000000000002E-2</v>
      </c>
      <c r="DH215" s="272"/>
      <c r="DI215" s="272"/>
      <c r="DJ215" s="272"/>
      <c r="DK215" s="273"/>
      <c r="DL215" s="267">
        <f t="shared" si="17"/>
        <v>176.77669529663689</v>
      </c>
      <c r="DM215" s="268"/>
      <c r="DN215" s="268"/>
      <c r="DO215" s="263">
        <f t="shared" si="1"/>
        <v>593.75</v>
      </c>
      <c r="DP215" s="263"/>
      <c r="DQ215" s="263"/>
      <c r="DR215" s="263">
        <f>IFERROR(L215*P215,"")</f>
        <v>-593.75</v>
      </c>
      <c r="DS215" s="263"/>
      <c r="DT215" s="263"/>
      <c r="DU215" s="198"/>
      <c r="DV215" s="198"/>
      <c r="DW215" s="198"/>
      <c r="DX215" s="198"/>
      <c r="DY215" s="198"/>
      <c r="DZ215" s="263">
        <f t="shared" si="18"/>
        <v>-781.25</v>
      </c>
      <c r="EA215" s="263"/>
      <c r="EB215" s="263"/>
      <c r="EC215" s="263">
        <f t="shared" si="19"/>
        <v>812.49999999999989</v>
      </c>
      <c r="ED215" s="263"/>
      <c r="EE215" s="265"/>
    </row>
    <row r="216" spans="1:151" ht="13.5" customHeight="1" x14ac:dyDescent="0.2">
      <c r="A216" s="54"/>
      <c r="B216" s="54"/>
      <c r="C216" s="54"/>
      <c r="D216" s="274">
        <v>4</v>
      </c>
      <c r="E216" s="274"/>
      <c r="F216" s="274"/>
      <c r="G216" s="274"/>
      <c r="H216" s="274">
        <v>-125</v>
      </c>
      <c r="I216" s="274"/>
      <c r="J216" s="274"/>
      <c r="K216" s="274"/>
      <c r="L216" s="274">
        <v>-125</v>
      </c>
      <c r="M216" s="274"/>
      <c r="N216" s="274"/>
      <c r="O216" s="274"/>
      <c r="P216" s="275">
        <f t="shared" si="2"/>
        <v>-35.25</v>
      </c>
      <c r="Q216" s="275"/>
      <c r="R216" s="275"/>
      <c r="S216" s="275"/>
      <c r="T216" s="275">
        <f t="shared" si="3"/>
        <v>6.2499999999999982</v>
      </c>
      <c r="U216" s="275"/>
      <c r="V216" s="275"/>
      <c r="W216" s="275"/>
      <c r="X216" s="275">
        <f t="shared" si="4"/>
        <v>-5.5000000000000009</v>
      </c>
      <c r="Y216" s="275"/>
      <c r="Z216" s="275"/>
      <c r="AA216" s="275"/>
      <c r="AB216" s="276">
        <f t="shared" si="0"/>
        <v>8.3254129026733548</v>
      </c>
      <c r="AC216" s="276"/>
      <c r="AD216" s="276"/>
      <c r="AE216" s="276"/>
      <c r="AJ216" s="169"/>
      <c r="AK216" s="96"/>
      <c r="AL216" s="260">
        <v>350</v>
      </c>
      <c r="AM216" s="259"/>
      <c r="AN216" s="259"/>
      <c r="AO216" s="259"/>
      <c r="AP216" s="259">
        <v>1000</v>
      </c>
      <c r="AQ216" s="259"/>
      <c r="AR216" s="259"/>
      <c r="AS216" s="259"/>
      <c r="AT216" s="261">
        <v>1000</v>
      </c>
      <c r="AU216" s="261"/>
      <c r="AV216" s="261"/>
      <c r="AW216" s="261"/>
      <c r="AX216" s="261">
        <v>100</v>
      </c>
      <c r="AY216" s="261"/>
      <c r="AZ216" s="261"/>
      <c r="BA216" s="262"/>
      <c r="BB216" s="242">
        <f t="shared" si="5"/>
        <v>350</v>
      </c>
      <c r="BC216" s="243"/>
      <c r="BD216" s="243"/>
      <c r="BE216" s="243"/>
      <c r="BF216" s="249">
        <f t="shared" si="6"/>
        <v>2</v>
      </c>
      <c r="BG216" s="249"/>
      <c r="BH216" s="249"/>
      <c r="BI216" s="250"/>
      <c r="BJ216" s="260">
        <v>3</v>
      </c>
      <c r="BK216" s="259"/>
      <c r="BL216" s="249">
        <f t="shared" si="7"/>
        <v>250</v>
      </c>
      <c r="BM216" s="249"/>
      <c r="BN216" s="249"/>
      <c r="BO216" s="249"/>
      <c r="BP216" s="259"/>
      <c r="BQ216" s="259"/>
      <c r="BR216" s="249" t="str">
        <f t="shared" si="8"/>
        <v>-</v>
      </c>
      <c r="BS216" s="249"/>
      <c r="BT216" s="249"/>
      <c r="BU216" s="249"/>
      <c r="BV216" s="259">
        <v>2</v>
      </c>
      <c r="BW216" s="259"/>
      <c r="BX216" s="249">
        <f t="shared" si="9"/>
        <v>250</v>
      </c>
      <c r="BY216" s="249"/>
      <c r="BZ216" s="249"/>
      <c r="CA216" s="249"/>
      <c r="CB216" s="259"/>
      <c r="CC216" s="259"/>
      <c r="CD216" s="249" t="str">
        <f t="shared" si="10"/>
        <v>-</v>
      </c>
      <c r="CE216" s="249"/>
      <c r="CF216" s="249"/>
      <c r="CG216" s="250"/>
      <c r="CH216" s="271">
        <f t="shared" si="11"/>
        <v>0.14624999999999999</v>
      </c>
      <c r="CI216" s="272"/>
      <c r="CJ216" s="272"/>
      <c r="CK216" s="272"/>
      <c r="CL216" s="272"/>
      <c r="CM216" s="272" t="str">
        <f t="shared" si="12"/>
        <v>-</v>
      </c>
      <c r="CN216" s="272"/>
      <c r="CO216" s="272"/>
      <c r="CP216" s="272"/>
      <c r="CQ216" s="272"/>
      <c r="CR216" s="272">
        <f t="shared" si="13"/>
        <v>0</v>
      </c>
      <c r="CS216" s="272"/>
      <c r="CT216" s="272"/>
      <c r="CU216" s="272"/>
      <c r="CV216" s="272"/>
      <c r="CW216" s="272">
        <f t="shared" si="14"/>
        <v>0.33750000000000002</v>
      </c>
      <c r="CX216" s="272"/>
      <c r="CY216" s="272"/>
      <c r="CZ216" s="272"/>
      <c r="DA216" s="272"/>
      <c r="DB216" s="272">
        <f t="shared" si="15"/>
        <v>1.2</v>
      </c>
      <c r="DC216" s="272"/>
      <c r="DD216" s="272"/>
      <c r="DE216" s="272"/>
      <c r="DF216" s="272"/>
      <c r="DG216" s="272">
        <f t="shared" si="16"/>
        <v>4.1250000000000002E-2</v>
      </c>
      <c r="DH216" s="272"/>
      <c r="DI216" s="272"/>
      <c r="DJ216" s="272"/>
      <c r="DK216" s="273"/>
      <c r="DL216" s="267">
        <f t="shared" si="17"/>
        <v>176.77669529663689</v>
      </c>
      <c r="DM216" s="268"/>
      <c r="DN216" s="268"/>
      <c r="DO216" s="263">
        <f t="shared" si="1"/>
        <v>4406.25</v>
      </c>
      <c r="DP216" s="263"/>
      <c r="DQ216" s="263"/>
      <c r="DR216" s="263">
        <f>IFERROR(L216*P216,"")</f>
        <v>4406.25</v>
      </c>
      <c r="DS216" s="263"/>
      <c r="DT216" s="263"/>
      <c r="DU216" s="198"/>
      <c r="DV216" s="198"/>
      <c r="DW216" s="198"/>
      <c r="DX216" s="198"/>
      <c r="DY216" s="198"/>
      <c r="DZ216" s="263">
        <f t="shared" si="18"/>
        <v>-781.24999999999977</v>
      </c>
      <c r="EA216" s="263"/>
      <c r="EB216" s="263"/>
      <c r="EC216" s="263">
        <f t="shared" si="19"/>
        <v>687.50000000000011</v>
      </c>
      <c r="ED216" s="263"/>
      <c r="EE216" s="265"/>
    </row>
    <row r="217" spans="1:151" x14ac:dyDescent="0.2">
      <c r="A217" s="54"/>
      <c r="B217" s="54"/>
      <c r="C217" s="54"/>
      <c r="D217" s="274"/>
      <c r="E217" s="274"/>
      <c r="F217" s="274"/>
      <c r="G217" s="274"/>
      <c r="H217" s="274"/>
      <c r="I217" s="274"/>
      <c r="J217" s="274"/>
      <c r="K217" s="274"/>
      <c r="L217" s="274"/>
      <c r="M217" s="274"/>
      <c r="N217" s="274"/>
      <c r="O217" s="274"/>
      <c r="P217" s="275" t="str">
        <f t="shared" si="2"/>
        <v/>
      </c>
      <c r="Q217" s="275"/>
      <c r="R217" s="275"/>
      <c r="S217" s="275"/>
      <c r="T217" s="275" t="str">
        <f t="shared" si="3"/>
        <v/>
      </c>
      <c r="U217" s="275"/>
      <c r="V217" s="275"/>
      <c r="W217" s="275"/>
      <c r="X217" s="275" t="str">
        <f t="shared" si="4"/>
        <v/>
      </c>
      <c r="Y217" s="275"/>
      <c r="Z217" s="275"/>
      <c r="AA217" s="275"/>
      <c r="AB217" s="276" t="str">
        <f t="shared" si="0"/>
        <v/>
      </c>
      <c r="AC217" s="276"/>
      <c r="AD217" s="276"/>
      <c r="AE217" s="276"/>
      <c r="AJ217" s="169"/>
      <c r="AK217" s="96"/>
      <c r="AL217" s="260"/>
      <c r="AM217" s="259"/>
      <c r="AN217" s="259"/>
      <c r="AO217" s="259"/>
      <c r="AP217" s="259"/>
      <c r="AQ217" s="259"/>
      <c r="AR217" s="259"/>
      <c r="AS217" s="259"/>
      <c r="AT217" s="261"/>
      <c r="AU217" s="261"/>
      <c r="AV217" s="261"/>
      <c r="AW217" s="261"/>
      <c r="AX217" s="261"/>
      <c r="AY217" s="261"/>
      <c r="AZ217" s="261"/>
      <c r="BA217" s="262"/>
      <c r="BB217" s="242" t="str">
        <f t="shared" si="5"/>
        <v/>
      </c>
      <c r="BC217" s="243"/>
      <c r="BD217" s="243"/>
      <c r="BE217" s="243"/>
      <c r="BF217" s="249" t="str">
        <f t="shared" si="6"/>
        <v/>
      </c>
      <c r="BG217" s="249"/>
      <c r="BH217" s="249"/>
      <c r="BI217" s="250"/>
      <c r="BJ217" s="260"/>
      <c r="BK217" s="259"/>
      <c r="BL217" s="249" t="str">
        <f t="shared" si="7"/>
        <v/>
      </c>
      <c r="BM217" s="249"/>
      <c r="BN217" s="249"/>
      <c r="BO217" s="249"/>
      <c r="BP217" s="259"/>
      <c r="BQ217" s="259"/>
      <c r="BR217" s="249" t="str">
        <f t="shared" si="8"/>
        <v/>
      </c>
      <c r="BS217" s="249"/>
      <c r="BT217" s="249"/>
      <c r="BU217" s="249"/>
      <c r="BV217" s="259"/>
      <c r="BW217" s="259"/>
      <c r="BX217" s="249" t="str">
        <f t="shared" si="9"/>
        <v/>
      </c>
      <c r="BY217" s="249"/>
      <c r="BZ217" s="249"/>
      <c r="CA217" s="249"/>
      <c r="CB217" s="259"/>
      <c r="CC217" s="259"/>
      <c r="CD217" s="249" t="str">
        <f t="shared" si="10"/>
        <v/>
      </c>
      <c r="CE217" s="249"/>
      <c r="CF217" s="249"/>
      <c r="CG217" s="250"/>
      <c r="CH217" s="271" t="str">
        <f t="shared" si="11"/>
        <v/>
      </c>
      <c r="CI217" s="272"/>
      <c r="CJ217" s="272"/>
      <c r="CK217" s="272"/>
      <c r="CL217" s="272"/>
      <c r="CM217" s="272" t="str">
        <f t="shared" si="12"/>
        <v/>
      </c>
      <c r="CN217" s="272"/>
      <c r="CO217" s="272"/>
      <c r="CP217" s="272"/>
      <c r="CQ217" s="272"/>
      <c r="CR217" s="272" t="str">
        <f t="shared" si="13"/>
        <v/>
      </c>
      <c r="CS217" s="272"/>
      <c r="CT217" s="272"/>
      <c r="CU217" s="272"/>
      <c r="CV217" s="272"/>
      <c r="CW217" s="272" t="str">
        <f t="shared" si="14"/>
        <v/>
      </c>
      <c r="CX217" s="272"/>
      <c r="CY217" s="272"/>
      <c r="CZ217" s="272"/>
      <c r="DA217" s="272"/>
      <c r="DB217" s="272" t="str">
        <f t="shared" si="15"/>
        <v/>
      </c>
      <c r="DC217" s="272"/>
      <c r="DD217" s="272"/>
      <c r="DE217" s="272"/>
      <c r="DF217" s="272"/>
      <c r="DG217" s="272" t="str">
        <f t="shared" si="16"/>
        <v/>
      </c>
      <c r="DH217" s="272"/>
      <c r="DI217" s="272"/>
      <c r="DJ217" s="272"/>
      <c r="DK217" s="273"/>
      <c r="DL217" s="267" t="str">
        <f t="shared" si="17"/>
        <v/>
      </c>
      <c r="DM217" s="268"/>
      <c r="DN217" s="268"/>
      <c r="DO217" s="263" t="str">
        <f t="shared" si="1"/>
        <v/>
      </c>
      <c r="DP217" s="263" t="str">
        <f t="shared" ref="DP217:DP248" si="20">IFERROR(L217*P217,"")</f>
        <v/>
      </c>
      <c r="DQ217" s="263"/>
      <c r="DR217" s="263" t="str">
        <f t="shared" ref="DR217:DR248" si="21">IFERROR(L217*T217,"")</f>
        <v/>
      </c>
      <c r="DS217" s="263"/>
      <c r="DT217" s="263" t="str">
        <f t="shared" ref="DT217:DT248" si="22">IFERROR(H217*X217,"")</f>
        <v/>
      </c>
      <c r="DU217" s="198"/>
      <c r="DV217" s="198"/>
      <c r="DW217" s="198"/>
      <c r="DX217" s="198"/>
      <c r="DY217" s="198"/>
      <c r="DZ217" s="263" t="str">
        <f t="shared" si="18"/>
        <v/>
      </c>
      <c r="EA217" s="263"/>
      <c r="EB217" s="263"/>
      <c r="EC217" s="263" t="str">
        <f t="shared" si="19"/>
        <v/>
      </c>
      <c r="ED217" s="263"/>
      <c r="EE217" s="265"/>
    </row>
    <row r="218" spans="1:151" x14ac:dyDescent="0.2">
      <c r="A218" s="54"/>
      <c r="B218" s="54"/>
      <c r="C218" s="54"/>
      <c r="D218" s="274"/>
      <c r="E218" s="274"/>
      <c r="F218" s="274"/>
      <c r="G218" s="274"/>
      <c r="H218" s="274"/>
      <c r="I218" s="274"/>
      <c r="J218" s="274"/>
      <c r="K218" s="274"/>
      <c r="L218" s="274"/>
      <c r="M218" s="274"/>
      <c r="N218" s="274"/>
      <c r="O218" s="274"/>
      <c r="P218" s="275" t="str">
        <f t="shared" si="2"/>
        <v/>
      </c>
      <c r="Q218" s="275"/>
      <c r="R218" s="275"/>
      <c r="S218" s="275"/>
      <c r="T218" s="275" t="str">
        <f t="shared" si="3"/>
        <v/>
      </c>
      <c r="U218" s="275"/>
      <c r="V218" s="275"/>
      <c r="W218" s="275"/>
      <c r="X218" s="275" t="str">
        <f t="shared" si="4"/>
        <v/>
      </c>
      <c r="Y218" s="275"/>
      <c r="Z218" s="275"/>
      <c r="AA218" s="275"/>
      <c r="AB218" s="276" t="str">
        <f t="shared" si="0"/>
        <v/>
      </c>
      <c r="AC218" s="276"/>
      <c r="AD218" s="276"/>
      <c r="AE218" s="276"/>
      <c r="AJ218" s="169"/>
      <c r="AK218" s="96"/>
      <c r="AL218" s="260"/>
      <c r="AM218" s="259"/>
      <c r="AN218" s="259"/>
      <c r="AO218" s="259"/>
      <c r="AP218" s="259"/>
      <c r="AQ218" s="259"/>
      <c r="AR218" s="259"/>
      <c r="AS218" s="259"/>
      <c r="AT218" s="261"/>
      <c r="AU218" s="261"/>
      <c r="AV218" s="261"/>
      <c r="AW218" s="261"/>
      <c r="AX218" s="261"/>
      <c r="AY218" s="261"/>
      <c r="AZ218" s="261"/>
      <c r="BA218" s="262"/>
      <c r="BB218" s="242" t="str">
        <f t="shared" si="5"/>
        <v/>
      </c>
      <c r="BC218" s="243"/>
      <c r="BD218" s="243"/>
      <c r="BE218" s="243"/>
      <c r="BF218" s="249" t="str">
        <f t="shared" si="6"/>
        <v/>
      </c>
      <c r="BG218" s="249"/>
      <c r="BH218" s="249"/>
      <c r="BI218" s="250"/>
      <c r="BJ218" s="260"/>
      <c r="BK218" s="259"/>
      <c r="BL218" s="249" t="str">
        <f t="shared" si="7"/>
        <v/>
      </c>
      <c r="BM218" s="249"/>
      <c r="BN218" s="249"/>
      <c r="BO218" s="249"/>
      <c r="BP218" s="259"/>
      <c r="BQ218" s="259"/>
      <c r="BR218" s="249" t="str">
        <f t="shared" si="8"/>
        <v/>
      </c>
      <c r="BS218" s="249"/>
      <c r="BT218" s="249"/>
      <c r="BU218" s="249"/>
      <c r="BV218" s="259"/>
      <c r="BW218" s="259"/>
      <c r="BX218" s="249" t="str">
        <f t="shared" si="9"/>
        <v/>
      </c>
      <c r="BY218" s="249"/>
      <c r="BZ218" s="249"/>
      <c r="CA218" s="249"/>
      <c r="CB218" s="259"/>
      <c r="CC218" s="259"/>
      <c r="CD218" s="249" t="str">
        <f t="shared" si="10"/>
        <v/>
      </c>
      <c r="CE218" s="249"/>
      <c r="CF218" s="249"/>
      <c r="CG218" s="250"/>
      <c r="CH218" s="271" t="str">
        <f t="shared" si="11"/>
        <v/>
      </c>
      <c r="CI218" s="272"/>
      <c r="CJ218" s="272"/>
      <c r="CK218" s="272"/>
      <c r="CL218" s="272"/>
      <c r="CM218" s="272" t="str">
        <f t="shared" si="12"/>
        <v/>
      </c>
      <c r="CN218" s="272"/>
      <c r="CO218" s="272"/>
      <c r="CP218" s="272"/>
      <c r="CQ218" s="272"/>
      <c r="CR218" s="272" t="str">
        <f t="shared" si="13"/>
        <v/>
      </c>
      <c r="CS218" s="272"/>
      <c r="CT218" s="272"/>
      <c r="CU218" s="272"/>
      <c r="CV218" s="272"/>
      <c r="CW218" s="272" t="str">
        <f t="shared" si="14"/>
        <v/>
      </c>
      <c r="CX218" s="272"/>
      <c r="CY218" s="272"/>
      <c r="CZ218" s="272"/>
      <c r="DA218" s="272"/>
      <c r="DB218" s="272" t="str">
        <f t="shared" si="15"/>
        <v/>
      </c>
      <c r="DC218" s="272"/>
      <c r="DD218" s="272"/>
      <c r="DE218" s="272"/>
      <c r="DF218" s="272"/>
      <c r="DG218" s="272" t="str">
        <f t="shared" si="16"/>
        <v/>
      </c>
      <c r="DH218" s="272"/>
      <c r="DI218" s="272"/>
      <c r="DJ218" s="272"/>
      <c r="DK218" s="273"/>
      <c r="DL218" s="267" t="str">
        <f t="shared" si="17"/>
        <v/>
      </c>
      <c r="DM218" s="268"/>
      <c r="DN218" s="268"/>
      <c r="DO218" s="263" t="str">
        <f t="shared" si="1"/>
        <v/>
      </c>
      <c r="DP218" s="263" t="str">
        <f t="shared" si="20"/>
        <v/>
      </c>
      <c r="DQ218" s="263"/>
      <c r="DR218" s="263" t="str">
        <f t="shared" si="21"/>
        <v/>
      </c>
      <c r="DS218" s="263"/>
      <c r="DT218" s="263" t="str">
        <f t="shared" si="22"/>
        <v/>
      </c>
      <c r="DU218" s="198"/>
      <c r="DV218" s="198"/>
      <c r="DW218" s="198"/>
      <c r="DX218" s="198"/>
      <c r="DY218" s="198"/>
      <c r="DZ218" s="263" t="str">
        <f t="shared" si="18"/>
        <v/>
      </c>
      <c r="EA218" s="263"/>
      <c r="EB218" s="263"/>
      <c r="EC218" s="263" t="str">
        <f t="shared" si="19"/>
        <v/>
      </c>
      <c r="ED218" s="263"/>
      <c r="EE218" s="265"/>
    </row>
    <row r="219" spans="1:151" x14ac:dyDescent="0.2">
      <c r="A219" s="54"/>
      <c r="B219" s="54"/>
      <c r="C219" s="54"/>
      <c r="D219" s="274"/>
      <c r="E219" s="274"/>
      <c r="F219" s="274"/>
      <c r="G219" s="274"/>
      <c r="H219" s="274"/>
      <c r="I219" s="274"/>
      <c r="J219" s="274"/>
      <c r="K219" s="274"/>
      <c r="L219" s="274"/>
      <c r="M219" s="274"/>
      <c r="N219" s="274"/>
      <c r="O219" s="274"/>
      <c r="P219" s="275" t="str">
        <f t="shared" si="2"/>
        <v/>
      </c>
      <c r="Q219" s="275"/>
      <c r="R219" s="275"/>
      <c r="S219" s="275"/>
      <c r="T219" s="275" t="str">
        <f t="shared" si="3"/>
        <v/>
      </c>
      <c r="U219" s="275"/>
      <c r="V219" s="275"/>
      <c r="W219" s="275"/>
      <c r="X219" s="275" t="str">
        <f t="shared" si="4"/>
        <v/>
      </c>
      <c r="Y219" s="275"/>
      <c r="Z219" s="275"/>
      <c r="AA219" s="275"/>
      <c r="AB219" s="276" t="str">
        <f t="shared" si="0"/>
        <v/>
      </c>
      <c r="AC219" s="276"/>
      <c r="AD219" s="276"/>
      <c r="AE219" s="276"/>
      <c r="AJ219" s="169"/>
      <c r="AK219" s="96"/>
      <c r="AL219" s="260"/>
      <c r="AM219" s="259"/>
      <c r="AN219" s="259"/>
      <c r="AO219" s="259"/>
      <c r="AP219" s="259"/>
      <c r="AQ219" s="259"/>
      <c r="AR219" s="259"/>
      <c r="AS219" s="259"/>
      <c r="AT219" s="261"/>
      <c r="AU219" s="261"/>
      <c r="AV219" s="261"/>
      <c r="AW219" s="261"/>
      <c r="AX219" s="261"/>
      <c r="AY219" s="261"/>
      <c r="AZ219" s="261"/>
      <c r="BA219" s="262"/>
      <c r="BB219" s="242" t="str">
        <f t="shared" si="5"/>
        <v/>
      </c>
      <c r="BC219" s="243"/>
      <c r="BD219" s="243"/>
      <c r="BE219" s="243"/>
      <c r="BF219" s="249" t="str">
        <f t="shared" si="6"/>
        <v/>
      </c>
      <c r="BG219" s="249"/>
      <c r="BH219" s="249"/>
      <c r="BI219" s="250"/>
      <c r="BJ219" s="260"/>
      <c r="BK219" s="259"/>
      <c r="BL219" s="249" t="str">
        <f t="shared" si="7"/>
        <v/>
      </c>
      <c r="BM219" s="249"/>
      <c r="BN219" s="249"/>
      <c r="BO219" s="249"/>
      <c r="BP219" s="259"/>
      <c r="BQ219" s="259"/>
      <c r="BR219" s="249" t="str">
        <f t="shared" si="8"/>
        <v/>
      </c>
      <c r="BS219" s="249"/>
      <c r="BT219" s="249"/>
      <c r="BU219" s="249"/>
      <c r="BV219" s="259"/>
      <c r="BW219" s="259"/>
      <c r="BX219" s="249" t="str">
        <f t="shared" si="9"/>
        <v/>
      </c>
      <c r="BY219" s="249"/>
      <c r="BZ219" s="249"/>
      <c r="CA219" s="249"/>
      <c r="CB219" s="259"/>
      <c r="CC219" s="259"/>
      <c r="CD219" s="249" t="str">
        <f t="shared" si="10"/>
        <v/>
      </c>
      <c r="CE219" s="249"/>
      <c r="CF219" s="249"/>
      <c r="CG219" s="250"/>
      <c r="CH219" s="271" t="str">
        <f t="shared" si="11"/>
        <v/>
      </c>
      <c r="CI219" s="272"/>
      <c r="CJ219" s="272"/>
      <c r="CK219" s="272"/>
      <c r="CL219" s="272"/>
      <c r="CM219" s="272" t="str">
        <f t="shared" si="12"/>
        <v/>
      </c>
      <c r="CN219" s="272"/>
      <c r="CO219" s="272"/>
      <c r="CP219" s="272"/>
      <c r="CQ219" s="272"/>
      <c r="CR219" s="272" t="str">
        <f t="shared" si="13"/>
        <v/>
      </c>
      <c r="CS219" s="272"/>
      <c r="CT219" s="272"/>
      <c r="CU219" s="272"/>
      <c r="CV219" s="272"/>
      <c r="CW219" s="272" t="str">
        <f t="shared" si="14"/>
        <v/>
      </c>
      <c r="CX219" s="272"/>
      <c r="CY219" s="272"/>
      <c r="CZ219" s="272"/>
      <c r="DA219" s="272"/>
      <c r="DB219" s="272" t="str">
        <f t="shared" si="15"/>
        <v/>
      </c>
      <c r="DC219" s="272"/>
      <c r="DD219" s="272"/>
      <c r="DE219" s="272"/>
      <c r="DF219" s="272"/>
      <c r="DG219" s="272" t="str">
        <f t="shared" si="16"/>
        <v/>
      </c>
      <c r="DH219" s="272"/>
      <c r="DI219" s="272"/>
      <c r="DJ219" s="272"/>
      <c r="DK219" s="273"/>
      <c r="DL219" s="267" t="str">
        <f t="shared" si="17"/>
        <v/>
      </c>
      <c r="DM219" s="268"/>
      <c r="DN219" s="268"/>
      <c r="DO219" s="263" t="str">
        <f t="shared" si="1"/>
        <v/>
      </c>
      <c r="DP219" s="263" t="str">
        <f t="shared" si="20"/>
        <v/>
      </c>
      <c r="DQ219" s="263"/>
      <c r="DR219" s="263" t="str">
        <f t="shared" si="21"/>
        <v/>
      </c>
      <c r="DS219" s="263"/>
      <c r="DT219" s="263" t="str">
        <f t="shared" si="22"/>
        <v/>
      </c>
      <c r="DU219" s="198"/>
      <c r="DV219" s="198"/>
      <c r="DW219" s="198"/>
      <c r="DX219" s="198"/>
      <c r="DY219" s="198"/>
      <c r="DZ219" s="263" t="str">
        <f t="shared" si="18"/>
        <v/>
      </c>
      <c r="EA219" s="263"/>
      <c r="EB219" s="263"/>
      <c r="EC219" s="263" t="str">
        <f t="shared" si="19"/>
        <v/>
      </c>
      <c r="ED219" s="263"/>
      <c r="EE219" s="265"/>
    </row>
    <row r="220" spans="1:151" ht="12.75" customHeight="1" x14ac:dyDescent="0.2">
      <c r="A220" s="54"/>
      <c r="B220" s="54"/>
      <c r="C220" s="54"/>
      <c r="D220" s="274"/>
      <c r="E220" s="274"/>
      <c r="F220" s="274"/>
      <c r="G220" s="274"/>
      <c r="H220" s="274"/>
      <c r="I220" s="274"/>
      <c r="J220" s="274"/>
      <c r="K220" s="274"/>
      <c r="L220" s="274"/>
      <c r="M220" s="274"/>
      <c r="N220" s="274"/>
      <c r="O220" s="274"/>
      <c r="P220" s="275" t="str">
        <f t="shared" si="2"/>
        <v/>
      </c>
      <c r="Q220" s="275"/>
      <c r="R220" s="275"/>
      <c r="S220" s="275"/>
      <c r="T220" s="275" t="str">
        <f t="shared" si="3"/>
        <v/>
      </c>
      <c r="U220" s="275"/>
      <c r="V220" s="275"/>
      <c r="W220" s="275"/>
      <c r="X220" s="275" t="str">
        <f t="shared" si="4"/>
        <v/>
      </c>
      <c r="Y220" s="275"/>
      <c r="Z220" s="275"/>
      <c r="AA220" s="275"/>
      <c r="AB220" s="276" t="str">
        <f t="shared" si="0"/>
        <v/>
      </c>
      <c r="AC220" s="276"/>
      <c r="AD220" s="276"/>
      <c r="AE220" s="276"/>
      <c r="AJ220" s="169"/>
      <c r="AK220" s="96"/>
      <c r="AL220" s="260"/>
      <c r="AM220" s="259"/>
      <c r="AN220" s="259"/>
      <c r="AO220" s="259"/>
      <c r="AP220" s="259"/>
      <c r="AQ220" s="259"/>
      <c r="AR220" s="259"/>
      <c r="AS220" s="259"/>
      <c r="AT220" s="261"/>
      <c r="AU220" s="261"/>
      <c r="AV220" s="261"/>
      <c r="AW220" s="261"/>
      <c r="AX220" s="261"/>
      <c r="AY220" s="261"/>
      <c r="AZ220" s="261"/>
      <c r="BA220" s="262"/>
      <c r="BB220" s="242" t="str">
        <f t="shared" si="5"/>
        <v/>
      </c>
      <c r="BC220" s="243"/>
      <c r="BD220" s="243"/>
      <c r="BE220" s="243"/>
      <c r="BF220" s="249" t="str">
        <f t="shared" si="6"/>
        <v/>
      </c>
      <c r="BG220" s="249"/>
      <c r="BH220" s="249"/>
      <c r="BI220" s="250"/>
      <c r="BJ220" s="260"/>
      <c r="BK220" s="259"/>
      <c r="BL220" s="249" t="str">
        <f t="shared" si="7"/>
        <v/>
      </c>
      <c r="BM220" s="249"/>
      <c r="BN220" s="249"/>
      <c r="BO220" s="249"/>
      <c r="BP220" s="259"/>
      <c r="BQ220" s="259"/>
      <c r="BR220" s="249" t="str">
        <f t="shared" si="8"/>
        <v/>
      </c>
      <c r="BS220" s="249"/>
      <c r="BT220" s="249"/>
      <c r="BU220" s="249"/>
      <c r="BV220" s="259"/>
      <c r="BW220" s="259"/>
      <c r="BX220" s="249" t="str">
        <f t="shared" si="9"/>
        <v/>
      </c>
      <c r="BY220" s="249"/>
      <c r="BZ220" s="249"/>
      <c r="CA220" s="249"/>
      <c r="CB220" s="259"/>
      <c r="CC220" s="259"/>
      <c r="CD220" s="249" t="str">
        <f t="shared" si="10"/>
        <v/>
      </c>
      <c r="CE220" s="249"/>
      <c r="CF220" s="249"/>
      <c r="CG220" s="250"/>
      <c r="CH220" s="271" t="str">
        <f t="shared" si="11"/>
        <v/>
      </c>
      <c r="CI220" s="272"/>
      <c r="CJ220" s="272"/>
      <c r="CK220" s="272"/>
      <c r="CL220" s="272"/>
      <c r="CM220" s="272" t="str">
        <f t="shared" si="12"/>
        <v/>
      </c>
      <c r="CN220" s="272"/>
      <c r="CO220" s="272"/>
      <c r="CP220" s="272"/>
      <c r="CQ220" s="272"/>
      <c r="CR220" s="272" t="str">
        <f t="shared" si="13"/>
        <v/>
      </c>
      <c r="CS220" s="272"/>
      <c r="CT220" s="272"/>
      <c r="CU220" s="272"/>
      <c r="CV220" s="272"/>
      <c r="CW220" s="272" t="str">
        <f t="shared" si="14"/>
        <v/>
      </c>
      <c r="CX220" s="272"/>
      <c r="CY220" s="272"/>
      <c r="CZ220" s="272"/>
      <c r="DA220" s="272"/>
      <c r="DB220" s="272" t="str">
        <f t="shared" si="15"/>
        <v/>
      </c>
      <c r="DC220" s="272"/>
      <c r="DD220" s="272"/>
      <c r="DE220" s="272"/>
      <c r="DF220" s="272"/>
      <c r="DG220" s="272" t="str">
        <f t="shared" si="16"/>
        <v/>
      </c>
      <c r="DH220" s="272"/>
      <c r="DI220" s="272"/>
      <c r="DJ220" s="272"/>
      <c r="DK220" s="273"/>
      <c r="DL220" s="267" t="str">
        <f t="shared" si="17"/>
        <v/>
      </c>
      <c r="DM220" s="268"/>
      <c r="DN220" s="268"/>
      <c r="DO220" s="263" t="str">
        <f t="shared" si="1"/>
        <v/>
      </c>
      <c r="DP220" s="263" t="str">
        <f t="shared" si="20"/>
        <v/>
      </c>
      <c r="DQ220" s="263"/>
      <c r="DR220" s="263" t="str">
        <f t="shared" si="21"/>
        <v/>
      </c>
      <c r="DS220" s="263"/>
      <c r="DT220" s="263" t="str">
        <f t="shared" si="22"/>
        <v/>
      </c>
      <c r="DU220" s="198"/>
      <c r="DV220" s="198"/>
      <c r="DW220" s="198"/>
      <c r="DX220" s="198"/>
      <c r="DY220" s="198"/>
      <c r="DZ220" s="263" t="str">
        <f t="shared" si="18"/>
        <v/>
      </c>
      <c r="EA220" s="263"/>
      <c r="EB220" s="263"/>
      <c r="EC220" s="263" t="str">
        <f t="shared" si="19"/>
        <v/>
      </c>
      <c r="ED220" s="263"/>
      <c r="EE220" s="265"/>
    </row>
    <row r="221" spans="1:151" ht="12.75" customHeight="1" x14ac:dyDescent="0.2">
      <c r="A221" s="54"/>
      <c r="B221" s="54"/>
      <c r="C221" s="54"/>
      <c r="D221" s="274"/>
      <c r="E221" s="274"/>
      <c r="F221" s="274"/>
      <c r="G221" s="274"/>
      <c r="H221" s="274"/>
      <c r="I221" s="274"/>
      <c r="J221" s="274"/>
      <c r="K221" s="274"/>
      <c r="L221" s="274"/>
      <c r="M221" s="274"/>
      <c r="N221" s="274"/>
      <c r="O221" s="274"/>
      <c r="P221" s="275" t="str">
        <f t="shared" si="2"/>
        <v/>
      </c>
      <c r="Q221" s="275"/>
      <c r="R221" s="275"/>
      <c r="S221" s="275"/>
      <c r="T221" s="275" t="str">
        <f t="shared" si="3"/>
        <v/>
      </c>
      <c r="U221" s="275"/>
      <c r="V221" s="275"/>
      <c r="W221" s="275"/>
      <c r="X221" s="275" t="str">
        <f t="shared" si="4"/>
        <v/>
      </c>
      <c r="Y221" s="275"/>
      <c r="Z221" s="275"/>
      <c r="AA221" s="275"/>
      <c r="AB221" s="276" t="str">
        <f t="shared" si="0"/>
        <v/>
      </c>
      <c r="AC221" s="276"/>
      <c r="AD221" s="276"/>
      <c r="AE221" s="276"/>
      <c r="AJ221" s="169"/>
      <c r="AK221" s="96"/>
      <c r="AL221" s="260"/>
      <c r="AM221" s="259"/>
      <c r="AN221" s="259"/>
      <c r="AO221" s="259"/>
      <c r="AP221" s="259"/>
      <c r="AQ221" s="259"/>
      <c r="AR221" s="259"/>
      <c r="AS221" s="259"/>
      <c r="AT221" s="261"/>
      <c r="AU221" s="261"/>
      <c r="AV221" s="261"/>
      <c r="AW221" s="261"/>
      <c r="AX221" s="261"/>
      <c r="AY221" s="261"/>
      <c r="AZ221" s="261"/>
      <c r="BA221" s="262"/>
      <c r="BB221" s="242" t="str">
        <f t="shared" si="5"/>
        <v/>
      </c>
      <c r="BC221" s="243"/>
      <c r="BD221" s="243"/>
      <c r="BE221" s="243"/>
      <c r="BF221" s="249" t="str">
        <f t="shared" si="6"/>
        <v/>
      </c>
      <c r="BG221" s="249"/>
      <c r="BH221" s="249"/>
      <c r="BI221" s="250"/>
      <c r="BJ221" s="260"/>
      <c r="BK221" s="259"/>
      <c r="BL221" s="249" t="str">
        <f t="shared" si="7"/>
        <v/>
      </c>
      <c r="BM221" s="249"/>
      <c r="BN221" s="249"/>
      <c r="BO221" s="249"/>
      <c r="BP221" s="259"/>
      <c r="BQ221" s="259"/>
      <c r="BR221" s="249" t="str">
        <f t="shared" si="8"/>
        <v/>
      </c>
      <c r="BS221" s="249"/>
      <c r="BT221" s="249"/>
      <c r="BU221" s="249"/>
      <c r="BV221" s="259"/>
      <c r="BW221" s="259"/>
      <c r="BX221" s="249" t="str">
        <f t="shared" si="9"/>
        <v/>
      </c>
      <c r="BY221" s="249"/>
      <c r="BZ221" s="249"/>
      <c r="CA221" s="249"/>
      <c r="CB221" s="259"/>
      <c r="CC221" s="259"/>
      <c r="CD221" s="249" t="str">
        <f t="shared" si="10"/>
        <v/>
      </c>
      <c r="CE221" s="249"/>
      <c r="CF221" s="249"/>
      <c r="CG221" s="250"/>
      <c r="CH221" s="271" t="str">
        <f t="shared" si="11"/>
        <v/>
      </c>
      <c r="CI221" s="272"/>
      <c r="CJ221" s="272"/>
      <c r="CK221" s="272"/>
      <c r="CL221" s="272"/>
      <c r="CM221" s="272" t="str">
        <f t="shared" si="12"/>
        <v/>
      </c>
      <c r="CN221" s="272"/>
      <c r="CO221" s="272"/>
      <c r="CP221" s="272"/>
      <c r="CQ221" s="272"/>
      <c r="CR221" s="272" t="str">
        <f t="shared" si="13"/>
        <v/>
      </c>
      <c r="CS221" s="272"/>
      <c r="CT221" s="272"/>
      <c r="CU221" s="272"/>
      <c r="CV221" s="272"/>
      <c r="CW221" s="272" t="str">
        <f t="shared" si="14"/>
        <v/>
      </c>
      <c r="CX221" s="272"/>
      <c r="CY221" s="272"/>
      <c r="CZ221" s="272"/>
      <c r="DA221" s="272"/>
      <c r="DB221" s="272" t="str">
        <f t="shared" si="15"/>
        <v/>
      </c>
      <c r="DC221" s="272"/>
      <c r="DD221" s="272"/>
      <c r="DE221" s="272"/>
      <c r="DF221" s="272"/>
      <c r="DG221" s="272" t="str">
        <f t="shared" si="16"/>
        <v/>
      </c>
      <c r="DH221" s="272"/>
      <c r="DI221" s="272"/>
      <c r="DJ221" s="272"/>
      <c r="DK221" s="273"/>
      <c r="DL221" s="267" t="str">
        <f t="shared" si="17"/>
        <v/>
      </c>
      <c r="DM221" s="268"/>
      <c r="DN221" s="268"/>
      <c r="DO221" s="263" t="str">
        <f t="shared" si="1"/>
        <v/>
      </c>
      <c r="DP221" s="263" t="str">
        <f t="shared" si="20"/>
        <v/>
      </c>
      <c r="DQ221" s="263"/>
      <c r="DR221" s="263" t="str">
        <f t="shared" si="21"/>
        <v/>
      </c>
      <c r="DS221" s="263"/>
      <c r="DT221" s="263" t="str">
        <f t="shared" si="22"/>
        <v/>
      </c>
      <c r="DU221" s="198"/>
      <c r="DV221" s="198"/>
      <c r="DW221" s="198"/>
      <c r="DX221" s="198"/>
      <c r="DY221" s="198"/>
      <c r="DZ221" s="263" t="str">
        <f t="shared" si="18"/>
        <v/>
      </c>
      <c r="EA221" s="263"/>
      <c r="EB221" s="263"/>
      <c r="EC221" s="263" t="str">
        <f t="shared" si="19"/>
        <v/>
      </c>
      <c r="ED221" s="263"/>
      <c r="EE221" s="265"/>
    </row>
    <row r="222" spans="1:151" ht="12.75" customHeight="1" x14ac:dyDescent="0.2">
      <c r="A222" s="54"/>
      <c r="B222" s="54"/>
      <c r="C222" s="54"/>
      <c r="D222" s="274"/>
      <c r="E222" s="274"/>
      <c r="F222" s="274"/>
      <c r="G222" s="274"/>
      <c r="H222" s="274"/>
      <c r="I222" s="274"/>
      <c r="J222" s="274"/>
      <c r="K222" s="274"/>
      <c r="L222" s="274"/>
      <c r="M222" s="274"/>
      <c r="N222" s="274"/>
      <c r="O222" s="274"/>
      <c r="P222" s="275" t="str">
        <f t="shared" si="2"/>
        <v/>
      </c>
      <c r="Q222" s="275"/>
      <c r="R222" s="275"/>
      <c r="S222" s="275"/>
      <c r="T222" s="275" t="str">
        <f t="shared" si="3"/>
        <v/>
      </c>
      <c r="U222" s="275"/>
      <c r="V222" s="275"/>
      <c r="W222" s="275"/>
      <c r="X222" s="275" t="str">
        <f t="shared" si="4"/>
        <v/>
      </c>
      <c r="Y222" s="275"/>
      <c r="Z222" s="275"/>
      <c r="AA222" s="275"/>
      <c r="AB222" s="276" t="str">
        <f t="shared" si="0"/>
        <v/>
      </c>
      <c r="AC222" s="276"/>
      <c r="AD222" s="276"/>
      <c r="AE222" s="276"/>
      <c r="AJ222" s="169"/>
      <c r="AK222" s="96"/>
      <c r="AL222" s="260"/>
      <c r="AM222" s="259"/>
      <c r="AN222" s="259"/>
      <c r="AO222" s="259"/>
      <c r="AP222" s="259"/>
      <c r="AQ222" s="259"/>
      <c r="AR222" s="259"/>
      <c r="AS222" s="259"/>
      <c r="AT222" s="261"/>
      <c r="AU222" s="261"/>
      <c r="AV222" s="261"/>
      <c r="AW222" s="261"/>
      <c r="AX222" s="261"/>
      <c r="AY222" s="261"/>
      <c r="AZ222" s="261"/>
      <c r="BA222" s="262"/>
      <c r="BB222" s="242" t="str">
        <f t="shared" si="5"/>
        <v/>
      </c>
      <c r="BC222" s="243"/>
      <c r="BD222" s="243"/>
      <c r="BE222" s="243"/>
      <c r="BF222" s="249" t="str">
        <f t="shared" si="6"/>
        <v/>
      </c>
      <c r="BG222" s="249"/>
      <c r="BH222" s="249"/>
      <c r="BI222" s="250"/>
      <c r="BJ222" s="260"/>
      <c r="BK222" s="259"/>
      <c r="BL222" s="249" t="str">
        <f t="shared" si="7"/>
        <v/>
      </c>
      <c r="BM222" s="249"/>
      <c r="BN222" s="249"/>
      <c r="BO222" s="249"/>
      <c r="BP222" s="259"/>
      <c r="BQ222" s="259"/>
      <c r="BR222" s="249" t="str">
        <f t="shared" si="8"/>
        <v/>
      </c>
      <c r="BS222" s="249"/>
      <c r="BT222" s="249"/>
      <c r="BU222" s="249"/>
      <c r="BV222" s="259"/>
      <c r="BW222" s="259"/>
      <c r="BX222" s="249" t="str">
        <f t="shared" si="9"/>
        <v/>
      </c>
      <c r="BY222" s="249"/>
      <c r="BZ222" s="249"/>
      <c r="CA222" s="249"/>
      <c r="CB222" s="259"/>
      <c r="CC222" s="259"/>
      <c r="CD222" s="249" t="str">
        <f t="shared" si="10"/>
        <v/>
      </c>
      <c r="CE222" s="249"/>
      <c r="CF222" s="249"/>
      <c r="CG222" s="250"/>
      <c r="CH222" s="271" t="str">
        <f t="shared" si="11"/>
        <v/>
      </c>
      <c r="CI222" s="272"/>
      <c r="CJ222" s="272"/>
      <c r="CK222" s="272"/>
      <c r="CL222" s="272"/>
      <c r="CM222" s="272" t="str">
        <f t="shared" si="12"/>
        <v/>
      </c>
      <c r="CN222" s="272"/>
      <c r="CO222" s="272"/>
      <c r="CP222" s="272"/>
      <c r="CQ222" s="272"/>
      <c r="CR222" s="272" t="str">
        <f t="shared" si="13"/>
        <v/>
      </c>
      <c r="CS222" s="272"/>
      <c r="CT222" s="272"/>
      <c r="CU222" s="272"/>
      <c r="CV222" s="272"/>
      <c r="CW222" s="272" t="str">
        <f t="shared" si="14"/>
        <v/>
      </c>
      <c r="CX222" s="272"/>
      <c r="CY222" s="272"/>
      <c r="CZ222" s="272"/>
      <c r="DA222" s="272"/>
      <c r="DB222" s="272" t="str">
        <f t="shared" si="15"/>
        <v/>
      </c>
      <c r="DC222" s="272"/>
      <c r="DD222" s="272"/>
      <c r="DE222" s="272"/>
      <c r="DF222" s="272"/>
      <c r="DG222" s="272" t="str">
        <f t="shared" si="16"/>
        <v/>
      </c>
      <c r="DH222" s="272"/>
      <c r="DI222" s="272"/>
      <c r="DJ222" s="272"/>
      <c r="DK222" s="273"/>
      <c r="DL222" s="267" t="str">
        <f t="shared" si="17"/>
        <v/>
      </c>
      <c r="DM222" s="268"/>
      <c r="DN222" s="268"/>
      <c r="DO222" s="263" t="str">
        <f t="shared" si="1"/>
        <v/>
      </c>
      <c r="DP222" s="263" t="str">
        <f t="shared" si="20"/>
        <v/>
      </c>
      <c r="DQ222" s="263"/>
      <c r="DR222" s="263" t="str">
        <f t="shared" si="21"/>
        <v/>
      </c>
      <c r="DS222" s="263"/>
      <c r="DT222" s="263" t="str">
        <f t="shared" si="22"/>
        <v/>
      </c>
      <c r="DU222" s="198"/>
      <c r="DV222" s="198"/>
      <c r="DW222" s="198"/>
      <c r="DX222" s="198"/>
      <c r="DY222" s="198"/>
      <c r="DZ222" s="263" t="str">
        <f t="shared" si="18"/>
        <v/>
      </c>
      <c r="EA222" s="263"/>
      <c r="EB222" s="263"/>
      <c r="EC222" s="263" t="str">
        <f t="shared" si="19"/>
        <v/>
      </c>
      <c r="ED222" s="263"/>
      <c r="EE222" s="265"/>
    </row>
    <row r="223" spans="1:151" ht="12.75" customHeight="1" x14ac:dyDescent="0.2">
      <c r="A223" s="54"/>
      <c r="B223" s="54"/>
      <c r="C223" s="54"/>
      <c r="D223" s="274"/>
      <c r="E223" s="274"/>
      <c r="F223" s="274"/>
      <c r="G223" s="274"/>
      <c r="H223" s="274"/>
      <c r="I223" s="274"/>
      <c r="J223" s="274"/>
      <c r="K223" s="274"/>
      <c r="L223" s="274"/>
      <c r="M223" s="274"/>
      <c r="N223" s="274"/>
      <c r="O223" s="274"/>
      <c r="P223" s="275" t="str">
        <f t="shared" si="2"/>
        <v/>
      </c>
      <c r="Q223" s="275"/>
      <c r="R223" s="275"/>
      <c r="S223" s="275"/>
      <c r="T223" s="275" t="str">
        <f t="shared" si="3"/>
        <v/>
      </c>
      <c r="U223" s="275"/>
      <c r="V223" s="275"/>
      <c r="W223" s="275"/>
      <c r="X223" s="275" t="str">
        <f t="shared" si="4"/>
        <v/>
      </c>
      <c r="Y223" s="275"/>
      <c r="Z223" s="275"/>
      <c r="AA223" s="275"/>
      <c r="AB223" s="276" t="str">
        <f t="shared" si="0"/>
        <v/>
      </c>
      <c r="AC223" s="276"/>
      <c r="AD223" s="276"/>
      <c r="AE223" s="276"/>
      <c r="AJ223" s="169"/>
      <c r="AK223" s="96"/>
      <c r="AL223" s="260"/>
      <c r="AM223" s="259"/>
      <c r="AN223" s="259"/>
      <c r="AO223" s="259"/>
      <c r="AP223" s="259"/>
      <c r="AQ223" s="259"/>
      <c r="AR223" s="259"/>
      <c r="AS223" s="259"/>
      <c r="AT223" s="261"/>
      <c r="AU223" s="261"/>
      <c r="AV223" s="261"/>
      <c r="AW223" s="261"/>
      <c r="AX223" s="261"/>
      <c r="AY223" s="261"/>
      <c r="AZ223" s="261"/>
      <c r="BA223" s="262"/>
      <c r="BB223" s="242" t="str">
        <f t="shared" si="5"/>
        <v/>
      </c>
      <c r="BC223" s="243"/>
      <c r="BD223" s="243"/>
      <c r="BE223" s="243"/>
      <c r="BF223" s="249" t="str">
        <f t="shared" si="6"/>
        <v/>
      </c>
      <c r="BG223" s="249"/>
      <c r="BH223" s="249"/>
      <c r="BI223" s="250"/>
      <c r="BJ223" s="260"/>
      <c r="BK223" s="259"/>
      <c r="BL223" s="249" t="str">
        <f t="shared" si="7"/>
        <v/>
      </c>
      <c r="BM223" s="249"/>
      <c r="BN223" s="249"/>
      <c r="BO223" s="249"/>
      <c r="BP223" s="259"/>
      <c r="BQ223" s="259"/>
      <c r="BR223" s="249" t="str">
        <f t="shared" si="8"/>
        <v/>
      </c>
      <c r="BS223" s="249"/>
      <c r="BT223" s="249"/>
      <c r="BU223" s="249"/>
      <c r="BV223" s="259"/>
      <c r="BW223" s="259"/>
      <c r="BX223" s="249" t="str">
        <f t="shared" si="9"/>
        <v/>
      </c>
      <c r="BY223" s="249"/>
      <c r="BZ223" s="249"/>
      <c r="CA223" s="249"/>
      <c r="CB223" s="259"/>
      <c r="CC223" s="259"/>
      <c r="CD223" s="249" t="str">
        <f t="shared" si="10"/>
        <v/>
      </c>
      <c r="CE223" s="249"/>
      <c r="CF223" s="249"/>
      <c r="CG223" s="250"/>
      <c r="CH223" s="271" t="str">
        <f t="shared" si="11"/>
        <v/>
      </c>
      <c r="CI223" s="272"/>
      <c r="CJ223" s="272"/>
      <c r="CK223" s="272"/>
      <c r="CL223" s="272"/>
      <c r="CM223" s="272" t="str">
        <f t="shared" si="12"/>
        <v/>
      </c>
      <c r="CN223" s="272"/>
      <c r="CO223" s="272"/>
      <c r="CP223" s="272"/>
      <c r="CQ223" s="272"/>
      <c r="CR223" s="272" t="str">
        <f t="shared" si="13"/>
        <v/>
      </c>
      <c r="CS223" s="272"/>
      <c r="CT223" s="272"/>
      <c r="CU223" s="272"/>
      <c r="CV223" s="272"/>
      <c r="CW223" s="272" t="str">
        <f t="shared" si="14"/>
        <v/>
      </c>
      <c r="CX223" s="272"/>
      <c r="CY223" s="272"/>
      <c r="CZ223" s="272"/>
      <c r="DA223" s="272"/>
      <c r="DB223" s="272" t="str">
        <f t="shared" si="15"/>
        <v/>
      </c>
      <c r="DC223" s="272"/>
      <c r="DD223" s="272"/>
      <c r="DE223" s="272"/>
      <c r="DF223" s="272"/>
      <c r="DG223" s="272" t="str">
        <f t="shared" si="16"/>
        <v/>
      </c>
      <c r="DH223" s="272"/>
      <c r="DI223" s="272"/>
      <c r="DJ223" s="272"/>
      <c r="DK223" s="273"/>
      <c r="DL223" s="267" t="str">
        <f t="shared" si="17"/>
        <v/>
      </c>
      <c r="DM223" s="268"/>
      <c r="DN223" s="268"/>
      <c r="DO223" s="263" t="str">
        <f t="shared" si="1"/>
        <v/>
      </c>
      <c r="DP223" s="263" t="str">
        <f t="shared" si="20"/>
        <v/>
      </c>
      <c r="DQ223" s="263"/>
      <c r="DR223" s="263" t="str">
        <f t="shared" si="21"/>
        <v/>
      </c>
      <c r="DS223" s="263"/>
      <c r="DT223" s="263" t="str">
        <f t="shared" si="22"/>
        <v/>
      </c>
      <c r="DU223" s="198"/>
      <c r="DV223" s="198"/>
      <c r="DW223" s="198"/>
      <c r="DX223" s="198"/>
      <c r="DY223" s="198"/>
      <c r="DZ223" s="263" t="str">
        <f t="shared" si="18"/>
        <v/>
      </c>
      <c r="EA223" s="263"/>
      <c r="EB223" s="263"/>
      <c r="EC223" s="263" t="str">
        <f t="shared" si="19"/>
        <v/>
      </c>
      <c r="ED223" s="263"/>
      <c r="EE223" s="265"/>
    </row>
    <row r="224" spans="1:151" ht="12.75" customHeight="1" x14ac:dyDescent="0.2">
      <c r="A224" s="54"/>
      <c r="B224" s="54"/>
      <c r="C224" s="54"/>
      <c r="D224" s="274"/>
      <c r="E224" s="274"/>
      <c r="F224" s="274"/>
      <c r="G224" s="274"/>
      <c r="H224" s="274"/>
      <c r="I224" s="274"/>
      <c r="J224" s="274"/>
      <c r="K224" s="274"/>
      <c r="L224" s="274"/>
      <c r="M224" s="274"/>
      <c r="N224" s="274"/>
      <c r="O224" s="274"/>
      <c r="P224" s="275" t="str">
        <f t="shared" si="2"/>
        <v/>
      </c>
      <c r="Q224" s="275"/>
      <c r="R224" s="275"/>
      <c r="S224" s="275"/>
      <c r="T224" s="275" t="str">
        <f t="shared" si="3"/>
        <v/>
      </c>
      <c r="U224" s="275"/>
      <c r="V224" s="275"/>
      <c r="W224" s="275"/>
      <c r="X224" s="275" t="str">
        <f t="shared" si="4"/>
        <v/>
      </c>
      <c r="Y224" s="275"/>
      <c r="Z224" s="275"/>
      <c r="AA224" s="275"/>
      <c r="AB224" s="276" t="str">
        <f t="shared" si="0"/>
        <v/>
      </c>
      <c r="AC224" s="276"/>
      <c r="AD224" s="276"/>
      <c r="AE224" s="276"/>
      <c r="AJ224" s="169"/>
      <c r="AK224" s="96"/>
      <c r="AL224" s="260"/>
      <c r="AM224" s="259"/>
      <c r="AN224" s="259"/>
      <c r="AO224" s="259"/>
      <c r="AP224" s="259"/>
      <c r="AQ224" s="259"/>
      <c r="AR224" s="259"/>
      <c r="AS224" s="259"/>
      <c r="AT224" s="261"/>
      <c r="AU224" s="261"/>
      <c r="AV224" s="261"/>
      <c r="AW224" s="261"/>
      <c r="AX224" s="261"/>
      <c r="AY224" s="261"/>
      <c r="AZ224" s="261"/>
      <c r="BA224" s="262"/>
      <c r="BB224" s="242" t="str">
        <f t="shared" si="5"/>
        <v/>
      </c>
      <c r="BC224" s="243"/>
      <c r="BD224" s="243"/>
      <c r="BE224" s="243"/>
      <c r="BF224" s="249" t="str">
        <f t="shared" si="6"/>
        <v/>
      </c>
      <c r="BG224" s="249"/>
      <c r="BH224" s="249"/>
      <c r="BI224" s="250"/>
      <c r="BJ224" s="260"/>
      <c r="BK224" s="259"/>
      <c r="BL224" s="249" t="str">
        <f t="shared" si="7"/>
        <v/>
      </c>
      <c r="BM224" s="249"/>
      <c r="BN224" s="249"/>
      <c r="BO224" s="249"/>
      <c r="BP224" s="259"/>
      <c r="BQ224" s="259"/>
      <c r="BR224" s="249" t="str">
        <f t="shared" si="8"/>
        <v/>
      </c>
      <c r="BS224" s="249"/>
      <c r="BT224" s="249"/>
      <c r="BU224" s="249"/>
      <c r="BV224" s="259"/>
      <c r="BW224" s="259"/>
      <c r="BX224" s="249" t="str">
        <f t="shared" si="9"/>
        <v/>
      </c>
      <c r="BY224" s="249"/>
      <c r="BZ224" s="249"/>
      <c r="CA224" s="249"/>
      <c r="CB224" s="259"/>
      <c r="CC224" s="259"/>
      <c r="CD224" s="249" t="str">
        <f t="shared" si="10"/>
        <v/>
      </c>
      <c r="CE224" s="249"/>
      <c r="CF224" s="249"/>
      <c r="CG224" s="250"/>
      <c r="CH224" s="271" t="str">
        <f t="shared" si="11"/>
        <v/>
      </c>
      <c r="CI224" s="272"/>
      <c r="CJ224" s="272"/>
      <c r="CK224" s="272"/>
      <c r="CL224" s="272"/>
      <c r="CM224" s="272" t="str">
        <f t="shared" si="12"/>
        <v/>
      </c>
      <c r="CN224" s="272"/>
      <c r="CO224" s="272"/>
      <c r="CP224" s="272"/>
      <c r="CQ224" s="272"/>
      <c r="CR224" s="272" t="str">
        <f t="shared" si="13"/>
        <v/>
      </c>
      <c r="CS224" s="272"/>
      <c r="CT224" s="272"/>
      <c r="CU224" s="272"/>
      <c r="CV224" s="272"/>
      <c r="CW224" s="272" t="str">
        <f t="shared" si="14"/>
        <v/>
      </c>
      <c r="CX224" s="272"/>
      <c r="CY224" s="272"/>
      <c r="CZ224" s="272"/>
      <c r="DA224" s="272"/>
      <c r="DB224" s="272" t="str">
        <f t="shared" si="15"/>
        <v/>
      </c>
      <c r="DC224" s="272"/>
      <c r="DD224" s="272"/>
      <c r="DE224" s="272"/>
      <c r="DF224" s="272"/>
      <c r="DG224" s="272" t="str">
        <f t="shared" si="16"/>
        <v/>
      </c>
      <c r="DH224" s="272"/>
      <c r="DI224" s="272"/>
      <c r="DJ224" s="272"/>
      <c r="DK224" s="273"/>
      <c r="DL224" s="267" t="str">
        <f t="shared" si="17"/>
        <v/>
      </c>
      <c r="DM224" s="268"/>
      <c r="DN224" s="268"/>
      <c r="DO224" s="263" t="str">
        <f t="shared" si="1"/>
        <v/>
      </c>
      <c r="DP224" s="263" t="str">
        <f t="shared" si="20"/>
        <v/>
      </c>
      <c r="DQ224" s="263"/>
      <c r="DR224" s="263" t="str">
        <f t="shared" si="21"/>
        <v/>
      </c>
      <c r="DS224" s="263"/>
      <c r="DT224" s="263" t="str">
        <f t="shared" si="22"/>
        <v/>
      </c>
      <c r="DU224" s="198"/>
      <c r="DV224" s="198"/>
      <c r="DW224" s="198"/>
      <c r="DX224" s="198"/>
      <c r="DY224" s="198"/>
      <c r="DZ224" s="263" t="str">
        <f t="shared" si="18"/>
        <v/>
      </c>
      <c r="EA224" s="263"/>
      <c r="EB224" s="263"/>
      <c r="EC224" s="263" t="str">
        <f t="shared" si="19"/>
        <v/>
      </c>
      <c r="ED224" s="263"/>
      <c r="EE224" s="265"/>
    </row>
    <row r="225" spans="1:135" ht="12.75" customHeight="1" x14ac:dyDescent="0.2">
      <c r="A225" s="54"/>
      <c r="B225" s="54"/>
      <c r="C225" s="54"/>
      <c r="D225" s="274"/>
      <c r="E225" s="274"/>
      <c r="F225" s="274"/>
      <c r="G225" s="274"/>
      <c r="H225" s="274"/>
      <c r="I225" s="274"/>
      <c r="J225" s="274"/>
      <c r="K225" s="274"/>
      <c r="L225" s="274"/>
      <c r="M225" s="274"/>
      <c r="N225" s="274"/>
      <c r="O225" s="274"/>
      <c r="P225" s="275" t="str">
        <f t="shared" si="2"/>
        <v/>
      </c>
      <c r="Q225" s="275"/>
      <c r="R225" s="275"/>
      <c r="S225" s="275"/>
      <c r="T225" s="275" t="str">
        <f t="shared" si="3"/>
        <v/>
      </c>
      <c r="U225" s="275"/>
      <c r="V225" s="275"/>
      <c r="W225" s="275"/>
      <c r="X225" s="275" t="str">
        <f t="shared" si="4"/>
        <v/>
      </c>
      <c r="Y225" s="275"/>
      <c r="Z225" s="275"/>
      <c r="AA225" s="275"/>
      <c r="AB225" s="276" t="str">
        <f t="shared" si="0"/>
        <v/>
      </c>
      <c r="AC225" s="276"/>
      <c r="AD225" s="276"/>
      <c r="AE225" s="276"/>
      <c r="AJ225" s="169"/>
      <c r="AK225" s="96"/>
      <c r="AL225" s="260"/>
      <c r="AM225" s="259"/>
      <c r="AN225" s="259"/>
      <c r="AO225" s="259"/>
      <c r="AP225" s="259"/>
      <c r="AQ225" s="259"/>
      <c r="AR225" s="259"/>
      <c r="AS225" s="259"/>
      <c r="AT225" s="261"/>
      <c r="AU225" s="261"/>
      <c r="AV225" s="261"/>
      <c r="AW225" s="261"/>
      <c r="AX225" s="261"/>
      <c r="AY225" s="261"/>
      <c r="AZ225" s="261"/>
      <c r="BA225" s="262"/>
      <c r="BB225" s="242" t="str">
        <f t="shared" si="5"/>
        <v/>
      </c>
      <c r="BC225" s="243"/>
      <c r="BD225" s="243"/>
      <c r="BE225" s="243"/>
      <c r="BF225" s="249" t="str">
        <f t="shared" si="6"/>
        <v/>
      </c>
      <c r="BG225" s="249"/>
      <c r="BH225" s="249"/>
      <c r="BI225" s="250"/>
      <c r="BJ225" s="260"/>
      <c r="BK225" s="259"/>
      <c r="BL225" s="249" t="str">
        <f t="shared" si="7"/>
        <v/>
      </c>
      <c r="BM225" s="249"/>
      <c r="BN225" s="249"/>
      <c r="BO225" s="249"/>
      <c r="BP225" s="259"/>
      <c r="BQ225" s="259"/>
      <c r="BR225" s="249" t="str">
        <f t="shared" si="8"/>
        <v/>
      </c>
      <c r="BS225" s="249"/>
      <c r="BT225" s="249"/>
      <c r="BU225" s="249"/>
      <c r="BV225" s="259"/>
      <c r="BW225" s="259"/>
      <c r="BX225" s="249" t="str">
        <f t="shared" si="9"/>
        <v/>
      </c>
      <c r="BY225" s="249"/>
      <c r="BZ225" s="249"/>
      <c r="CA225" s="249"/>
      <c r="CB225" s="259"/>
      <c r="CC225" s="259"/>
      <c r="CD225" s="249" t="str">
        <f t="shared" si="10"/>
        <v/>
      </c>
      <c r="CE225" s="249"/>
      <c r="CF225" s="249"/>
      <c r="CG225" s="250"/>
      <c r="CH225" s="271" t="str">
        <f t="shared" si="11"/>
        <v/>
      </c>
      <c r="CI225" s="272"/>
      <c r="CJ225" s="272"/>
      <c r="CK225" s="272"/>
      <c r="CL225" s="272"/>
      <c r="CM225" s="272" t="str">
        <f t="shared" si="12"/>
        <v/>
      </c>
      <c r="CN225" s="272"/>
      <c r="CO225" s="272"/>
      <c r="CP225" s="272"/>
      <c r="CQ225" s="272"/>
      <c r="CR225" s="272" t="str">
        <f t="shared" si="13"/>
        <v/>
      </c>
      <c r="CS225" s="272"/>
      <c r="CT225" s="272"/>
      <c r="CU225" s="272"/>
      <c r="CV225" s="272"/>
      <c r="CW225" s="272" t="str">
        <f t="shared" si="14"/>
        <v/>
      </c>
      <c r="CX225" s="272"/>
      <c r="CY225" s="272"/>
      <c r="CZ225" s="272"/>
      <c r="DA225" s="272"/>
      <c r="DB225" s="272" t="str">
        <f t="shared" si="15"/>
        <v/>
      </c>
      <c r="DC225" s="272"/>
      <c r="DD225" s="272"/>
      <c r="DE225" s="272"/>
      <c r="DF225" s="272"/>
      <c r="DG225" s="272" t="str">
        <f t="shared" si="16"/>
        <v/>
      </c>
      <c r="DH225" s="272"/>
      <c r="DI225" s="272"/>
      <c r="DJ225" s="272"/>
      <c r="DK225" s="273"/>
      <c r="DL225" s="267" t="str">
        <f t="shared" si="17"/>
        <v/>
      </c>
      <c r="DM225" s="268"/>
      <c r="DN225" s="268"/>
      <c r="DO225" s="263" t="str">
        <f t="shared" si="1"/>
        <v/>
      </c>
      <c r="DP225" s="263" t="str">
        <f t="shared" si="20"/>
        <v/>
      </c>
      <c r="DQ225" s="263"/>
      <c r="DR225" s="263" t="str">
        <f t="shared" si="21"/>
        <v/>
      </c>
      <c r="DS225" s="263"/>
      <c r="DT225" s="263" t="str">
        <f t="shared" si="22"/>
        <v/>
      </c>
      <c r="DU225" s="198"/>
      <c r="DV225" s="198"/>
      <c r="DW225" s="198"/>
      <c r="DX225" s="198"/>
      <c r="DY225" s="198"/>
      <c r="DZ225" s="263" t="str">
        <f t="shared" si="18"/>
        <v/>
      </c>
      <c r="EA225" s="263"/>
      <c r="EB225" s="263"/>
      <c r="EC225" s="263" t="str">
        <f t="shared" si="19"/>
        <v/>
      </c>
      <c r="ED225" s="263"/>
      <c r="EE225" s="265"/>
    </row>
    <row r="226" spans="1:135" ht="12.75" customHeight="1" x14ac:dyDescent="0.2">
      <c r="A226" s="54"/>
      <c r="B226" s="54"/>
      <c r="C226" s="54"/>
      <c r="D226" s="274"/>
      <c r="E226" s="274"/>
      <c r="F226" s="274"/>
      <c r="G226" s="274"/>
      <c r="H226" s="274"/>
      <c r="I226" s="274"/>
      <c r="J226" s="274"/>
      <c r="K226" s="274"/>
      <c r="L226" s="274"/>
      <c r="M226" s="274"/>
      <c r="N226" s="274"/>
      <c r="O226" s="274"/>
      <c r="P226" s="275" t="str">
        <f t="shared" si="2"/>
        <v/>
      </c>
      <c r="Q226" s="275"/>
      <c r="R226" s="275"/>
      <c r="S226" s="275"/>
      <c r="T226" s="275" t="str">
        <f t="shared" si="3"/>
        <v/>
      </c>
      <c r="U226" s="275"/>
      <c r="V226" s="275"/>
      <c r="W226" s="275"/>
      <c r="X226" s="275" t="str">
        <f t="shared" si="4"/>
        <v/>
      </c>
      <c r="Y226" s="275"/>
      <c r="Z226" s="275"/>
      <c r="AA226" s="275"/>
      <c r="AB226" s="276" t="str">
        <f t="shared" si="0"/>
        <v/>
      </c>
      <c r="AC226" s="276"/>
      <c r="AD226" s="276"/>
      <c r="AE226" s="276"/>
      <c r="AJ226" s="169"/>
      <c r="AK226" s="96"/>
      <c r="AL226" s="260"/>
      <c r="AM226" s="259"/>
      <c r="AN226" s="259"/>
      <c r="AO226" s="259"/>
      <c r="AP226" s="259"/>
      <c r="AQ226" s="259"/>
      <c r="AR226" s="259"/>
      <c r="AS226" s="259"/>
      <c r="AT226" s="261"/>
      <c r="AU226" s="261"/>
      <c r="AV226" s="261"/>
      <c r="AW226" s="261"/>
      <c r="AX226" s="261"/>
      <c r="AY226" s="261"/>
      <c r="AZ226" s="261"/>
      <c r="BA226" s="262"/>
      <c r="BB226" s="242" t="str">
        <f t="shared" si="5"/>
        <v/>
      </c>
      <c r="BC226" s="243"/>
      <c r="BD226" s="243"/>
      <c r="BE226" s="243"/>
      <c r="BF226" s="249" t="str">
        <f t="shared" si="6"/>
        <v/>
      </c>
      <c r="BG226" s="249"/>
      <c r="BH226" s="249"/>
      <c r="BI226" s="250"/>
      <c r="BJ226" s="260"/>
      <c r="BK226" s="259"/>
      <c r="BL226" s="249" t="str">
        <f t="shared" si="7"/>
        <v/>
      </c>
      <c r="BM226" s="249"/>
      <c r="BN226" s="249"/>
      <c r="BO226" s="249"/>
      <c r="BP226" s="259"/>
      <c r="BQ226" s="259"/>
      <c r="BR226" s="249" t="str">
        <f t="shared" si="8"/>
        <v/>
      </c>
      <c r="BS226" s="249"/>
      <c r="BT226" s="249"/>
      <c r="BU226" s="249"/>
      <c r="BV226" s="259"/>
      <c r="BW226" s="259"/>
      <c r="BX226" s="249" t="str">
        <f t="shared" si="9"/>
        <v/>
      </c>
      <c r="BY226" s="249"/>
      <c r="BZ226" s="249"/>
      <c r="CA226" s="249"/>
      <c r="CB226" s="259"/>
      <c r="CC226" s="259"/>
      <c r="CD226" s="249" t="str">
        <f t="shared" si="10"/>
        <v/>
      </c>
      <c r="CE226" s="249"/>
      <c r="CF226" s="249"/>
      <c r="CG226" s="250"/>
      <c r="CH226" s="271" t="str">
        <f t="shared" si="11"/>
        <v/>
      </c>
      <c r="CI226" s="272"/>
      <c r="CJ226" s="272"/>
      <c r="CK226" s="272"/>
      <c r="CL226" s="272"/>
      <c r="CM226" s="272" t="str">
        <f t="shared" si="12"/>
        <v/>
      </c>
      <c r="CN226" s="272"/>
      <c r="CO226" s="272"/>
      <c r="CP226" s="272"/>
      <c r="CQ226" s="272"/>
      <c r="CR226" s="272" t="str">
        <f t="shared" si="13"/>
        <v/>
      </c>
      <c r="CS226" s="272"/>
      <c r="CT226" s="272"/>
      <c r="CU226" s="272"/>
      <c r="CV226" s="272"/>
      <c r="CW226" s="272" t="str">
        <f t="shared" si="14"/>
        <v/>
      </c>
      <c r="CX226" s="272"/>
      <c r="CY226" s="272"/>
      <c r="CZ226" s="272"/>
      <c r="DA226" s="272"/>
      <c r="DB226" s="272" t="str">
        <f t="shared" si="15"/>
        <v/>
      </c>
      <c r="DC226" s="272"/>
      <c r="DD226" s="272"/>
      <c r="DE226" s="272"/>
      <c r="DF226" s="272"/>
      <c r="DG226" s="272" t="str">
        <f t="shared" si="16"/>
        <v/>
      </c>
      <c r="DH226" s="272"/>
      <c r="DI226" s="272"/>
      <c r="DJ226" s="272"/>
      <c r="DK226" s="273"/>
      <c r="DL226" s="267" t="str">
        <f t="shared" si="17"/>
        <v/>
      </c>
      <c r="DM226" s="268"/>
      <c r="DN226" s="268"/>
      <c r="DO226" s="263" t="str">
        <f t="shared" si="1"/>
        <v/>
      </c>
      <c r="DP226" s="263" t="str">
        <f t="shared" si="20"/>
        <v/>
      </c>
      <c r="DQ226" s="263"/>
      <c r="DR226" s="263" t="str">
        <f t="shared" si="21"/>
        <v/>
      </c>
      <c r="DS226" s="263"/>
      <c r="DT226" s="263" t="str">
        <f t="shared" si="22"/>
        <v/>
      </c>
      <c r="DU226" s="198"/>
      <c r="DV226" s="198"/>
      <c r="DW226" s="198"/>
      <c r="DX226" s="198"/>
      <c r="DY226" s="198"/>
      <c r="DZ226" s="263" t="str">
        <f t="shared" si="18"/>
        <v/>
      </c>
      <c r="EA226" s="263"/>
      <c r="EB226" s="263"/>
      <c r="EC226" s="263" t="str">
        <f t="shared" si="19"/>
        <v/>
      </c>
      <c r="ED226" s="263"/>
      <c r="EE226" s="265"/>
    </row>
    <row r="227" spans="1:135" ht="12.75" customHeight="1" x14ac:dyDescent="0.2">
      <c r="A227" s="54"/>
      <c r="B227" s="54"/>
      <c r="C227" s="54"/>
      <c r="D227" s="274"/>
      <c r="E227" s="274"/>
      <c r="F227" s="274"/>
      <c r="G227" s="274"/>
      <c r="H227" s="274"/>
      <c r="I227" s="274"/>
      <c r="J227" s="274"/>
      <c r="K227" s="274"/>
      <c r="L227" s="274"/>
      <c r="M227" s="274"/>
      <c r="N227" s="274"/>
      <c r="O227" s="274"/>
      <c r="P227" s="275" t="str">
        <f t="shared" si="2"/>
        <v/>
      </c>
      <c r="Q227" s="275"/>
      <c r="R227" s="275"/>
      <c r="S227" s="275"/>
      <c r="T227" s="275" t="str">
        <f t="shared" si="3"/>
        <v/>
      </c>
      <c r="U227" s="275"/>
      <c r="V227" s="275"/>
      <c r="W227" s="275"/>
      <c r="X227" s="275" t="str">
        <f t="shared" si="4"/>
        <v/>
      </c>
      <c r="Y227" s="275"/>
      <c r="Z227" s="275"/>
      <c r="AA227" s="275"/>
      <c r="AB227" s="276" t="str">
        <f t="shared" si="0"/>
        <v/>
      </c>
      <c r="AC227" s="276"/>
      <c r="AD227" s="276"/>
      <c r="AE227" s="276"/>
      <c r="AJ227" s="169"/>
      <c r="AK227" s="96"/>
      <c r="AL227" s="260"/>
      <c r="AM227" s="259"/>
      <c r="AN227" s="259"/>
      <c r="AO227" s="259"/>
      <c r="AP227" s="259"/>
      <c r="AQ227" s="259"/>
      <c r="AR227" s="259"/>
      <c r="AS227" s="259"/>
      <c r="AT227" s="261"/>
      <c r="AU227" s="261"/>
      <c r="AV227" s="261"/>
      <c r="AW227" s="261"/>
      <c r="AX227" s="261"/>
      <c r="AY227" s="261"/>
      <c r="AZ227" s="261"/>
      <c r="BA227" s="262"/>
      <c r="BB227" s="242" t="str">
        <f t="shared" si="5"/>
        <v/>
      </c>
      <c r="BC227" s="243"/>
      <c r="BD227" s="243"/>
      <c r="BE227" s="243"/>
      <c r="BF227" s="249" t="str">
        <f t="shared" si="6"/>
        <v/>
      </c>
      <c r="BG227" s="249"/>
      <c r="BH227" s="249"/>
      <c r="BI227" s="250"/>
      <c r="BJ227" s="260"/>
      <c r="BK227" s="259"/>
      <c r="BL227" s="249" t="str">
        <f t="shared" si="7"/>
        <v/>
      </c>
      <c r="BM227" s="249"/>
      <c r="BN227" s="249"/>
      <c r="BO227" s="249"/>
      <c r="BP227" s="259"/>
      <c r="BQ227" s="259"/>
      <c r="BR227" s="249" t="str">
        <f t="shared" si="8"/>
        <v/>
      </c>
      <c r="BS227" s="249"/>
      <c r="BT227" s="249"/>
      <c r="BU227" s="249"/>
      <c r="BV227" s="259"/>
      <c r="BW227" s="259"/>
      <c r="BX227" s="249" t="str">
        <f t="shared" si="9"/>
        <v/>
      </c>
      <c r="BY227" s="249"/>
      <c r="BZ227" s="249"/>
      <c r="CA227" s="249"/>
      <c r="CB227" s="259"/>
      <c r="CC227" s="259"/>
      <c r="CD227" s="249" t="str">
        <f t="shared" si="10"/>
        <v/>
      </c>
      <c r="CE227" s="249"/>
      <c r="CF227" s="249"/>
      <c r="CG227" s="250"/>
      <c r="CH227" s="271" t="str">
        <f t="shared" si="11"/>
        <v/>
      </c>
      <c r="CI227" s="272"/>
      <c r="CJ227" s="272"/>
      <c r="CK227" s="272"/>
      <c r="CL227" s="272"/>
      <c r="CM227" s="272" t="str">
        <f t="shared" si="12"/>
        <v/>
      </c>
      <c r="CN227" s="272"/>
      <c r="CO227" s="272"/>
      <c r="CP227" s="272"/>
      <c r="CQ227" s="272"/>
      <c r="CR227" s="272" t="str">
        <f t="shared" si="13"/>
        <v/>
      </c>
      <c r="CS227" s="272"/>
      <c r="CT227" s="272"/>
      <c r="CU227" s="272"/>
      <c r="CV227" s="272"/>
      <c r="CW227" s="272" t="str">
        <f t="shared" si="14"/>
        <v/>
      </c>
      <c r="CX227" s="272"/>
      <c r="CY227" s="272"/>
      <c r="CZ227" s="272"/>
      <c r="DA227" s="272"/>
      <c r="DB227" s="272" t="str">
        <f t="shared" si="15"/>
        <v/>
      </c>
      <c r="DC227" s="272"/>
      <c r="DD227" s="272"/>
      <c r="DE227" s="272"/>
      <c r="DF227" s="272"/>
      <c r="DG227" s="272" t="str">
        <f t="shared" si="16"/>
        <v/>
      </c>
      <c r="DH227" s="272"/>
      <c r="DI227" s="272"/>
      <c r="DJ227" s="272"/>
      <c r="DK227" s="273"/>
      <c r="DL227" s="267" t="str">
        <f t="shared" si="17"/>
        <v/>
      </c>
      <c r="DM227" s="268"/>
      <c r="DN227" s="268"/>
      <c r="DO227" s="263" t="str">
        <f t="shared" si="1"/>
        <v/>
      </c>
      <c r="DP227" s="263" t="str">
        <f t="shared" si="20"/>
        <v/>
      </c>
      <c r="DQ227" s="263"/>
      <c r="DR227" s="263" t="str">
        <f t="shared" si="21"/>
        <v/>
      </c>
      <c r="DS227" s="263"/>
      <c r="DT227" s="263" t="str">
        <f t="shared" si="22"/>
        <v/>
      </c>
      <c r="DU227" s="198"/>
      <c r="DV227" s="198"/>
      <c r="DW227" s="198"/>
      <c r="DX227" s="198"/>
      <c r="DY227" s="198"/>
      <c r="DZ227" s="263" t="str">
        <f t="shared" si="18"/>
        <v/>
      </c>
      <c r="EA227" s="263"/>
      <c r="EB227" s="263"/>
      <c r="EC227" s="263" t="str">
        <f t="shared" si="19"/>
        <v/>
      </c>
      <c r="ED227" s="263"/>
      <c r="EE227" s="265"/>
    </row>
    <row r="228" spans="1:135" ht="12.75" customHeight="1" x14ac:dyDescent="0.2">
      <c r="A228" s="54"/>
      <c r="B228" s="54"/>
      <c r="C228" s="54"/>
      <c r="D228" s="274"/>
      <c r="E228" s="274"/>
      <c r="F228" s="274"/>
      <c r="G228" s="274"/>
      <c r="H228" s="274"/>
      <c r="I228" s="274"/>
      <c r="J228" s="274"/>
      <c r="K228" s="274"/>
      <c r="L228" s="274"/>
      <c r="M228" s="274"/>
      <c r="N228" s="274"/>
      <c r="O228" s="274"/>
      <c r="P228" s="275" t="str">
        <f t="shared" si="2"/>
        <v/>
      </c>
      <c r="Q228" s="275"/>
      <c r="R228" s="275"/>
      <c r="S228" s="275"/>
      <c r="T228" s="275" t="str">
        <f t="shared" si="3"/>
        <v/>
      </c>
      <c r="U228" s="275"/>
      <c r="V228" s="275"/>
      <c r="W228" s="275"/>
      <c r="X228" s="275" t="str">
        <f t="shared" si="4"/>
        <v/>
      </c>
      <c r="Y228" s="275"/>
      <c r="Z228" s="275"/>
      <c r="AA228" s="275"/>
      <c r="AB228" s="276" t="str">
        <f t="shared" si="0"/>
        <v/>
      </c>
      <c r="AC228" s="276"/>
      <c r="AD228" s="276"/>
      <c r="AE228" s="276"/>
      <c r="AJ228" s="169"/>
      <c r="AK228" s="96"/>
      <c r="AL228" s="260"/>
      <c r="AM228" s="259"/>
      <c r="AN228" s="259"/>
      <c r="AO228" s="259"/>
      <c r="AP228" s="259"/>
      <c r="AQ228" s="259"/>
      <c r="AR228" s="259"/>
      <c r="AS228" s="259"/>
      <c r="AT228" s="261"/>
      <c r="AU228" s="261"/>
      <c r="AV228" s="261"/>
      <c r="AW228" s="261"/>
      <c r="AX228" s="261"/>
      <c r="AY228" s="261"/>
      <c r="AZ228" s="261"/>
      <c r="BA228" s="262"/>
      <c r="BB228" s="242" t="str">
        <f t="shared" si="5"/>
        <v/>
      </c>
      <c r="BC228" s="243"/>
      <c r="BD228" s="243"/>
      <c r="BE228" s="243"/>
      <c r="BF228" s="249" t="str">
        <f t="shared" si="6"/>
        <v/>
      </c>
      <c r="BG228" s="249"/>
      <c r="BH228" s="249"/>
      <c r="BI228" s="250"/>
      <c r="BJ228" s="260"/>
      <c r="BK228" s="259"/>
      <c r="BL228" s="249" t="str">
        <f t="shared" si="7"/>
        <v/>
      </c>
      <c r="BM228" s="249"/>
      <c r="BN228" s="249"/>
      <c r="BO228" s="249"/>
      <c r="BP228" s="259"/>
      <c r="BQ228" s="259"/>
      <c r="BR228" s="249" t="str">
        <f t="shared" si="8"/>
        <v/>
      </c>
      <c r="BS228" s="249"/>
      <c r="BT228" s="249"/>
      <c r="BU228" s="249"/>
      <c r="BV228" s="259"/>
      <c r="BW228" s="259"/>
      <c r="BX228" s="249" t="str">
        <f t="shared" si="9"/>
        <v/>
      </c>
      <c r="BY228" s="249"/>
      <c r="BZ228" s="249"/>
      <c r="CA228" s="249"/>
      <c r="CB228" s="259"/>
      <c r="CC228" s="259"/>
      <c r="CD228" s="249" t="str">
        <f t="shared" si="10"/>
        <v/>
      </c>
      <c r="CE228" s="249"/>
      <c r="CF228" s="249"/>
      <c r="CG228" s="250"/>
      <c r="CH228" s="271" t="str">
        <f t="shared" si="11"/>
        <v/>
      </c>
      <c r="CI228" s="272"/>
      <c r="CJ228" s="272"/>
      <c r="CK228" s="272"/>
      <c r="CL228" s="272"/>
      <c r="CM228" s="272" t="str">
        <f t="shared" si="12"/>
        <v/>
      </c>
      <c r="CN228" s="272"/>
      <c r="CO228" s="272"/>
      <c r="CP228" s="272"/>
      <c r="CQ228" s="272"/>
      <c r="CR228" s="272" t="str">
        <f t="shared" si="13"/>
        <v/>
      </c>
      <c r="CS228" s="272"/>
      <c r="CT228" s="272"/>
      <c r="CU228" s="272"/>
      <c r="CV228" s="272"/>
      <c r="CW228" s="272" t="str">
        <f t="shared" si="14"/>
        <v/>
      </c>
      <c r="CX228" s="272"/>
      <c r="CY228" s="272"/>
      <c r="CZ228" s="272"/>
      <c r="DA228" s="272"/>
      <c r="DB228" s="272" t="str">
        <f t="shared" si="15"/>
        <v/>
      </c>
      <c r="DC228" s="272"/>
      <c r="DD228" s="272"/>
      <c r="DE228" s="272"/>
      <c r="DF228" s="272"/>
      <c r="DG228" s="272" t="str">
        <f t="shared" si="16"/>
        <v/>
      </c>
      <c r="DH228" s="272"/>
      <c r="DI228" s="272"/>
      <c r="DJ228" s="272"/>
      <c r="DK228" s="273"/>
      <c r="DL228" s="267" t="str">
        <f t="shared" si="17"/>
        <v/>
      </c>
      <c r="DM228" s="268"/>
      <c r="DN228" s="268"/>
      <c r="DO228" s="263" t="str">
        <f t="shared" si="1"/>
        <v/>
      </c>
      <c r="DP228" s="263" t="str">
        <f t="shared" si="20"/>
        <v/>
      </c>
      <c r="DQ228" s="263"/>
      <c r="DR228" s="263" t="str">
        <f t="shared" si="21"/>
        <v/>
      </c>
      <c r="DS228" s="263"/>
      <c r="DT228" s="263" t="str">
        <f t="shared" si="22"/>
        <v/>
      </c>
      <c r="DU228" s="198"/>
      <c r="DV228" s="198"/>
      <c r="DW228" s="198"/>
      <c r="DX228" s="198"/>
      <c r="DY228" s="198"/>
      <c r="DZ228" s="263" t="str">
        <f t="shared" si="18"/>
        <v/>
      </c>
      <c r="EA228" s="263"/>
      <c r="EB228" s="263"/>
      <c r="EC228" s="263" t="str">
        <f t="shared" si="19"/>
        <v/>
      </c>
      <c r="ED228" s="263"/>
      <c r="EE228" s="265"/>
    </row>
    <row r="229" spans="1:135" ht="12.75" customHeight="1" x14ac:dyDescent="0.2">
      <c r="A229" s="54"/>
      <c r="B229" s="54"/>
      <c r="C229" s="54"/>
      <c r="D229" s="274"/>
      <c r="E229" s="274"/>
      <c r="F229" s="274"/>
      <c r="G229" s="274"/>
      <c r="H229" s="274"/>
      <c r="I229" s="274"/>
      <c r="J229" s="274"/>
      <c r="K229" s="274"/>
      <c r="L229" s="274"/>
      <c r="M229" s="274"/>
      <c r="N229" s="274"/>
      <c r="O229" s="274"/>
      <c r="P229" s="275" t="str">
        <f t="shared" si="2"/>
        <v/>
      </c>
      <c r="Q229" s="275"/>
      <c r="R229" s="275"/>
      <c r="S229" s="275"/>
      <c r="T229" s="275" t="str">
        <f t="shared" si="3"/>
        <v/>
      </c>
      <c r="U229" s="275"/>
      <c r="V229" s="275"/>
      <c r="W229" s="275"/>
      <c r="X229" s="275" t="str">
        <f t="shared" si="4"/>
        <v/>
      </c>
      <c r="Y229" s="275"/>
      <c r="Z229" s="275"/>
      <c r="AA229" s="275"/>
      <c r="AB229" s="276" t="str">
        <f t="shared" si="0"/>
        <v/>
      </c>
      <c r="AC229" s="276"/>
      <c r="AD229" s="276"/>
      <c r="AE229" s="276"/>
      <c r="AJ229" s="169"/>
      <c r="AK229" s="96"/>
      <c r="AL229" s="260"/>
      <c r="AM229" s="259"/>
      <c r="AN229" s="259"/>
      <c r="AO229" s="259"/>
      <c r="AP229" s="259"/>
      <c r="AQ229" s="259"/>
      <c r="AR229" s="259"/>
      <c r="AS229" s="259"/>
      <c r="AT229" s="261"/>
      <c r="AU229" s="261"/>
      <c r="AV229" s="261"/>
      <c r="AW229" s="261"/>
      <c r="AX229" s="261"/>
      <c r="AY229" s="261"/>
      <c r="AZ229" s="261"/>
      <c r="BA229" s="262"/>
      <c r="BB229" s="242" t="str">
        <f t="shared" si="5"/>
        <v/>
      </c>
      <c r="BC229" s="243"/>
      <c r="BD229" s="243"/>
      <c r="BE229" s="243"/>
      <c r="BF229" s="249" t="str">
        <f t="shared" si="6"/>
        <v/>
      </c>
      <c r="BG229" s="249"/>
      <c r="BH229" s="249"/>
      <c r="BI229" s="250"/>
      <c r="BJ229" s="260"/>
      <c r="BK229" s="259"/>
      <c r="BL229" s="249" t="str">
        <f t="shared" si="7"/>
        <v/>
      </c>
      <c r="BM229" s="249"/>
      <c r="BN229" s="249"/>
      <c r="BO229" s="249"/>
      <c r="BP229" s="259"/>
      <c r="BQ229" s="259"/>
      <c r="BR229" s="249" t="str">
        <f t="shared" si="8"/>
        <v/>
      </c>
      <c r="BS229" s="249"/>
      <c r="BT229" s="249"/>
      <c r="BU229" s="249"/>
      <c r="BV229" s="259"/>
      <c r="BW229" s="259"/>
      <c r="BX229" s="249" t="str">
        <f t="shared" si="9"/>
        <v/>
      </c>
      <c r="BY229" s="249"/>
      <c r="BZ229" s="249"/>
      <c r="CA229" s="249"/>
      <c r="CB229" s="259"/>
      <c r="CC229" s="259"/>
      <c r="CD229" s="249" t="str">
        <f t="shared" si="10"/>
        <v/>
      </c>
      <c r="CE229" s="249"/>
      <c r="CF229" s="249"/>
      <c r="CG229" s="250"/>
      <c r="CH229" s="271" t="str">
        <f t="shared" si="11"/>
        <v/>
      </c>
      <c r="CI229" s="272"/>
      <c r="CJ229" s="272"/>
      <c r="CK229" s="272"/>
      <c r="CL229" s="272"/>
      <c r="CM229" s="272" t="str">
        <f t="shared" si="12"/>
        <v/>
      </c>
      <c r="CN229" s="272"/>
      <c r="CO229" s="272"/>
      <c r="CP229" s="272"/>
      <c r="CQ229" s="272"/>
      <c r="CR229" s="272" t="str">
        <f t="shared" si="13"/>
        <v/>
      </c>
      <c r="CS229" s="272"/>
      <c r="CT229" s="272"/>
      <c r="CU229" s="272"/>
      <c r="CV229" s="272"/>
      <c r="CW229" s="272" t="str">
        <f t="shared" si="14"/>
        <v/>
      </c>
      <c r="CX229" s="272"/>
      <c r="CY229" s="272"/>
      <c r="CZ229" s="272"/>
      <c r="DA229" s="272"/>
      <c r="DB229" s="272" t="str">
        <f t="shared" si="15"/>
        <v/>
      </c>
      <c r="DC229" s="272"/>
      <c r="DD229" s="272"/>
      <c r="DE229" s="272"/>
      <c r="DF229" s="272"/>
      <c r="DG229" s="272" t="str">
        <f t="shared" si="16"/>
        <v/>
      </c>
      <c r="DH229" s="272"/>
      <c r="DI229" s="272"/>
      <c r="DJ229" s="272"/>
      <c r="DK229" s="273"/>
      <c r="DL229" s="267" t="str">
        <f t="shared" si="17"/>
        <v/>
      </c>
      <c r="DM229" s="268"/>
      <c r="DN229" s="268"/>
      <c r="DO229" s="263" t="str">
        <f t="shared" si="1"/>
        <v/>
      </c>
      <c r="DP229" s="263" t="str">
        <f t="shared" si="20"/>
        <v/>
      </c>
      <c r="DQ229" s="263"/>
      <c r="DR229" s="263" t="str">
        <f t="shared" si="21"/>
        <v/>
      </c>
      <c r="DS229" s="263"/>
      <c r="DT229" s="263" t="str">
        <f t="shared" si="22"/>
        <v/>
      </c>
      <c r="DU229" s="198"/>
      <c r="DV229" s="198"/>
      <c r="DW229" s="198"/>
      <c r="DX229" s="198"/>
      <c r="DY229" s="198"/>
      <c r="DZ229" s="263" t="str">
        <f t="shared" si="18"/>
        <v/>
      </c>
      <c r="EA229" s="263"/>
      <c r="EB229" s="263"/>
      <c r="EC229" s="263" t="str">
        <f t="shared" si="19"/>
        <v/>
      </c>
      <c r="ED229" s="263"/>
      <c r="EE229" s="265"/>
    </row>
    <row r="230" spans="1:135" ht="12.75" customHeight="1" x14ac:dyDescent="0.2">
      <c r="A230" s="54"/>
      <c r="B230" s="54"/>
      <c r="C230" s="54"/>
      <c r="D230" s="274"/>
      <c r="E230" s="274"/>
      <c r="F230" s="274"/>
      <c r="G230" s="274"/>
      <c r="H230" s="274"/>
      <c r="I230" s="274"/>
      <c r="J230" s="274"/>
      <c r="K230" s="274"/>
      <c r="L230" s="274"/>
      <c r="M230" s="274"/>
      <c r="N230" s="274"/>
      <c r="O230" s="274"/>
      <c r="P230" s="275" t="str">
        <f t="shared" si="2"/>
        <v/>
      </c>
      <c r="Q230" s="275"/>
      <c r="R230" s="275"/>
      <c r="S230" s="275"/>
      <c r="T230" s="275" t="str">
        <f t="shared" si="3"/>
        <v/>
      </c>
      <c r="U230" s="275"/>
      <c r="V230" s="275"/>
      <c r="W230" s="275"/>
      <c r="X230" s="275" t="str">
        <f t="shared" si="4"/>
        <v/>
      </c>
      <c r="Y230" s="275"/>
      <c r="Z230" s="275"/>
      <c r="AA230" s="275"/>
      <c r="AB230" s="276" t="str">
        <f t="shared" si="0"/>
        <v/>
      </c>
      <c r="AC230" s="276"/>
      <c r="AD230" s="276"/>
      <c r="AE230" s="276"/>
      <c r="AJ230" s="169"/>
      <c r="AK230" s="96"/>
      <c r="AL230" s="260"/>
      <c r="AM230" s="259"/>
      <c r="AN230" s="259"/>
      <c r="AO230" s="259"/>
      <c r="AP230" s="259"/>
      <c r="AQ230" s="259"/>
      <c r="AR230" s="259"/>
      <c r="AS230" s="259"/>
      <c r="AT230" s="261"/>
      <c r="AU230" s="261"/>
      <c r="AV230" s="261"/>
      <c r="AW230" s="261"/>
      <c r="AX230" s="261"/>
      <c r="AY230" s="261"/>
      <c r="AZ230" s="261"/>
      <c r="BA230" s="262"/>
      <c r="BB230" s="242" t="str">
        <f t="shared" si="5"/>
        <v/>
      </c>
      <c r="BC230" s="243"/>
      <c r="BD230" s="243"/>
      <c r="BE230" s="243"/>
      <c r="BF230" s="249" t="str">
        <f t="shared" si="6"/>
        <v/>
      </c>
      <c r="BG230" s="249"/>
      <c r="BH230" s="249"/>
      <c r="BI230" s="250"/>
      <c r="BJ230" s="260"/>
      <c r="BK230" s="259"/>
      <c r="BL230" s="249" t="str">
        <f t="shared" si="7"/>
        <v/>
      </c>
      <c r="BM230" s="249"/>
      <c r="BN230" s="249"/>
      <c r="BO230" s="249"/>
      <c r="BP230" s="259"/>
      <c r="BQ230" s="259"/>
      <c r="BR230" s="249" t="str">
        <f t="shared" si="8"/>
        <v/>
      </c>
      <c r="BS230" s="249"/>
      <c r="BT230" s="249"/>
      <c r="BU230" s="249"/>
      <c r="BV230" s="259"/>
      <c r="BW230" s="259"/>
      <c r="BX230" s="249" t="str">
        <f t="shared" si="9"/>
        <v/>
      </c>
      <c r="BY230" s="249"/>
      <c r="BZ230" s="249"/>
      <c r="CA230" s="249"/>
      <c r="CB230" s="259"/>
      <c r="CC230" s="259"/>
      <c r="CD230" s="249" t="str">
        <f t="shared" si="10"/>
        <v/>
      </c>
      <c r="CE230" s="249"/>
      <c r="CF230" s="249"/>
      <c r="CG230" s="250"/>
      <c r="CH230" s="271" t="str">
        <f t="shared" si="11"/>
        <v/>
      </c>
      <c r="CI230" s="272"/>
      <c r="CJ230" s="272"/>
      <c r="CK230" s="272"/>
      <c r="CL230" s="272"/>
      <c r="CM230" s="272" t="str">
        <f t="shared" si="12"/>
        <v/>
      </c>
      <c r="CN230" s="272"/>
      <c r="CO230" s="272"/>
      <c r="CP230" s="272"/>
      <c r="CQ230" s="272"/>
      <c r="CR230" s="272" t="str">
        <f t="shared" si="13"/>
        <v/>
      </c>
      <c r="CS230" s="272"/>
      <c r="CT230" s="272"/>
      <c r="CU230" s="272"/>
      <c r="CV230" s="272"/>
      <c r="CW230" s="272" t="str">
        <f t="shared" si="14"/>
        <v/>
      </c>
      <c r="CX230" s="272"/>
      <c r="CY230" s="272"/>
      <c r="CZ230" s="272"/>
      <c r="DA230" s="272"/>
      <c r="DB230" s="272" t="str">
        <f t="shared" si="15"/>
        <v/>
      </c>
      <c r="DC230" s="272"/>
      <c r="DD230" s="272"/>
      <c r="DE230" s="272"/>
      <c r="DF230" s="272"/>
      <c r="DG230" s="272" t="str">
        <f t="shared" si="16"/>
        <v/>
      </c>
      <c r="DH230" s="272"/>
      <c r="DI230" s="272"/>
      <c r="DJ230" s="272"/>
      <c r="DK230" s="273"/>
      <c r="DL230" s="267" t="str">
        <f t="shared" si="17"/>
        <v/>
      </c>
      <c r="DM230" s="268"/>
      <c r="DN230" s="268"/>
      <c r="DO230" s="263" t="str">
        <f t="shared" si="1"/>
        <v/>
      </c>
      <c r="DP230" s="263" t="str">
        <f t="shared" si="20"/>
        <v/>
      </c>
      <c r="DQ230" s="263"/>
      <c r="DR230" s="263" t="str">
        <f t="shared" si="21"/>
        <v/>
      </c>
      <c r="DS230" s="263"/>
      <c r="DT230" s="263" t="str">
        <f t="shared" si="22"/>
        <v/>
      </c>
      <c r="DU230" s="198"/>
      <c r="DV230" s="198"/>
      <c r="DW230" s="198"/>
      <c r="DX230" s="198"/>
      <c r="DY230" s="198"/>
      <c r="DZ230" s="263" t="str">
        <f t="shared" si="18"/>
        <v/>
      </c>
      <c r="EA230" s="263"/>
      <c r="EB230" s="263"/>
      <c r="EC230" s="263" t="str">
        <f t="shared" si="19"/>
        <v/>
      </c>
      <c r="ED230" s="263"/>
      <c r="EE230" s="265"/>
    </row>
    <row r="231" spans="1:135" ht="12.75" customHeight="1" x14ac:dyDescent="0.2">
      <c r="A231" s="54"/>
      <c r="B231" s="54"/>
      <c r="C231" s="54"/>
      <c r="D231" s="274"/>
      <c r="E231" s="274"/>
      <c r="F231" s="274"/>
      <c r="G231" s="274"/>
      <c r="H231" s="274"/>
      <c r="I231" s="274"/>
      <c r="J231" s="274"/>
      <c r="K231" s="274"/>
      <c r="L231" s="274"/>
      <c r="M231" s="274"/>
      <c r="N231" s="274"/>
      <c r="O231" s="274"/>
      <c r="P231" s="275" t="str">
        <f t="shared" si="2"/>
        <v/>
      </c>
      <c r="Q231" s="275"/>
      <c r="R231" s="275"/>
      <c r="S231" s="275"/>
      <c r="T231" s="275" t="str">
        <f t="shared" si="3"/>
        <v/>
      </c>
      <c r="U231" s="275"/>
      <c r="V231" s="275"/>
      <c r="W231" s="275"/>
      <c r="X231" s="275" t="str">
        <f t="shared" si="4"/>
        <v/>
      </c>
      <c r="Y231" s="275"/>
      <c r="Z231" s="275"/>
      <c r="AA231" s="275"/>
      <c r="AB231" s="276" t="str">
        <f t="shared" si="0"/>
        <v/>
      </c>
      <c r="AC231" s="276"/>
      <c r="AD231" s="276"/>
      <c r="AE231" s="276"/>
      <c r="AJ231" s="169"/>
      <c r="AK231" s="96"/>
      <c r="AL231" s="260"/>
      <c r="AM231" s="259"/>
      <c r="AN231" s="259"/>
      <c r="AO231" s="259"/>
      <c r="AP231" s="259"/>
      <c r="AQ231" s="259"/>
      <c r="AR231" s="259"/>
      <c r="AS231" s="259"/>
      <c r="AT231" s="261"/>
      <c r="AU231" s="261"/>
      <c r="AV231" s="261"/>
      <c r="AW231" s="261"/>
      <c r="AX231" s="261"/>
      <c r="AY231" s="261"/>
      <c r="AZ231" s="261"/>
      <c r="BA231" s="262"/>
      <c r="BB231" s="242" t="str">
        <f t="shared" si="5"/>
        <v/>
      </c>
      <c r="BC231" s="243"/>
      <c r="BD231" s="243"/>
      <c r="BE231" s="243"/>
      <c r="BF231" s="249" t="str">
        <f t="shared" si="6"/>
        <v/>
      </c>
      <c r="BG231" s="249"/>
      <c r="BH231" s="249"/>
      <c r="BI231" s="250"/>
      <c r="BJ231" s="260"/>
      <c r="BK231" s="259"/>
      <c r="BL231" s="249" t="str">
        <f t="shared" si="7"/>
        <v/>
      </c>
      <c r="BM231" s="249"/>
      <c r="BN231" s="249"/>
      <c r="BO231" s="249"/>
      <c r="BP231" s="259"/>
      <c r="BQ231" s="259"/>
      <c r="BR231" s="249" t="str">
        <f t="shared" si="8"/>
        <v/>
      </c>
      <c r="BS231" s="249"/>
      <c r="BT231" s="249"/>
      <c r="BU231" s="249"/>
      <c r="BV231" s="259"/>
      <c r="BW231" s="259"/>
      <c r="BX231" s="249" t="str">
        <f t="shared" si="9"/>
        <v/>
      </c>
      <c r="BY231" s="249"/>
      <c r="BZ231" s="249"/>
      <c r="CA231" s="249"/>
      <c r="CB231" s="259"/>
      <c r="CC231" s="259"/>
      <c r="CD231" s="249" t="str">
        <f t="shared" si="10"/>
        <v/>
      </c>
      <c r="CE231" s="249"/>
      <c r="CF231" s="249"/>
      <c r="CG231" s="250"/>
      <c r="CH231" s="271" t="str">
        <f t="shared" si="11"/>
        <v/>
      </c>
      <c r="CI231" s="272"/>
      <c r="CJ231" s="272"/>
      <c r="CK231" s="272"/>
      <c r="CL231" s="272"/>
      <c r="CM231" s="272" t="str">
        <f t="shared" si="12"/>
        <v/>
      </c>
      <c r="CN231" s="272"/>
      <c r="CO231" s="272"/>
      <c r="CP231" s="272"/>
      <c r="CQ231" s="272"/>
      <c r="CR231" s="272" t="str">
        <f t="shared" si="13"/>
        <v/>
      </c>
      <c r="CS231" s="272"/>
      <c r="CT231" s="272"/>
      <c r="CU231" s="272"/>
      <c r="CV231" s="272"/>
      <c r="CW231" s="272" t="str">
        <f t="shared" si="14"/>
        <v/>
      </c>
      <c r="CX231" s="272"/>
      <c r="CY231" s="272"/>
      <c r="CZ231" s="272"/>
      <c r="DA231" s="272"/>
      <c r="DB231" s="272" t="str">
        <f t="shared" si="15"/>
        <v/>
      </c>
      <c r="DC231" s="272"/>
      <c r="DD231" s="272"/>
      <c r="DE231" s="272"/>
      <c r="DF231" s="272"/>
      <c r="DG231" s="272" t="str">
        <f t="shared" si="16"/>
        <v/>
      </c>
      <c r="DH231" s="272"/>
      <c r="DI231" s="272"/>
      <c r="DJ231" s="272"/>
      <c r="DK231" s="273"/>
      <c r="DL231" s="267" t="str">
        <f t="shared" si="17"/>
        <v/>
      </c>
      <c r="DM231" s="268"/>
      <c r="DN231" s="268"/>
      <c r="DO231" s="263" t="str">
        <f t="shared" si="1"/>
        <v/>
      </c>
      <c r="DP231" s="263" t="str">
        <f t="shared" si="20"/>
        <v/>
      </c>
      <c r="DQ231" s="263"/>
      <c r="DR231" s="263" t="str">
        <f t="shared" si="21"/>
        <v/>
      </c>
      <c r="DS231" s="263"/>
      <c r="DT231" s="263" t="str">
        <f t="shared" si="22"/>
        <v/>
      </c>
      <c r="DU231" s="198"/>
      <c r="DV231" s="198"/>
      <c r="DW231" s="198"/>
      <c r="DX231" s="198"/>
      <c r="DY231" s="198"/>
      <c r="DZ231" s="263" t="str">
        <f t="shared" si="18"/>
        <v/>
      </c>
      <c r="EA231" s="263"/>
      <c r="EB231" s="263"/>
      <c r="EC231" s="263" t="str">
        <f t="shared" si="19"/>
        <v/>
      </c>
      <c r="ED231" s="263"/>
      <c r="EE231" s="265"/>
    </row>
    <row r="232" spans="1:135" ht="12.75" customHeight="1" x14ac:dyDescent="0.2">
      <c r="A232" s="54"/>
      <c r="B232" s="54"/>
      <c r="C232" s="54"/>
      <c r="D232" s="274"/>
      <c r="E232" s="274"/>
      <c r="F232" s="274"/>
      <c r="G232" s="274"/>
      <c r="H232" s="274"/>
      <c r="I232" s="274"/>
      <c r="J232" s="274"/>
      <c r="K232" s="274"/>
      <c r="L232" s="274"/>
      <c r="M232" s="274"/>
      <c r="N232" s="274"/>
      <c r="O232" s="274"/>
      <c r="P232" s="275" t="str">
        <f t="shared" si="2"/>
        <v/>
      </c>
      <c r="Q232" s="275"/>
      <c r="R232" s="275"/>
      <c r="S232" s="275"/>
      <c r="T232" s="275" t="str">
        <f t="shared" si="3"/>
        <v/>
      </c>
      <c r="U232" s="275"/>
      <c r="V232" s="275"/>
      <c r="W232" s="275"/>
      <c r="X232" s="275" t="str">
        <f t="shared" si="4"/>
        <v/>
      </c>
      <c r="Y232" s="275"/>
      <c r="Z232" s="275"/>
      <c r="AA232" s="275"/>
      <c r="AB232" s="276" t="str">
        <f t="shared" si="0"/>
        <v/>
      </c>
      <c r="AC232" s="276"/>
      <c r="AD232" s="276"/>
      <c r="AE232" s="276"/>
      <c r="AJ232" s="169"/>
      <c r="AK232" s="96"/>
      <c r="AL232" s="260"/>
      <c r="AM232" s="259"/>
      <c r="AN232" s="259"/>
      <c r="AO232" s="259"/>
      <c r="AP232" s="259"/>
      <c r="AQ232" s="259"/>
      <c r="AR232" s="259"/>
      <c r="AS232" s="259"/>
      <c r="AT232" s="261"/>
      <c r="AU232" s="261"/>
      <c r="AV232" s="261"/>
      <c r="AW232" s="261"/>
      <c r="AX232" s="261"/>
      <c r="AY232" s="261"/>
      <c r="AZ232" s="261"/>
      <c r="BA232" s="262"/>
      <c r="BB232" s="242" t="str">
        <f t="shared" si="5"/>
        <v/>
      </c>
      <c r="BC232" s="243"/>
      <c r="BD232" s="243"/>
      <c r="BE232" s="243"/>
      <c r="BF232" s="249" t="str">
        <f t="shared" si="6"/>
        <v/>
      </c>
      <c r="BG232" s="249"/>
      <c r="BH232" s="249"/>
      <c r="BI232" s="250"/>
      <c r="BJ232" s="260"/>
      <c r="BK232" s="259"/>
      <c r="BL232" s="249" t="str">
        <f t="shared" si="7"/>
        <v/>
      </c>
      <c r="BM232" s="249"/>
      <c r="BN232" s="249"/>
      <c r="BO232" s="249"/>
      <c r="BP232" s="259"/>
      <c r="BQ232" s="259"/>
      <c r="BR232" s="249" t="str">
        <f t="shared" si="8"/>
        <v/>
      </c>
      <c r="BS232" s="249"/>
      <c r="BT232" s="249"/>
      <c r="BU232" s="249"/>
      <c r="BV232" s="259"/>
      <c r="BW232" s="259"/>
      <c r="BX232" s="249" t="str">
        <f t="shared" si="9"/>
        <v/>
      </c>
      <c r="BY232" s="249"/>
      <c r="BZ232" s="249"/>
      <c r="CA232" s="249"/>
      <c r="CB232" s="259"/>
      <c r="CC232" s="259"/>
      <c r="CD232" s="249" t="str">
        <f t="shared" si="10"/>
        <v/>
      </c>
      <c r="CE232" s="249"/>
      <c r="CF232" s="249"/>
      <c r="CG232" s="250"/>
      <c r="CH232" s="271" t="str">
        <f t="shared" si="11"/>
        <v/>
      </c>
      <c r="CI232" s="272"/>
      <c r="CJ232" s="272"/>
      <c r="CK232" s="272"/>
      <c r="CL232" s="272"/>
      <c r="CM232" s="272" t="str">
        <f t="shared" si="12"/>
        <v/>
      </c>
      <c r="CN232" s="272"/>
      <c r="CO232" s="272"/>
      <c r="CP232" s="272"/>
      <c r="CQ232" s="272"/>
      <c r="CR232" s="272" t="str">
        <f t="shared" si="13"/>
        <v/>
      </c>
      <c r="CS232" s="272"/>
      <c r="CT232" s="272"/>
      <c r="CU232" s="272"/>
      <c r="CV232" s="272"/>
      <c r="CW232" s="272" t="str">
        <f t="shared" si="14"/>
        <v/>
      </c>
      <c r="CX232" s="272"/>
      <c r="CY232" s="272"/>
      <c r="CZ232" s="272"/>
      <c r="DA232" s="272"/>
      <c r="DB232" s="272" t="str">
        <f t="shared" si="15"/>
        <v/>
      </c>
      <c r="DC232" s="272"/>
      <c r="DD232" s="272"/>
      <c r="DE232" s="272"/>
      <c r="DF232" s="272"/>
      <c r="DG232" s="272" t="str">
        <f t="shared" si="16"/>
        <v/>
      </c>
      <c r="DH232" s="272"/>
      <c r="DI232" s="272"/>
      <c r="DJ232" s="272"/>
      <c r="DK232" s="273"/>
      <c r="DL232" s="267" t="str">
        <f t="shared" si="17"/>
        <v/>
      </c>
      <c r="DM232" s="268"/>
      <c r="DN232" s="268"/>
      <c r="DO232" s="263" t="str">
        <f t="shared" si="1"/>
        <v/>
      </c>
      <c r="DP232" s="263" t="str">
        <f t="shared" si="20"/>
        <v/>
      </c>
      <c r="DQ232" s="263"/>
      <c r="DR232" s="263" t="str">
        <f t="shared" si="21"/>
        <v/>
      </c>
      <c r="DS232" s="263"/>
      <c r="DT232" s="263" t="str">
        <f t="shared" si="22"/>
        <v/>
      </c>
      <c r="DU232" s="198"/>
      <c r="DV232" s="198"/>
      <c r="DW232" s="198"/>
      <c r="DX232" s="198"/>
      <c r="DY232" s="198"/>
      <c r="DZ232" s="263" t="str">
        <f t="shared" si="18"/>
        <v/>
      </c>
      <c r="EA232" s="263"/>
      <c r="EB232" s="263"/>
      <c r="EC232" s="263" t="str">
        <f t="shared" si="19"/>
        <v/>
      </c>
      <c r="ED232" s="263"/>
      <c r="EE232" s="265"/>
    </row>
    <row r="233" spans="1:135" ht="12.75" customHeight="1" x14ac:dyDescent="0.2">
      <c r="A233" s="54"/>
      <c r="B233" s="54"/>
      <c r="C233" s="54"/>
      <c r="D233" s="274"/>
      <c r="E233" s="274"/>
      <c r="F233" s="274"/>
      <c r="G233" s="274"/>
      <c r="H233" s="274"/>
      <c r="I233" s="274"/>
      <c r="J233" s="274"/>
      <c r="K233" s="274"/>
      <c r="L233" s="274"/>
      <c r="M233" s="274"/>
      <c r="N233" s="274"/>
      <c r="O233" s="274"/>
      <c r="P233" s="275" t="str">
        <f t="shared" si="2"/>
        <v/>
      </c>
      <c r="Q233" s="275"/>
      <c r="R233" s="275"/>
      <c r="S233" s="275"/>
      <c r="T233" s="275" t="str">
        <f t="shared" si="3"/>
        <v/>
      </c>
      <c r="U233" s="275"/>
      <c r="V233" s="275"/>
      <c r="W233" s="275"/>
      <c r="X233" s="275" t="str">
        <f t="shared" si="4"/>
        <v/>
      </c>
      <c r="Y233" s="275"/>
      <c r="Z233" s="275"/>
      <c r="AA233" s="275"/>
      <c r="AB233" s="276" t="str">
        <f t="shared" si="0"/>
        <v/>
      </c>
      <c r="AC233" s="276"/>
      <c r="AD233" s="276"/>
      <c r="AE233" s="276"/>
      <c r="AJ233" s="169"/>
      <c r="AK233" s="96"/>
      <c r="AL233" s="260"/>
      <c r="AM233" s="259"/>
      <c r="AN233" s="259"/>
      <c r="AO233" s="259"/>
      <c r="AP233" s="259"/>
      <c r="AQ233" s="259"/>
      <c r="AR233" s="259"/>
      <c r="AS233" s="259"/>
      <c r="AT233" s="261"/>
      <c r="AU233" s="261"/>
      <c r="AV233" s="261"/>
      <c r="AW233" s="261"/>
      <c r="AX233" s="261"/>
      <c r="AY233" s="261"/>
      <c r="AZ233" s="261"/>
      <c r="BA233" s="262"/>
      <c r="BB233" s="242" t="str">
        <f t="shared" si="5"/>
        <v/>
      </c>
      <c r="BC233" s="243"/>
      <c r="BD233" s="243"/>
      <c r="BE233" s="243"/>
      <c r="BF233" s="249" t="str">
        <f t="shared" si="6"/>
        <v/>
      </c>
      <c r="BG233" s="249"/>
      <c r="BH233" s="249"/>
      <c r="BI233" s="250"/>
      <c r="BJ233" s="260"/>
      <c r="BK233" s="259"/>
      <c r="BL233" s="249" t="str">
        <f t="shared" si="7"/>
        <v/>
      </c>
      <c r="BM233" s="249"/>
      <c r="BN233" s="249"/>
      <c r="BO233" s="249"/>
      <c r="BP233" s="259"/>
      <c r="BQ233" s="259"/>
      <c r="BR233" s="249" t="str">
        <f t="shared" si="8"/>
        <v/>
      </c>
      <c r="BS233" s="249"/>
      <c r="BT233" s="249"/>
      <c r="BU233" s="249"/>
      <c r="BV233" s="259"/>
      <c r="BW233" s="259"/>
      <c r="BX233" s="249" t="str">
        <f t="shared" si="9"/>
        <v/>
      </c>
      <c r="BY233" s="249"/>
      <c r="BZ233" s="249"/>
      <c r="CA233" s="249"/>
      <c r="CB233" s="259"/>
      <c r="CC233" s="259"/>
      <c r="CD233" s="249" t="str">
        <f t="shared" si="10"/>
        <v/>
      </c>
      <c r="CE233" s="249"/>
      <c r="CF233" s="249"/>
      <c r="CG233" s="250"/>
      <c r="CH233" s="271" t="str">
        <f t="shared" si="11"/>
        <v/>
      </c>
      <c r="CI233" s="272"/>
      <c r="CJ233" s="272"/>
      <c r="CK233" s="272"/>
      <c r="CL233" s="272"/>
      <c r="CM233" s="272" t="str">
        <f t="shared" si="12"/>
        <v/>
      </c>
      <c r="CN233" s="272"/>
      <c r="CO233" s="272"/>
      <c r="CP233" s="272"/>
      <c r="CQ233" s="272"/>
      <c r="CR233" s="272" t="str">
        <f t="shared" si="13"/>
        <v/>
      </c>
      <c r="CS233" s="272"/>
      <c r="CT233" s="272"/>
      <c r="CU233" s="272"/>
      <c r="CV233" s="272"/>
      <c r="CW233" s="272" t="str">
        <f t="shared" si="14"/>
        <v/>
      </c>
      <c r="CX233" s="272"/>
      <c r="CY233" s="272"/>
      <c r="CZ233" s="272"/>
      <c r="DA233" s="272"/>
      <c r="DB233" s="272" t="str">
        <f t="shared" si="15"/>
        <v/>
      </c>
      <c r="DC233" s="272"/>
      <c r="DD233" s="272"/>
      <c r="DE233" s="272"/>
      <c r="DF233" s="272"/>
      <c r="DG233" s="272" t="str">
        <f t="shared" si="16"/>
        <v/>
      </c>
      <c r="DH233" s="272"/>
      <c r="DI233" s="272"/>
      <c r="DJ233" s="272"/>
      <c r="DK233" s="273"/>
      <c r="DL233" s="267" t="str">
        <f t="shared" si="17"/>
        <v/>
      </c>
      <c r="DM233" s="268"/>
      <c r="DN233" s="268"/>
      <c r="DO233" s="263" t="str">
        <f t="shared" si="1"/>
        <v/>
      </c>
      <c r="DP233" s="263" t="str">
        <f t="shared" si="20"/>
        <v/>
      </c>
      <c r="DQ233" s="263"/>
      <c r="DR233" s="263" t="str">
        <f t="shared" si="21"/>
        <v/>
      </c>
      <c r="DS233" s="263"/>
      <c r="DT233" s="263" t="str">
        <f t="shared" si="22"/>
        <v/>
      </c>
      <c r="DU233" s="198"/>
      <c r="DV233" s="198"/>
      <c r="DW233" s="198"/>
      <c r="DX233" s="198"/>
      <c r="DY233" s="198"/>
      <c r="DZ233" s="263" t="str">
        <f t="shared" si="18"/>
        <v/>
      </c>
      <c r="EA233" s="263"/>
      <c r="EB233" s="263"/>
      <c r="EC233" s="263" t="str">
        <f t="shared" si="19"/>
        <v/>
      </c>
      <c r="ED233" s="263"/>
      <c r="EE233" s="265"/>
    </row>
    <row r="234" spans="1:135" ht="12.75" customHeight="1" x14ac:dyDescent="0.2">
      <c r="A234" s="54"/>
      <c r="B234" s="54"/>
      <c r="C234" s="54"/>
      <c r="D234" s="274"/>
      <c r="E234" s="274"/>
      <c r="F234" s="274"/>
      <c r="G234" s="274"/>
      <c r="H234" s="274"/>
      <c r="I234" s="274"/>
      <c r="J234" s="274"/>
      <c r="K234" s="274"/>
      <c r="L234" s="274"/>
      <c r="M234" s="274"/>
      <c r="N234" s="274"/>
      <c r="O234" s="274"/>
      <c r="P234" s="275" t="str">
        <f t="shared" si="2"/>
        <v/>
      </c>
      <c r="Q234" s="275"/>
      <c r="R234" s="275"/>
      <c r="S234" s="275"/>
      <c r="T234" s="275" t="str">
        <f t="shared" si="3"/>
        <v/>
      </c>
      <c r="U234" s="275"/>
      <c r="V234" s="275"/>
      <c r="W234" s="275"/>
      <c r="X234" s="275" t="str">
        <f t="shared" si="4"/>
        <v/>
      </c>
      <c r="Y234" s="275"/>
      <c r="Z234" s="275"/>
      <c r="AA234" s="275"/>
      <c r="AB234" s="276" t="str">
        <f t="shared" si="0"/>
        <v/>
      </c>
      <c r="AC234" s="276"/>
      <c r="AD234" s="276"/>
      <c r="AE234" s="276"/>
      <c r="AJ234" s="169"/>
      <c r="AK234" s="96"/>
      <c r="AL234" s="260"/>
      <c r="AM234" s="259"/>
      <c r="AN234" s="259"/>
      <c r="AO234" s="259"/>
      <c r="AP234" s="259"/>
      <c r="AQ234" s="259"/>
      <c r="AR234" s="259"/>
      <c r="AS234" s="259"/>
      <c r="AT234" s="261"/>
      <c r="AU234" s="261"/>
      <c r="AV234" s="261"/>
      <c r="AW234" s="261"/>
      <c r="AX234" s="261"/>
      <c r="AY234" s="261"/>
      <c r="AZ234" s="261"/>
      <c r="BA234" s="262"/>
      <c r="BB234" s="242" t="str">
        <f t="shared" si="5"/>
        <v/>
      </c>
      <c r="BC234" s="243"/>
      <c r="BD234" s="243"/>
      <c r="BE234" s="243"/>
      <c r="BF234" s="249" t="str">
        <f t="shared" si="6"/>
        <v/>
      </c>
      <c r="BG234" s="249"/>
      <c r="BH234" s="249"/>
      <c r="BI234" s="250"/>
      <c r="BJ234" s="260"/>
      <c r="BK234" s="259"/>
      <c r="BL234" s="249" t="str">
        <f t="shared" si="7"/>
        <v/>
      </c>
      <c r="BM234" s="249"/>
      <c r="BN234" s="249"/>
      <c r="BO234" s="249"/>
      <c r="BP234" s="259"/>
      <c r="BQ234" s="259"/>
      <c r="BR234" s="249" t="str">
        <f t="shared" si="8"/>
        <v/>
      </c>
      <c r="BS234" s="249"/>
      <c r="BT234" s="249"/>
      <c r="BU234" s="249"/>
      <c r="BV234" s="259"/>
      <c r="BW234" s="259"/>
      <c r="BX234" s="249" t="str">
        <f t="shared" si="9"/>
        <v/>
      </c>
      <c r="BY234" s="249"/>
      <c r="BZ234" s="249"/>
      <c r="CA234" s="249"/>
      <c r="CB234" s="259"/>
      <c r="CC234" s="259"/>
      <c r="CD234" s="249" t="str">
        <f t="shared" si="10"/>
        <v/>
      </c>
      <c r="CE234" s="249"/>
      <c r="CF234" s="249"/>
      <c r="CG234" s="250"/>
      <c r="CH234" s="271" t="str">
        <f t="shared" si="11"/>
        <v/>
      </c>
      <c r="CI234" s="272"/>
      <c r="CJ234" s="272"/>
      <c r="CK234" s="272"/>
      <c r="CL234" s="272"/>
      <c r="CM234" s="272" t="str">
        <f t="shared" si="12"/>
        <v/>
      </c>
      <c r="CN234" s="272"/>
      <c r="CO234" s="272"/>
      <c r="CP234" s="272"/>
      <c r="CQ234" s="272"/>
      <c r="CR234" s="272" t="str">
        <f t="shared" si="13"/>
        <v/>
      </c>
      <c r="CS234" s="272"/>
      <c r="CT234" s="272"/>
      <c r="CU234" s="272"/>
      <c r="CV234" s="272"/>
      <c r="CW234" s="272" t="str">
        <f t="shared" si="14"/>
        <v/>
      </c>
      <c r="CX234" s="272"/>
      <c r="CY234" s="272"/>
      <c r="CZ234" s="272"/>
      <c r="DA234" s="272"/>
      <c r="DB234" s="272" t="str">
        <f t="shared" si="15"/>
        <v/>
      </c>
      <c r="DC234" s="272"/>
      <c r="DD234" s="272"/>
      <c r="DE234" s="272"/>
      <c r="DF234" s="272"/>
      <c r="DG234" s="272" t="str">
        <f t="shared" si="16"/>
        <v/>
      </c>
      <c r="DH234" s="272"/>
      <c r="DI234" s="272"/>
      <c r="DJ234" s="272"/>
      <c r="DK234" s="273"/>
      <c r="DL234" s="267" t="str">
        <f t="shared" si="17"/>
        <v/>
      </c>
      <c r="DM234" s="268"/>
      <c r="DN234" s="268"/>
      <c r="DO234" s="263" t="str">
        <f t="shared" si="1"/>
        <v/>
      </c>
      <c r="DP234" s="263" t="str">
        <f t="shared" si="20"/>
        <v/>
      </c>
      <c r="DQ234" s="263"/>
      <c r="DR234" s="263" t="str">
        <f t="shared" si="21"/>
        <v/>
      </c>
      <c r="DS234" s="263"/>
      <c r="DT234" s="263" t="str">
        <f t="shared" si="22"/>
        <v/>
      </c>
      <c r="DU234" s="198"/>
      <c r="DV234" s="198"/>
      <c r="DW234" s="198"/>
      <c r="DX234" s="198"/>
      <c r="DY234" s="198"/>
      <c r="DZ234" s="263" t="str">
        <f t="shared" si="18"/>
        <v/>
      </c>
      <c r="EA234" s="263"/>
      <c r="EB234" s="263"/>
      <c r="EC234" s="263" t="str">
        <f t="shared" si="19"/>
        <v/>
      </c>
      <c r="ED234" s="263"/>
      <c r="EE234" s="265"/>
    </row>
    <row r="235" spans="1:135" ht="12.75" customHeight="1" x14ac:dyDescent="0.2">
      <c r="A235" s="54"/>
      <c r="B235" s="54"/>
      <c r="C235" s="54"/>
      <c r="D235" s="274"/>
      <c r="E235" s="274"/>
      <c r="F235" s="274"/>
      <c r="G235" s="274"/>
      <c r="H235" s="274"/>
      <c r="I235" s="274"/>
      <c r="J235" s="274"/>
      <c r="K235" s="274"/>
      <c r="L235" s="274"/>
      <c r="M235" s="274"/>
      <c r="N235" s="274"/>
      <c r="O235" s="274"/>
      <c r="P235" s="275" t="str">
        <f t="shared" si="2"/>
        <v/>
      </c>
      <c r="Q235" s="275"/>
      <c r="R235" s="275"/>
      <c r="S235" s="275"/>
      <c r="T235" s="275" t="str">
        <f t="shared" si="3"/>
        <v/>
      </c>
      <c r="U235" s="275"/>
      <c r="V235" s="275"/>
      <c r="W235" s="275"/>
      <c r="X235" s="275" t="str">
        <f t="shared" si="4"/>
        <v/>
      </c>
      <c r="Y235" s="275"/>
      <c r="Z235" s="275"/>
      <c r="AA235" s="275"/>
      <c r="AB235" s="276" t="str">
        <f t="shared" si="0"/>
        <v/>
      </c>
      <c r="AC235" s="276"/>
      <c r="AD235" s="276"/>
      <c r="AE235" s="276"/>
      <c r="AJ235" s="169"/>
      <c r="AK235" s="96"/>
      <c r="AL235" s="260"/>
      <c r="AM235" s="259"/>
      <c r="AN235" s="259"/>
      <c r="AO235" s="259"/>
      <c r="AP235" s="259"/>
      <c r="AQ235" s="259"/>
      <c r="AR235" s="259"/>
      <c r="AS235" s="259"/>
      <c r="AT235" s="261"/>
      <c r="AU235" s="261"/>
      <c r="AV235" s="261"/>
      <c r="AW235" s="261"/>
      <c r="AX235" s="261"/>
      <c r="AY235" s="261"/>
      <c r="AZ235" s="261"/>
      <c r="BA235" s="262"/>
      <c r="BB235" s="242" t="str">
        <f t="shared" si="5"/>
        <v/>
      </c>
      <c r="BC235" s="243"/>
      <c r="BD235" s="243"/>
      <c r="BE235" s="243"/>
      <c r="BF235" s="249" t="str">
        <f t="shared" si="6"/>
        <v/>
      </c>
      <c r="BG235" s="249"/>
      <c r="BH235" s="249"/>
      <c r="BI235" s="250"/>
      <c r="BJ235" s="260"/>
      <c r="BK235" s="259"/>
      <c r="BL235" s="249" t="str">
        <f t="shared" si="7"/>
        <v/>
      </c>
      <c r="BM235" s="249"/>
      <c r="BN235" s="249"/>
      <c r="BO235" s="249"/>
      <c r="BP235" s="259"/>
      <c r="BQ235" s="259"/>
      <c r="BR235" s="249" t="str">
        <f t="shared" si="8"/>
        <v/>
      </c>
      <c r="BS235" s="249"/>
      <c r="BT235" s="249"/>
      <c r="BU235" s="249"/>
      <c r="BV235" s="259"/>
      <c r="BW235" s="259"/>
      <c r="BX235" s="249" t="str">
        <f t="shared" si="9"/>
        <v/>
      </c>
      <c r="BY235" s="249"/>
      <c r="BZ235" s="249"/>
      <c r="CA235" s="249"/>
      <c r="CB235" s="259"/>
      <c r="CC235" s="259"/>
      <c r="CD235" s="249" t="str">
        <f t="shared" si="10"/>
        <v/>
      </c>
      <c r="CE235" s="249"/>
      <c r="CF235" s="249"/>
      <c r="CG235" s="250"/>
      <c r="CH235" s="271" t="str">
        <f t="shared" si="11"/>
        <v/>
      </c>
      <c r="CI235" s="272"/>
      <c r="CJ235" s="272"/>
      <c r="CK235" s="272"/>
      <c r="CL235" s="272"/>
      <c r="CM235" s="272" t="str">
        <f t="shared" si="12"/>
        <v/>
      </c>
      <c r="CN235" s="272"/>
      <c r="CO235" s="272"/>
      <c r="CP235" s="272"/>
      <c r="CQ235" s="272"/>
      <c r="CR235" s="272" t="str">
        <f t="shared" si="13"/>
        <v/>
      </c>
      <c r="CS235" s="272"/>
      <c r="CT235" s="272"/>
      <c r="CU235" s="272"/>
      <c r="CV235" s="272"/>
      <c r="CW235" s="272" t="str">
        <f t="shared" si="14"/>
        <v/>
      </c>
      <c r="CX235" s="272"/>
      <c r="CY235" s="272"/>
      <c r="CZ235" s="272"/>
      <c r="DA235" s="272"/>
      <c r="DB235" s="272" t="str">
        <f t="shared" si="15"/>
        <v/>
      </c>
      <c r="DC235" s="272"/>
      <c r="DD235" s="272"/>
      <c r="DE235" s="272"/>
      <c r="DF235" s="272"/>
      <c r="DG235" s="272" t="str">
        <f t="shared" si="16"/>
        <v/>
      </c>
      <c r="DH235" s="272"/>
      <c r="DI235" s="272"/>
      <c r="DJ235" s="272"/>
      <c r="DK235" s="273"/>
      <c r="DL235" s="267" t="str">
        <f t="shared" si="17"/>
        <v/>
      </c>
      <c r="DM235" s="268"/>
      <c r="DN235" s="268"/>
      <c r="DO235" s="263" t="str">
        <f t="shared" si="1"/>
        <v/>
      </c>
      <c r="DP235" s="263" t="str">
        <f t="shared" si="20"/>
        <v/>
      </c>
      <c r="DQ235" s="263"/>
      <c r="DR235" s="263" t="str">
        <f t="shared" si="21"/>
        <v/>
      </c>
      <c r="DS235" s="263"/>
      <c r="DT235" s="263" t="str">
        <f t="shared" si="22"/>
        <v/>
      </c>
      <c r="DU235" s="198"/>
      <c r="DV235" s="198"/>
      <c r="DW235" s="198"/>
      <c r="DX235" s="198"/>
      <c r="DY235" s="198"/>
      <c r="DZ235" s="263" t="str">
        <f t="shared" si="18"/>
        <v/>
      </c>
      <c r="EA235" s="263"/>
      <c r="EB235" s="263"/>
      <c r="EC235" s="263" t="str">
        <f t="shared" si="19"/>
        <v/>
      </c>
      <c r="ED235" s="263"/>
      <c r="EE235" s="265"/>
    </row>
    <row r="236" spans="1:135" ht="12.75" customHeight="1" x14ac:dyDescent="0.2">
      <c r="A236" s="54"/>
      <c r="B236" s="54"/>
      <c r="C236" s="54"/>
      <c r="D236" s="274"/>
      <c r="E236" s="274"/>
      <c r="F236" s="274"/>
      <c r="G236" s="274"/>
      <c r="H236" s="274"/>
      <c r="I236" s="274"/>
      <c r="J236" s="274"/>
      <c r="K236" s="274"/>
      <c r="L236" s="274"/>
      <c r="M236" s="274"/>
      <c r="N236" s="274"/>
      <c r="O236" s="274"/>
      <c r="P236" s="275" t="str">
        <f t="shared" si="2"/>
        <v/>
      </c>
      <c r="Q236" s="275"/>
      <c r="R236" s="275"/>
      <c r="S236" s="275"/>
      <c r="T236" s="275" t="str">
        <f t="shared" si="3"/>
        <v/>
      </c>
      <c r="U236" s="275"/>
      <c r="V236" s="275"/>
      <c r="W236" s="275"/>
      <c r="X236" s="275" t="str">
        <f t="shared" si="4"/>
        <v/>
      </c>
      <c r="Y236" s="275"/>
      <c r="Z236" s="275"/>
      <c r="AA236" s="275"/>
      <c r="AB236" s="276" t="str">
        <f t="shared" si="0"/>
        <v/>
      </c>
      <c r="AC236" s="276"/>
      <c r="AD236" s="276"/>
      <c r="AE236" s="276"/>
      <c r="AJ236" s="169"/>
      <c r="AK236" s="96"/>
      <c r="AL236" s="260"/>
      <c r="AM236" s="259"/>
      <c r="AN236" s="259"/>
      <c r="AO236" s="259"/>
      <c r="AP236" s="259"/>
      <c r="AQ236" s="259"/>
      <c r="AR236" s="259"/>
      <c r="AS236" s="259"/>
      <c r="AT236" s="261"/>
      <c r="AU236" s="261"/>
      <c r="AV236" s="261"/>
      <c r="AW236" s="261"/>
      <c r="AX236" s="261"/>
      <c r="AY236" s="261"/>
      <c r="AZ236" s="261"/>
      <c r="BA236" s="262"/>
      <c r="BB236" s="242" t="str">
        <f t="shared" si="5"/>
        <v/>
      </c>
      <c r="BC236" s="243"/>
      <c r="BD236" s="243"/>
      <c r="BE236" s="243"/>
      <c r="BF236" s="249" t="str">
        <f t="shared" si="6"/>
        <v/>
      </c>
      <c r="BG236" s="249"/>
      <c r="BH236" s="249"/>
      <c r="BI236" s="250"/>
      <c r="BJ236" s="260"/>
      <c r="BK236" s="259"/>
      <c r="BL236" s="249" t="str">
        <f t="shared" si="7"/>
        <v/>
      </c>
      <c r="BM236" s="249"/>
      <c r="BN236" s="249"/>
      <c r="BO236" s="249"/>
      <c r="BP236" s="259"/>
      <c r="BQ236" s="259"/>
      <c r="BR236" s="249" t="str">
        <f t="shared" si="8"/>
        <v/>
      </c>
      <c r="BS236" s="249"/>
      <c r="BT236" s="249"/>
      <c r="BU236" s="249"/>
      <c r="BV236" s="259"/>
      <c r="BW236" s="259"/>
      <c r="BX236" s="249" t="str">
        <f t="shared" si="9"/>
        <v/>
      </c>
      <c r="BY236" s="249"/>
      <c r="BZ236" s="249"/>
      <c r="CA236" s="249"/>
      <c r="CB236" s="259"/>
      <c r="CC236" s="259"/>
      <c r="CD236" s="249" t="str">
        <f t="shared" si="10"/>
        <v/>
      </c>
      <c r="CE236" s="249"/>
      <c r="CF236" s="249"/>
      <c r="CG236" s="250"/>
      <c r="CH236" s="271" t="str">
        <f t="shared" si="11"/>
        <v/>
      </c>
      <c r="CI236" s="272"/>
      <c r="CJ236" s="272"/>
      <c r="CK236" s="272"/>
      <c r="CL236" s="272"/>
      <c r="CM236" s="272" t="str">
        <f t="shared" si="12"/>
        <v/>
      </c>
      <c r="CN236" s="272"/>
      <c r="CO236" s="272"/>
      <c r="CP236" s="272"/>
      <c r="CQ236" s="272"/>
      <c r="CR236" s="272" t="str">
        <f t="shared" si="13"/>
        <v/>
      </c>
      <c r="CS236" s="272"/>
      <c r="CT236" s="272"/>
      <c r="CU236" s="272"/>
      <c r="CV236" s="272"/>
      <c r="CW236" s="272" t="str">
        <f t="shared" si="14"/>
        <v/>
      </c>
      <c r="CX236" s="272"/>
      <c r="CY236" s="272"/>
      <c r="CZ236" s="272"/>
      <c r="DA236" s="272"/>
      <c r="DB236" s="272" t="str">
        <f t="shared" si="15"/>
        <v/>
      </c>
      <c r="DC236" s="272"/>
      <c r="DD236" s="272"/>
      <c r="DE236" s="272"/>
      <c r="DF236" s="272"/>
      <c r="DG236" s="272" t="str">
        <f t="shared" si="16"/>
        <v/>
      </c>
      <c r="DH236" s="272"/>
      <c r="DI236" s="272"/>
      <c r="DJ236" s="272"/>
      <c r="DK236" s="273"/>
      <c r="DL236" s="267" t="str">
        <f t="shared" si="17"/>
        <v/>
      </c>
      <c r="DM236" s="268"/>
      <c r="DN236" s="268"/>
      <c r="DO236" s="263" t="str">
        <f t="shared" si="1"/>
        <v/>
      </c>
      <c r="DP236" s="263" t="str">
        <f t="shared" si="20"/>
        <v/>
      </c>
      <c r="DQ236" s="263"/>
      <c r="DR236" s="263" t="str">
        <f t="shared" si="21"/>
        <v/>
      </c>
      <c r="DS236" s="263"/>
      <c r="DT236" s="263" t="str">
        <f t="shared" si="22"/>
        <v/>
      </c>
      <c r="DU236" s="198"/>
      <c r="DV236" s="198"/>
      <c r="DW236" s="198"/>
      <c r="DX236" s="198"/>
      <c r="DY236" s="198"/>
      <c r="DZ236" s="263" t="str">
        <f t="shared" si="18"/>
        <v/>
      </c>
      <c r="EA236" s="263"/>
      <c r="EB236" s="263"/>
      <c r="EC236" s="263" t="str">
        <f t="shared" si="19"/>
        <v/>
      </c>
      <c r="ED236" s="263"/>
      <c r="EE236" s="265"/>
    </row>
    <row r="237" spans="1:135" ht="12.75" customHeight="1" x14ac:dyDescent="0.2">
      <c r="A237" s="54"/>
      <c r="B237" s="54"/>
      <c r="C237" s="54"/>
      <c r="D237" s="274"/>
      <c r="E237" s="274"/>
      <c r="F237" s="274"/>
      <c r="G237" s="274"/>
      <c r="H237" s="274"/>
      <c r="I237" s="274"/>
      <c r="J237" s="274"/>
      <c r="K237" s="274"/>
      <c r="L237" s="274"/>
      <c r="M237" s="274"/>
      <c r="N237" s="274"/>
      <c r="O237" s="274"/>
      <c r="P237" s="275" t="str">
        <f t="shared" si="2"/>
        <v/>
      </c>
      <c r="Q237" s="275"/>
      <c r="R237" s="275"/>
      <c r="S237" s="275"/>
      <c r="T237" s="275" t="str">
        <f t="shared" si="3"/>
        <v/>
      </c>
      <c r="U237" s="275"/>
      <c r="V237" s="275"/>
      <c r="W237" s="275"/>
      <c r="X237" s="275" t="str">
        <f t="shared" si="4"/>
        <v/>
      </c>
      <c r="Y237" s="275"/>
      <c r="Z237" s="275"/>
      <c r="AA237" s="275"/>
      <c r="AB237" s="276" t="str">
        <f t="shared" si="0"/>
        <v/>
      </c>
      <c r="AC237" s="276"/>
      <c r="AD237" s="276"/>
      <c r="AE237" s="276"/>
      <c r="AJ237" s="169"/>
      <c r="AK237" s="96"/>
      <c r="AL237" s="260"/>
      <c r="AM237" s="259"/>
      <c r="AN237" s="259"/>
      <c r="AO237" s="259"/>
      <c r="AP237" s="259"/>
      <c r="AQ237" s="259"/>
      <c r="AR237" s="259"/>
      <c r="AS237" s="259"/>
      <c r="AT237" s="261"/>
      <c r="AU237" s="261"/>
      <c r="AV237" s="261"/>
      <c r="AW237" s="261"/>
      <c r="AX237" s="261"/>
      <c r="AY237" s="261"/>
      <c r="AZ237" s="261"/>
      <c r="BA237" s="262"/>
      <c r="BB237" s="242" t="str">
        <f t="shared" si="5"/>
        <v/>
      </c>
      <c r="BC237" s="243"/>
      <c r="BD237" s="243"/>
      <c r="BE237" s="243"/>
      <c r="BF237" s="249" t="str">
        <f t="shared" si="6"/>
        <v/>
      </c>
      <c r="BG237" s="249"/>
      <c r="BH237" s="249"/>
      <c r="BI237" s="250"/>
      <c r="BJ237" s="260"/>
      <c r="BK237" s="259"/>
      <c r="BL237" s="249" t="str">
        <f t="shared" si="7"/>
        <v/>
      </c>
      <c r="BM237" s="249"/>
      <c r="BN237" s="249"/>
      <c r="BO237" s="249"/>
      <c r="BP237" s="259"/>
      <c r="BQ237" s="259"/>
      <c r="BR237" s="249" t="str">
        <f t="shared" si="8"/>
        <v/>
      </c>
      <c r="BS237" s="249"/>
      <c r="BT237" s="249"/>
      <c r="BU237" s="249"/>
      <c r="BV237" s="259"/>
      <c r="BW237" s="259"/>
      <c r="BX237" s="249" t="str">
        <f t="shared" si="9"/>
        <v/>
      </c>
      <c r="BY237" s="249"/>
      <c r="BZ237" s="249"/>
      <c r="CA237" s="249"/>
      <c r="CB237" s="259"/>
      <c r="CC237" s="259"/>
      <c r="CD237" s="249" t="str">
        <f t="shared" si="10"/>
        <v/>
      </c>
      <c r="CE237" s="249"/>
      <c r="CF237" s="249"/>
      <c r="CG237" s="250"/>
      <c r="CH237" s="271" t="str">
        <f t="shared" si="11"/>
        <v/>
      </c>
      <c r="CI237" s="272"/>
      <c r="CJ237" s="272"/>
      <c r="CK237" s="272"/>
      <c r="CL237" s="272"/>
      <c r="CM237" s="272" t="str">
        <f t="shared" si="12"/>
        <v/>
      </c>
      <c r="CN237" s="272"/>
      <c r="CO237" s="272"/>
      <c r="CP237" s="272"/>
      <c r="CQ237" s="272"/>
      <c r="CR237" s="272" t="str">
        <f t="shared" si="13"/>
        <v/>
      </c>
      <c r="CS237" s="272"/>
      <c r="CT237" s="272"/>
      <c r="CU237" s="272"/>
      <c r="CV237" s="272"/>
      <c r="CW237" s="272" t="str">
        <f t="shared" si="14"/>
        <v/>
      </c>
      <c r="CX237" s="272"/>
      <c r="CY237" s="272"/>
      <c r="CZ237" s="272"/>
      <c r="DA237" s="272"/>
      <c r="DB237" s="272" t="str">
        <f t="shared" si="15"/>
        <v/>
      </c>
      <c r="DC237" s="272"/>
      <c r="DD237" s="272"/>
      <c r="DE237" s="272"/>
      <c r="DF237" s="272"/>
      <c r="DG237" s="272" t="str">
        <f t="shared" si="16"/>
        <v/>
      </c>
      <c r="DH237" s="272"/>
      <c r="DI237" s="272"/>
      <c r="DJ237" s="272"/>
      <c r="DK237" s="273"/>
      <c r="DL237" s="267" t="str">
        <f t="shared" si="17"/>
        <v/>
      </c>
      <c r="DM237" s="268"/>
      <c r="DN237" s="268"/>
      <c r="DO237" s="263" t="str">
        <f t="shared" si="1"/>
        <v/>
      </c>
      <c r="DP237" s="263" t="str">
        <f t="shared" si="20"/>
        <v/>
      </c>
      <c r="DQ237" s="263"/>
      <c r="DR237" s="263" t="str">
        <f t="shared" si="21"/>
        <v/>
      </c>
      <c r="DS237" s="263"/>
      <c r="DT237" s="263" t="str">
        <f t="shared" si="22"/>
        <v/>
      </c>
      <c r="DU237" s="198"/>
      <c r="DV237" s="198"/>
      <c r="DW237" s="198"/>
      <c r="DX237" s="198"/>
      <c r="DY237" s="198"/>
      <c r="DZ237" s="263" t="str">
        <f t="shared" si="18"/>
        <v/>
      </c>
      <c r="EA237" s="263"/>
      <c r="EB237" s="263"/>
      <c r="EC237" s="263" t="str">
        <f t="shared" si="19"/>
        <v/>
      </c>
      <c r="ED237" s="263"/>
      <c r="EE237" s="265"/>
    </row>
    <row r="238" spans="1:135" ht="12.75" customHeight="1" x14ac:dyDescent="0.2">
      <c r="A238" s="54"/>
      <c r="B238" s="54"/>
      <c r="C238" s="54"/>
      <c r="D238" s="274"/>
      <c r="E238" s="274"/>
      <c r="F238" s="274"/>
      <c r="G238" s="274"/>
      <c r="H238" s="274"/>
      <c r="I238" s="274"/>
      <c r="J238" s="274"/>
      <c r="K238" s="274"/>
      <c r="L238" s="274"/>
      <c r="M238" s="274"/>
      <c r="N238" s="274"/>
      <c r="O238" s="274"/>
      <c r="P238" s="275" t="str">
        <f t="shared" si="2"/>
        <v/>
      </c>
      <c r="Q238" s="275"/>
      <c r="R238" s="275"/>
      <c r="S238" s="275"/>
      <c r="T238" s="275" t="str">
        <f t="shared" si="3"/>
        <v/>
      </c>
      <c r="U238" s="275"/>
      <c r="V238" s="275"/>
      <c r="W238" s="275"/>
      <c r="X238" s="275" t="str">
        <f t="shared" si="4"/>
        <v/>
      </c>
      <c r="Y238" s="275"/>
      <c r="Z238" s="275"/>
      <c r="AA238" s="275"/>
      <c r="AB238" s="276" t="str">
        <f t="shared" si="0"/>
        <v/>
      </c>
      <c r="AC238" s="276"/>
      <c r="AD238" s="276"/>
      <c r="AE238" s="276"/>
      <c r="AJ238" s="169"/>
      <c r="AK238" s="96"/>
      <c r="AL238" s="260"/>
      <c r="AM238" s="259"/>
      <c r="AN238" s="259"/>
      <c r="AO238" s="259"/>
      <c r="AP238" s="259"/>
      <c r="AQ238" s="259"/>
      <c r="AR238" s="259"/>
      <c r="AS238" s="259"/>
      <c r="AT238" s="261"/>
      <c r="AU238" s="261"/>
      <c r="AV238" s="261"/>
      <c r="AW238" s="261"/>
      <c r="AX238" s="261"/>
      <c r="AY238" s="261"/>
      <c r="AZ238" s="261"/>
      <c r="BA238" s="262"/>
      <c r="BB238" s="242" t="str">
        <f t="shared" si="5"/>
        <v/>
      </c>
      <c r="BC238" s="243"/>
      <c r="BD238" s="243"/>
      <c r="BE238" s="243"/>
      <c r="BF238" s="249" t="str">
        <f t="shared" si="6"/>
        <v/>
      </c>
      <c r="BG238" s="249"/>
      <c r="BH238" s="249"/>
      <c r="BI238" s="250"/>
      <c r="BJ238" s="260"/>
      <c r="BK238" s="259"/>
      <c r="BL238" s="249" t="str">
        <f t="shared" si="7"/>
        <v/>
      </c>
      <c r="BM238" s="249"/>
      <c r="BN238" s="249"/>
      <c r="BO238" s="249"/>
      <c r="BP238" s="259"/>
      <c r="BQ238" s="259"/>
      <c r="BR238" s="249" t="str">
        <f t="shared" si="8"/>
        <v/>
      </c>
      <c r="BS238" s="249"/>
      <c r="BT238" s="249"/>
      <c r="BU238" s="249"/>
      <c r="BV238" s="259"/>
      <c r="BW238" s="259"/>
      <c r="BX238" s="249" t="str">
        <f t="shared" si="9"/>
        <v/>
      </c>
      <c r="BY238" s="249"/>
      <c r="BZ238" s="249"/>
      <c r="CA238" s="249"/>
      <c r="CB238" s="259"/>
      <c r="CC238" s="259"/>
      <c r="CD238" s="249" t="str">
        <f t="shared" si="10"/>
        <v/>
      </c>
      <c r="CE238" s="249"/>
      <c r="CF238" s="249"/>
      <c r="CG238" s="250"/>
      <c r="CH238" s="271" t="str">
        <f t="shared" si="11"/>
        <v/>
      </c>
      <c r="CI238" s="272"/>
      <c r="CJ238" s="272"/>
      <c r="CK238" s="272"/>
      <c r="CL238" s="272"/>
      <c r="CM238" s="272" t="str">
        <f t="shared" si="12"/>
        <v/>
      </c>
      <c r="CN238" s="272"/>
      <c r="CO238" s="272"/>
      <c r="CP238" s="272"/>
      <c r="CQ238" s="272"/>
      <c r="CR238" s="272" t="str">
        <f t="shared" si="13"/>
        <v/>
      </c>
      <c r="CS238" s="272"/>
      <c r="CT238" s="272"/>
      <c r="CU238" s="272"/>
      <c r="CV238" s="272"/>
      <c r="CW238" s="272" t="str">
        <f t="shared" si="14"/>
        <v/>
      </c>
      <c r="CX238" s="272"/>
      <c r="CY238" s="272"/>
      <c r="CZ238" s="272"/>
      <c r="DA238" s="272"/>
      <c r="DB238" s="272" t="str">
        <f t="shared" si="15"/>
        <v/>
      </c>
      <c r="DC238" s="272"/>
      <c r="DD238" s="272"/>
      <c r="DE238" s="272"/>
      <c r="DF238" s="272"/>
      <c r="DG238" s="272" t="str">
        <f t="shared" si="16"/>
        <v/>
      </c>
      <c r="DH238" s="272"/>
      <c r="DI238" s="272"/>
      <c r="DJ238" s="272"/>
      <c r="DK238" s="273"/>
      <c r="DL238" s="267" t="str">
        <f t="shared" si="17"/>
        <v/>
      </c>
      <c r="DM238" s="268"/>
      <c r="DN238" s="268"/>
      <c r="DO238" s="263" t="str">
        <f t="shared" si="1"/>
        <v/>
      </c>
      <c r="DP238" s="263" t="str">
        <f t="shared" si="20"/>
        <v/>
      </c>
      <c r="DQ238" s="263"/>
      <c r="DR238" s="263" t="str">
        <f t="shared" si="21"/>
        <v/>
      </c>
      <c r="DS238" s="263"/>
      <c r="DT238" s="263" t="str">
        <f t="shared" si="22"/>
        <v/>
      </c>
      <c r="DU238" s="198"/>
      <c r="DV238" s="198"/>
      <c r="DW238" s="198"/>
      <c r="DX238" s="198"/>
      <c r="DY238" s="198"/>
      <c r="DZ238" s="263" t="str">
        <f t="shared" si="18"/>
        <v/>
      </c>
      <c r="EA238" s="263"/>
      <c r="EB238" s="263"/>
      <c r="EC238" s="263" t="str">
        <f t="shared" si="19"/>
        <v/>
      </c>
      <c r="ED238" s="263"/>
      <c r="EE238" s="265"/>
    </row>
    <row r="239" spans="1:135" ht="12.75" customHeight="1" x14ac:dyDescent="0.2">
      <c r="A239" s="54"/>
      <c r="B239" s="54"/>
      <c r="C239" s="54"/>
      <c r="D239" s="274"/>
      <c r="E239" s="274"/>
      <c r="F239" s="274"/>
      <c r="G239" s="274"/>
      <c r="H239" s="274"/>
      <c r="I239" s="274"/>
      <c r="J239" s="274"/>
      <c r="K239" s="274"/>
      <c r="L239" s="274"/>
      <c r="M239" s="274"/>
      <c r="N239" s="274"/>
      <c r="O239" s="274"/>
      <c r="P239" s="275" t="str">
        <f t="shared" si="2"/>
        <v/>
      </c>
      <c r="Q239" s="275"/>
      <c r="R239" s="275"/>
      <c r="S239" s="275"/>
      <c r="T239" s="275" t="str">
        <f t="shared" si="3"/>
        <v/>
      </c>
      <c r="U239" s="275"/>
      <c r="V239" s="275"/>
      <c r="W239" s="275"/>
      <c r="X239" s="275" t="str">
        <f t="shared" si="4"/>
        <v/>
      </c>
      <c r="Y239" s="275"/>
      <c r="Z239" s="275"/>
      <c r="AA239" s="275"/>
      <c r="AB239" s="276" t="str">
        <f t="shared" si="0"/>
        <v/>
      </c>
      <c r="AC239" s="276"/>
      <c r="AD239" s="276"/>
      <c r="AE239" s="276"/>
      <c r="AJ239" s="169"/>
      <c r="AK239" s="96"/>
      <c r="AL239" s="260"/>
      <c r="AM239" s="259"/>
      <c r="AN239" s="259"/>
      <c r="AO239" s="259"/>
      <c r="AP239" s="259"/>
      <c r="AQ239" s="259"/>
      <c r="AR239" s="259"/>
      <c r="AS239" s="259"/>
      <c r="AT239" s="261"/>
      <c r="AU239" s="261"/>
      <c r="AV239" s="261"/>
      <c r="AW239" s="261"/>
      <c r="AX239" s="261"/>
      <c r="AY239" s="261"/>
      <c r="AZ239" s="261"/>
      <c r="BA239" s="262"/>
      <c r="BB239" s="242" t="str">
        <f t="shared" si="5"/>
        <v/>
      </c>
      <c r="BC239" s="243"/>
      <c r="BD239" s="243"/>
      <c r="BE239" s="243"/>
      <c r="BF239" s="249" t="str">
        <f t="shared" si="6"/>
        <v/>
      </c>
      <c r="BG239" s="249"/>
      <c r="BH239" s="249"/>
      <c r="BI239" s="250"/>
      <c r="BJ239" s="260"/>
      <c r="BK239" s="259"/>
      <c r="BL239" s="249" t="str">
        <f t="shared" si="7"/>
        <v/>
      </c>
      <c r="BM239" s="249"/>
      <c r="BN239" s="249"/>
      <c r="BO239" s="249"/>
      <c r="BP239" s="259"/>
      <c r="BQ239" s="259"/>
      <c r="BR239" s="249" t="str">
        <f t="shared" si="8"/>
        <v/>
      </c>
      <c r="BS239" s="249"/>
      <c r="BT239" s="249"/>
      <c r="BU239" s="249"/>
      <c r="BV239" s="259"/>
      <c r="BW239" s="259"/>
      <c r="BX239" s="249" t="str">
        <f t="shared" si="9"/>
        <v/>
      </c>
      <c r="BY239" s="249"/>
      <c r="BZ239" s="249"/>
      <c r="CA239" s="249"/>
      <c r="CB239" s="259"/>
      <c r="CC239" s="259"/>
      <c r="CD239" s="249" t="str">
        <f t="shared" si="10"/>
        <v/>
      </c>
      <c r="CE239" s="249"/>
      <c r="CF239" s="249"/>
      <c r="CG239" s="250"/>
      <c r="CH239" s="271" t="str">
        <f t="shared" si="11"/>
        <v/>
      </c>
      <c r="CI239" s="272"/>
      <c r="CJ239" s="272"/>
      <c r="CK239" s="272"/>
      <c r="CL239" s="272"/>
      <c r="CM239" s="272" t="str">
        <f t="shared" si="12"/>
        <v/>
      </c>
      <c r="CN239" s="272"/>
      <c r="CO239" s="272"/>
      <c r="CP239" s="272"/>
      <c r="CQ239" s="272"/>
      <c r="CR239" s="272" t="str">
        <f t="shared" si="13"/>
        <v/>
      </c>
      <c r="CS239" s="272"/>
      <c r="CT239" s="272"/>
      <c r="CU239" s="272"/>
      <c r="CV239" s="272"/>
      <c r="CW239" s="272" t="str">
        <f t="shared" si="14"/>
        <v/>
      </c>
      <c r="CX239" s="272"/>
      <c r="CY239" s="272"/>
      <c r="CZ239" s="272"/>
      <c r="DA239" s="272"/>
      <c r="DB239" s="272" t="str">
        <f t="shared" si="15"/>
        <v/>
      </c>
      <c r="DC239" s="272"/>
      <c r="DD239" s="272"/>
      <c r="DE239" s="272"/>
      <c r="DF239" s="272"/>
      <c r="DG239" s="272" t="str">
        <f t="shared" si="16"/>
        <v/>
      </c>
      <c r="DH239" s="272"/>
      <c r="DI239" s="272"/>
      <c r="DJ239" s="272"/>
      <c r="DK239" s="273"/>
      <c r="DL239" s="267" t="str">
        <f t="shared" si="17"/>
        <v/>
      </c>
      <c r="DM239" s="268"/>
      <c r="DN239" s="268"/>
      <c r="DO239" s="263" t="str">
        <f t="shared" si="1"/>
        <v/>
      </c>
      <c r="DP239" s="263" t="str">
        <f t="shared" si="20"/>
        <v/>
      </c>
      <c r="DQ239" s="263"/>
      <c r="DR239" s="263" t="str">
        <f t="shared" si="21"/>
        <v/>
      </c>
      <c r="DS239" s="263"/>
      <c r="DT239" s="263" t="str">
        <f t="shared" si="22"/>
        <v/>
      </c>
      <c r="DU239" s="198"/>
      <c r="DV239" s="198"/>
      <c r="DW239" s="198"/>
      <c r="DX239" s="198"/>
      <c r="DY239" s="198"/>
      <c r="DZ239" s="263" t="str">
        <f t="shared" si="18"/>
        <v/>
      </c>
      <c r="EA239" s="263"/>
      <c r="EB239" s="263"/>
      <c r="EC239" s="263" t="str">
        <f t="shared" si="19"/>
        <v/>
      </c>
      <c r="ED239" s="263"/>
      <c r="EE239" s="265"/>
    </row>
    <row r="240" spans="1:135" ht="12.75" customHeight="1" x14ac:dyDescent="0.2">
      <c r="A240" s="54"/>
      <c r="B240" s="54"/>
      <c r="C240" s="54"/>
      <c r="D240" s="274"/>
      <c r="E240" s="274"/>
      <c r="F240" s="274"/>
      <c r="G240" s="274"/>
      <c r="H240" s="274"/>
      <c r="I240" s="274"/>
      <c r="J240" s="274"/>
      <c r="K240" s="274"/>
      <c r="L240" s="274"/>
      <c r="M240" s="274"/>
      <c r="N240" s="274"/>
      <c r="O240" s="274"/>
      <c r="P240" s="275" t="str">
        <f t="shared" si="2"/>
        <v/>
      </c>
      <c r="Q240" s="275"/>
      <c r="R240" s="275"/>
      <c r="S240" s="275"/>
      <c r="T240" s="275" t="str">
        <f t="shared" si="3"/>
        <v/>
      </c>
      <c r="U240" s="275"/>
      <c r="V240" s="275"/>
      <c r="W240" s="275"/>
      <c r="X240" s="275" t="str">
        <f t="shared" si="4"/>
        <v/>
      </c>
      <c r="Y240" s="275"/>
      <c r="Z240" s="275"/>
      <c r="AA240" s="275"/>
      <c r="AB240" s="276" t="str">
        <f t="shared" si="0"/>
        <v/>
      </c>
      <c r="AC240" s="276"/>
      <c r="AD240" s="276"/>
      <c r="AE240" s="276"/>
      <c r="AJ240" s="169"/>
      <c r="AK240" s="96"/>
      <c r="AL240" s="260"/>
      <c r="AM240" s="259"/>
      <c r="AN240" s="259"/>
      <c r="AO240" s="259"/>
      <c r="AP240" s="259"/>
      <c r="AQ240" s="259"/>
      <c r="AR240" s="259"/>
      <c r="AS240" s="259"/>
      <c r="AT240" s="261"/>
      <c r="AU240" s="261"/>
      <c r="AV240" s="261"/>
      <c r="AW240" s="261"/>
      <c r="AX240" s="261"/>
      <c r="AY240" s="261"/>
      <c r="AZ240" s="261"/>
      <c r="BA240" s="262"/>
      <c r="BB240" s="242" t="str">
        <f t="shared" si="5"/>
        <v/>
      </c>
      <c r="BC240" s="243"/>
      <c r="BD240" s="243"/>
      <c r="BE240" s="243"/>
      <c r="BF240" s="249" t="str">
        <f t="shared" si="6"/>
        <v/>
      </c>
      <c r="BG240" s="249"/>
      <c r="BH240" s="249"/>
      <c r="BI240" s="250"/>
      <c r="BJ240" s="260"/>
      <c r="BK240" s="259"/>
      <c r="BL240" s="249" t="str">
        <f t="shared" si="7"/>
        <v/>
      </c>
      <c r="BM240" s="249"/>
      <c r="BN240" s="249"/>
      <c r="BO240" s="249"/>
      <c r="BP240" s="259"/>
      <c r="BQ240" s="259"/>
      <c r="BR240" s="249" t="str">
        <f t="shared" si="8"/>
        <v/>
      </c>
      <c r="BS240" s="249"/>
      <c r="BT240" s="249"/>
      <c r="BU240" s="249"/>
      <c r="BV240" s="259"/>
      <c r="BW240" s="259"/>
      <c r="BX240" s="249" t="str">
        <f t="shared" si="9"/>
        <v/>
      </c>
      <c r="BY240" s="249"/>
      <c r="BZ240" s="249"/>
      <c r="CA240" s="249"/>
      <c r="CB240" s="259"/>
      <c r="CC240" s="259"/>
      <c r="CD240" s="249" t="str">
        <f t="shared" si="10"/>
        <v/>
      </c>
      <c r="CE240" s="249"/>
      <c r="CF240" s="249"/>
      <c r="CG240" s="250"/>
      <c r="CH240" s="271" t="str">
        <f t="shared" si="11"/>
        <v/>
      </c>
      <c r="CI240" s="272"/>
      <c r="CJ240" s="272"/>
      <c r="CK240" s="272"/>
      <c r="CL240" s="272"/>
      <c r="CM240" s="272" t="str">
        <f t="shared" si="12"/>
        <v/>
      </c>
      <c r="CN240" s="272"/>
      <c r="CO240" s="272"/>
      <c r="CP240" s="272"/>
      <c r="CQ240" s="272"/>
      <c r="CR240" s="272" t="str">
        <f t="shared" si="13"/>
        <v/>
      </c>
      <c r="CS240" s="272"/>
      <c r="CT240" s="272"/>
      <c r="CU240" s="272"/>
      <c r="CV240" s="272"/>
      <c r="CW240" s="272" t="str">
        <f t="shared" si="14"/>
        <v/>
      </c>
      <c r="CX240" s="272"/>
      <c r="CY240" s="272"/>
      <c r="CZ240" s="272"/>
      <c r="DA240" s="272"/>
      <c r="DB240" s="272" t="str">
        <f t="shared" si="15"/>
        <v/>
      </c>
      <c r="DC240" s="272"/>
      <c r="DD240" s="272"/>
      <c r="DE240" s="272"/>
      <c r="DF240" s="272"/>
      <c r="DG240" s="272" t="str">
        <f t="shared" si="16"/>
        <v/>
      </c>
      <c r="DH240" s="272"/>
      <c r="DI240" s="272"/>
      <c r="DJ240" s="272"/>
      <c r="DK240" s="273"/>
      <c r="DL240" s="267" t="str">
        <f t="shared" si="17"/>
        <v/>
      </c>
      <c r="DM240" s="268"/>
      <c r="DN240" s="268"/>
      <c r="DO240" s="263" t="str">
        <f t="shared" si="1"/>
        <v/>
      </c>
      <c r="DP240" s="263" t="str">
        <f t="shared" si="20"/>
        <v/>
      </c>
      <c r="DQ240" s="263"/>
      <c r="DR240" s="263" t="str">
        <f t="shared" si="21"/>
        <v/>
      </c>
      <c r="DS240" s="263"/>
      <c r="DT240" s="263" t="str">
        <f t="shared" si="22"/>
        <v/>
      </c>
      <c r="DU240" s="198"/>
      <c r="DV240" s="198"/>
      <c r="DW240" s="198"/>
      <c r="DX240" s="198"/>
      <c r="DY240" s="198"/>
      <c r="DZ240" s="263" t="str">
        <f t="shared" si="18"/>
        <v/>
      </c>
      <c r="EA240" s="263"/>
      <c r="EB240" s="263"/>
      <c r="EC240" s="263" t="str">
        <f t="shared" si="19"/>
        <v/>
      </c>
      <c r="ED240" s="263"/>
      <c r="EE240" s="265"/>
    </row>
    <row r="241" spans="1:135" ht="12.75" customHeight="1" x14ac:dyDescent="0.2">
      <c r="A241" s="54"/>
      <c r="B241" s="54"/>
      <c r="C241" s="54"/>
      <c r="D241" s="274"/>
      <c r="E241" s="274"/>
      <c r="F241" s="274"/>
      <c r="G241" s="274"/>
      <c r="H241" s="274"/>
      <c r="I241" s="274"/>
      <c r="J241" s="274"/>
      <c r="K241" s="274"/>
      <c r="L241" s="274"/>
      <c r="M241" s="274"/>
      <c r="N241" s="274"/>
      <c r="O241" s="274"/>
      <c r="P241" s="275" t="str">
        <f t="shared" si="2"/>
        <v/>
      </c>
      <c r="Q241" s="275"/>
      <c r="R241" s="275"/>
      <c r="S241" s="275"/>
      <c r="T241" s="275" t="str">
        <f t="shared" si="3"/>
        <v/>
      </c>
      <c r="U241" s="275"/>
      <c r="V241" s="275"/>
      <c r="W241" s="275"/>
      <c r="X241" s="275" t="str">
        <f t="shared" si="4"/>
        <v/>
      </c>
      <c r="Y241" s="275"/>
      <c r="Z241" s="275"/>
      <c r="AA241" s="275"/>
      <c r="AB241" s="276" t="str">
        <f t="shared" si="0"/>
        <v/>
      </c>
      <c r="AC241" s="276"/>
      <c r="AD241" s="276"/>
      <c r="AE241" s="276"/>
      <c r="AJ241" s="169"/>
      <c r="AK241" s="96"/>
      <c r="AL241" s="260"/>
      <c r="AM241" s="259"/>
      <c r="AN241" s="259"/>
      <c r="AO241" s="259"/>
      <c r="AP241" s="259"/>
      <c r="AQ241" s="259"/>
      <c r="AR241" s="259"/>
      <c r="AS241" s="259"/>
      <c r="AT241" s="261"/>
      <c r="AU241" s="261"/>
      <c r="AV241" s="261"/>
      <c r="AW241" s="261"/>
      <c r="AX241" s="261"/>
      <c r="AY241" s="261"/>
      <c r="AZ241" s="261"/>
      <c r="BA241" s="262"/>
      <c r="BB241" s="242" t="str">
        <f t="shared" si="5"/>
        <v/>
      </c>
      <c r="BC241" s="243"/>
      <c r="BD241" s="243"/>
      <c r="BE241" s="243"/>
      <c r="BF241" s="249" t="str">
        <f t="shared" si="6"/>
        <v/>
      </c>
      <c r="BG241" s="249"/>
      <c r="BH241" s="249"/>
      <c r="BI241" s="250"/>
      <c r="BJ241" s="260"/>
      <c r="BK241" s="259"/>
      <c r="BL241" s="249" t="str">
        <f t="shared" si="7"/>
        <v/>
      </c>
      <c r="BM241" s="249"/>
      <c r="BN241" s="249"/>
      <c r="BO241" s="249"/>
      <c r="BP241" s="259"/>
      <c r="BQ241" s="259"/>
      <c r="BR241" s="249" t="str">
        <f t="shared" si="8"/>
        <v/>
      </c>
      <c r="BS241" s="249"/>
      <c r="BT241" s="249"/>
      <c r="BU241" s="249"/>
      <c r="BV241" s="259"/>
      <c r="BW241" s="259"/>
      <c r="BX241" s="249" t="str">
        <f t="shared" si="9"/>
        <v/>
      </c>
      <c r="BY241" s="249"/>
      <c r="BZ241" s="249"/>
      <c r="CA241" s="249"/>
      <c r="CB241" s="259"/>
      <c r="CC241" s="259"/>
      <c r="CD241" s="249" t="str">
        <f t="shared" si="10"/>
        <v/>
      </c>
      <c r="CE241" s="249"/>
      <c r="CF241" s="249"/>
      <c r="CG241" s="250"/>
      <c r="CH241" s="271" t="str">
        <f t="shared" si="11"/>
        <v/>
      </c>
      <c r="CI241" s="272"/>
      <c r="CJ241" s="272"/>
      <c r="CK241" s="272"/>
      <c r="CL241" s="272"/>
      <c r="CM241" s="272" t="str">
        <f t="shared" si="12"/>
        <v/>
      </c>
      <c r="CN241" s="272"/>
      <c r="CO241" s="272"/>
      <c r="CP241" s="272"/>
      <c r="CQ241" s="272"/>
      <c r="CR241" s="272" t="str">
        <f t="shared" si="13"/>
        <v/>
      </c>
      <c r="CS241" s="272"/>
      <c r="CT241" s="272"/>
      <c r="CU241" s="272"/>
      <c r="CV241" s="272"/>
      <c r="CW241" s="272" t="str">
        <f t="shared" si="14"/>
        <v/>
      </c>
      <c r="CX241" s="272"/>
      <c r="CY241" s="272"/>
      <c r="CZ241" s="272"/>
      <c r="DA241" s="272"/>
      <c r="DB241" s="272" t="str">
        <f t="shared" si="15"/>
        <v/>
      </c>
      <c r="DC241" s="272"/>
      <c r="DD241" s="272"/>
      <c r="DE241" s="272"/>
      <c r="DF241" s="272"/>
      <c r="DG241" s="272" t="str">
        <f t="shared" si="16"/>
        <v/>
      </c>
      <c r="DH241" s="272"/>
      <c r="DI241" s="272"/>
      <c r="DJ241" s="272"/>
      <c r="DK241" s="273"/>
      <c r="DL241" s="267" t="str">
        <f t="shared" si="17"/>
        <v/>
      </c>
      <c r="DM241" s="268"/>
      <c r="DN241" s="268"/>
      <c r="DO241" s="263" t="str">
        <f t="shared" si="1"/>
        <v/>
      </c>
      <c r="DP241" s="263" t="str">
        <f t="shared" si="20"/>
        <v/>
      </c>
      <c r="DQ241" s="263"/>
      <c r="DR241" s="263" t="str">
        <f t="shared" si="21"/>
        <v/>
      </c>
      <c r="DS241" s="263"/>
      <c r="DT241" s="263" t="str">
        <f t="shared" si="22"/>
        <v/>
      </c>
      <c r="DU241" s="198"/>
      <c r="DV241" s="198"/>
      <c r="DW241" s="198"/>
      <c r="DX241" s="198"/>
      <c r="DY241" s="198"/>
      <c r="DZ241" s="263" t="str">
        <f t="shared" si="18"/>
        <v/>
      </c>
      <c r="EA241" s="263"/>
      <c r="EB241" s="263"/>
      <c r="EC241" s="263" t="str">
        <f t="shared" si="19"/>
        <v/>
      </c>
      <c r="ED241" s="263"/>
      <c r="EE241" s="265"/>
    </row>
    <row r="242" spans="1:135" ht="12.75" customHeight="1" x14ac:dyDescent="0.2">
      <c r="A242" s="54"/>
      <c r="B242" s="54"/>
      <c r="C242" s="54"/>
      <c r="D242" s="274"/>
      <c r="E242" s="274"/>
      <c r="F242" s="274"/>
      <c r="G242" s="274"/>
      <c r="H242" s="274"/>
      <c r="I242" s="274"/>
      <c r="J242" s="274"/>
      <c r="K242" s="274"/>
      <c r="L242" s="274"/>
      <c r="M242" s="274"/>
      <c r="N242" s="274"/>
      <c r="O242" s="274"/>
      <c r="P242" s="275" t="str">
        <f t="shared" si="2"/>
        <v/>
      </c>
      <c r="Q242" s="275"/>
      <c r="R242" s="275"/>
      <c r="S242" s="275"/>
      <c r="T242" s="275" t="str">
        <f t="shared" si="3"/>
        <v/>
      </c>
      <c r="U242" s="275"/>
      <c r="V242" s="275"/>
      <c r="W242" s="275"/>
      <c r="X242" s="275" t="str">
        <f t="shared" si="4"/>
        <v/>
      </c>
      <c r="Y242" s="275"/>
      <c r="Z242" s="275"/>
      <c r="AA242" s="275"/>
      <c r="AB242" s="276" t="str">
        <f t="shared" si="0"/>
        <v/>
      </c>
      <c r="AC242" s="276"/>
      <c r="AD242" s="276"/>
      <c r="AE242" s="276"/>
      <c r="AJ242" s="169"/>
      <c r="AK242" s="96"/>
      <c r="AL242" s="260"/>
      <c r="AM242" s="259"/>
      <c r="AN242" s="259"/>
      <c r="AO242" s="259"/>
      <c r="AP242" s="259"/>
      <c r="AQ242" s="259"/>
      <c r="AR242" s="259"/>
      <c r="AS242" s="259"/>
      <c r="AT242" s="261"/>
      <c r="AU242" s="261"/>
      <c r="AV242" s="261"/>
      <c r="AW242" s="261"/>
      <c r="AX242" s="261"/>
      <c r="AY242" s="261"/>
      <c r="AZ242" s="261"/>
      <c r="BA242" s="262"/>
      <c r="BB242" s="242" t="str">
        <f t="shared" si="5"/>
        <v/>
      </c>
      <c r="BC242" s="243"/>
      <c r="BD242" s="243"/>
      <c r="BE242" s="243"/>
      <c r="BF242" s="249" t="str">
        <f t="shared" si="6"/>
        <v/>
      </c>
      <c r="BG242" s="249"/>
      <c r="BH242" s="249"/>
      <c r="BI242" s="250"/>
      <c r="BJ242" s="260"/>
      <c r="BK242" s="259"/>
      <c r="BL242" s="249" t="str">
        <f t="shared" si="7"/>
        <v/>
      </c>
      <c r="BM242" s="249"/>
      <c r="BN242" s="249"/>
      <c r="BO242" s="249"/>
      <c r="BP242" s="259"/>
      <c r="BQ242" s="259"/>
      <c r="BR242" s="249" t="str">
        <f t="shared" si="8"/>
        <v/>
      </c>
      <c r="BS242" s="249"/>
      <c r="BT242" s="249"/>
      <c r="BU242" s="249"/>
      <c r="BV242" s="259"/>
      <c r="BW242" s="259"/>
      <c r="BX242" s="249" t="str">
        <f t="shared" si="9"/>
        <v/>
      </c>
      <c r="BY242" s="249"/>
      <c r="BZ242" s="249"/>
      <c r="CA242" s="249"/>
      <c r="CB242" s="259"/>
      <c r="CC242" s="259"/>
      <c r="CD242" s="249" t="str">
        <f t="shared" si="10"/>
        <v/>
      </c>
      <c r="CE242" s="249"/>
      <c r="CF242" s="249"/>
      <c r="CG242" s="250"/>
      <c r="CH242" s="271" t="str">
        <f t="shared" si="11"/>
        <v/>
      </c>
      <c r="CI242" s="272"/>
      <c r="CJ242" s="272"/>
      <c r="CK242" s="272"/>
      <c r="CL242" s="272"/>
      <c r="CM242" s="272" t="str">
        <f t="shared" si="12"/>
        <v/>
      </c>
      <c r="CN242" s="272"/>
      <c r="CO242" s="272"/>
      <c r="CP242" s="272"/>
      <c r="CQ242" s="272"/>
      <c r="CR242" s="272" t="str">
        <f t="shared" si="13"/>
        <v/>
      </c>
      <c r="CS242" s="272"/>
      <c r="CT242" s="272"/>
      <c r="CU242" s="272"/>
      <c r="CV242" s="272"/>
      <c r="CW242" s="272" t="str">
        <f t="shared" si="14"/>
        <v/>
      </c>
      <c r="CX242" s="272"/>
      <c r="CY242" s="272"/>
      <c r="CZ242" s="272"/>
      <c r="DA242" s="272"/>
      <c r="DB242" s="272" t="str">
        <f t="shared" si="15"/>
        <v/>
      </c>
      <c r="DC242" s="272"/>
      <c r="DD242" s="272"/>
      <c r="DE242" s="272"/>
      <c r="DF242" s="272"/>
      <c r="DG242" s="272" t="str">
        <f t="shared" si="16"/>
        <v/>
      </c>
      <c r="DH242" s="272"/>
      <c r="DI242" s="272"/>
      <c r="DJ242" s="272"/>
      <c r="DK242" s="273"/>
      <c r="DL242" s="267" t="str">
        <f t="shared" si="17"/>
        <v/>
      </c>
      <c r="DM242" s="268"/>
      <c r="DN242" s="268"/>
      <c r="DO242" s="263" t="str">
        <f t="shared" si="1"/>
        <v/>
      </c>
      <c r="DP242" s="263" t="str">
        <f t="shared" si="20"/>
        <v/>
      </c>
      <c r="DQ242" s="263"/>
      <c r="DR242" s="263" t="str">
        <f t="shared" si="21"/>
        <v/>
      </c>
      <c r="DS242" s="263"/>
      <c r="DT242" s="263" t="str">
        <f t="shared" si="22"/>
        <v/>
      </c>
      <c r="DU242" s="198"/>
      <c r="DV242" s="198"/>
      <c r="DW242" s="198"/>
      <c r="DX242" s="198"/>
      <c r="DY242" s="198"/>
      <c r="DZ242" s="263" t="str">
        <f t="shared" si="18"/>
        <v/>
      </c>
      <c r="EA242" s="263"/>
      <c r="EB242" s="263"/>
      <c r="EC242" s="263" t="str">
        <f t="shared" si="19"/>
        <v/>
      </c>
      <c r="ED242" s="263"/>
      <c r="EE242" s="265"/>
    </row>
    <row r="243" spans="1:135" ht="12.75" customHeight="1" x14ac:dyDescent="0.2">
      <c r="A243" s="54"/>
      <c r="B243" s="54"/>
      <c r="C243" s="54"/>
      <c r="D243" s="274"/>
      <c r="E243" s="274"/>
      <c r="F243" s="274"/>
      <c r="G243" s="274"/>
      <c r="H243" s="274"/>
      <c r="I243" s="274"/>
      <c r="J243" s="274"/>
      <c r="K243" s="274"/>
      <c r="L243" s="274"/>
      <c r="M243" s="274"/>
      <c r="N243" s="274"/>
      <c r="O243" s="274"/>
      <c r="P243" s="275" t="str">
        <f t="shared" si="2"/>
        <v/>
      </c>
      <c r="Q243" s="275"/>
      <c r="R243" s="275"/>
      <c r="S243" s="275"/>
      <c r="T243" s="275" t="str">
        <f t="shared" si="3"/>
        <v/>
      </c>
      <c r="U243" s="275"/>
      <c r="V243" s="275"/>
      <c r="W243" s="275"/>
      <c r="X243" s="275" t="str">
        <f t="shared" si="4"/>
        <v/>
      </c>
      <c r="Y243" s="275"/>
      <c r="Z243" s="275"/>
      <c r="AA243" s="275"/>
      <c r="AB243" s="276" t="str">
        <f t="shared" si="0"/>
        <v/>
      </c>
      <c r="AC243" s="276"/>
      <c r="AD243" s="276"/>
      <c r="AE243" s="276"/>
      <c r="AJ243" s="169"/>
      <c r="AK243" s="96"/>
      <c r="AL243" s="260"/>
      <c r="AM243" s="259"/>
      <c r="AN243" s="259"/>
      <c r="AO243" s="259"/>
      <c r="AP243" s="259"/>
      <c r="AQ243" s="259"/>
      <c r="AR243" s="259"/>
      <c r="AS243" s="259"/>
      <c r="AT243" s="261"/>
      <c r="AU243" s="261"/>
      <c r="AV243" s="261"/>
      <c r="AW243" s="261"/>
      <c r="AX243" s="261"/>
      <c r="AY243" s="261"/>
      <c r="AZ243" s="261"/>
      <c r="BA243" s="262"/>
      <c r="BB243" s="242" t="str">
        <f t="shared" si="5"/>
        <v/>
      </c>
      <c r="BC243" s="243"/>
      <c r="BD243" s="243"/>
      <c r="BE243" s="243"/>
      <c r="BF243" s="249" t="str">
        <f t="shared" si="6"/>
        <v/>
      </c>
      <c r="BG243" s="249"/>
      <c r="BH243" s="249"/>
      <c r="BI243" s="250"/>
      <c r="BJ243" s="260"/>
      <c r="BK243" s="259"/>
      <c r="BL243" s="249" t="str">
        <f t="shared" si="7"/>
        <v/>
      </c>
      <c r="BM243" s="249"/>
      <c r="BN243" s="249"/>
      <c r="BO243" s="249"/>
      <c r="BP243" s="259"/>
      <c r="BQ243" s="259"/>
      <c r="BR243" s="249" t="str">
        <f t="shared" si="8"/>
        <v/>
      </c>
      <c r="BS243" s="249"/>
      <c r="BT243" s="249"/>
      <c r="BU243" s="249"/>
      <c r="BV243" s="259"/>
      <c r="BW243" s="259"/>
      <c r="BX243" s="249" t="str">
        <f t="shared" si="9"/>
        <v/>
      </c>
      <c r="BY243" s="249"/>
      <c r="BZ243" s="249"/>
      <c r="CA243" s="249"/>
      <c r="CB243" s="259"/>
      <c r="CC243" s="259"/>
      <c r="CD243" s="249" t="str">
        <f t="shared" si="10"/>
        <v/>
      </c>
      <c r="CE243" s="249"/>
      <c r="CF243" s="249"/>
      <c r="CG243" s="250"/>
      <c r="CH243" s="271" t="str">
        <f t="shared" si="11"/>
        <v/>
      </c>
      <c r="CI243" s="272"/>
      <c r="CJ243" s="272"/>
      <c r="CK243" s="272"/>
      <c r="CL243" s="272"/>
      <c r="CM243" s="272" t="str">
        <f t="shared" si="12"/>
        <v/>
      </c>
      <c r="CN243" s="272"/>
      <c r="CO243" s="272"/>
      <c r="CP243" s="272"/>
      <c r="CQ243" s="272"/>
      <c r="CR243" s="272" t="str">
        <f t="shared" si="13"/>
        <v/>
      </c>
      <c r="CS243" s="272"/>
      <c r="CT243" s="272"/>
      <c r="CU243" s="272"/>
      <c r="CV243" s="272"/>
      <c r="CW243" s="272" t="str">
        <f t="shared" si="14"/>
        <v/>
      </c>
      <c r="CX243" s="272"/>
      <c r="CY243" s="272"/>
      <c r="CZ243" s="272"/>
      <c r="DA243" s="272"/>
      <c r="DB243" s="272" t="str">
        <f t="shared" si="15"/>
        <v/>
      </c>
      <c r="DC243" s="272"/>
      <c r="DD243" s="272"/>
      <c r="DE243" s="272"/>
      <c r="DF243" s="272"/>
      <c r="DG243" s="272" t="str">
        <f t="shared" si="16"/>
        <v/>
      </c>
      <c r="DH243" s="272"/>
      <c r="DI243" s="272"/>
      <c r="DJ243" s="272"/>
      <c r="DK243" s="273"/>
      <c r="DL243" s="267" t="str">
        <f t="shared" si="17"/>
        <v/>
      </c>
      <c r="DM243" s="268"/>
      <c r="DN243" s="268"/>
      <c r="DO243" s="263" t="str">
        <f t="shared" si="1"/>
        <v/>
      </c>
      <c r="DP243" s="263" t="str">
        <f t="shared" si="20"/>
        <v/>
      </c>
      <c r="DQ243" s="263"/>
      <c r="DR243" s="263" t="str">
        <f t="shared" si="21"/>
        <v/>
      </c>
      <c r="DS243" s="263"/>
      <c r="DT243" s="263" t="str">
        <f t="shared" si="22"/>
        <v/>
      </c>
      <c r="DU243" s="198"/>
      <c r="DV243" s="198"/>
      <c r="DW243" s="198"/>
      <c r="DX243" s="198"/>
      <c r="DY243" s="198"/>
      <c r="DZ243" s="263" t="str">
        <f t="shared" si="18"/>
        <v/>
      </c>
      <c r="EA243" s="263"/>
      <c r="EB243" s="263"/>
      <c r="EC243" s="263" t="str">
        <f t="shared" si="19"/>
        <v/>
      </c>
      <c r="ED243" s="263"/>
      <c r="EE243" s="265"/>
    </row>
    <row r="244" spans="1:135" ht="12.75" customHeight="1" x14ac:dyDescent="0.2">
      <c r="A244" s="54"/>
      <c r="B244" s="54"/>
      <c r="C244" s="54"/>
      <c r="D244" s="274"/>
      <c r="E244" s="274"/>
      <c r="F244" s="274"/>
      <c r="G244" s="274"/>
      <c r="H244" s="274"/>
      <c r="I244" s="274"/>
      <c r="J244" s="274"/>
      <c r="K244" s="274"/>
      <c r="L244" s="274"/>
      <c r="M244" s="274"/>
      <c r="N244" s="274"/>
      <c r="O244" s="274"/>
      <c r="P244" s="275" t="str">
        <f t="shared" si="2"/>
        <v/>
      </c>
      <c r="Q244" s="275"/>
      <c r="R244" s="275"/>
      <c r="S244" s="275"/>
      <c r="T244" s="275" t="str">
        <f t="shared" si="3"/>
        <v/>
      </c>
      <c r="U244" s="275"/>
      <c r="V244" s="275"/>
      <c r="W244" s="275"/>
      <c r="X244" s="275" t="str">
        <f t="shared" si="4"/>
        <v/>
      </c>
      <c r="Y244" s="275"/>
      <c r="Z244" s="275"/>
      <c r="AA244" s="275"/>
      <c r="AB244" s="276" t="str">
        <f t="shared" si="0"/>
        <v/>
      </c>
      <c r="AC244" s="276"/>
      <c r="AD244" s="276"/>
      <c r="AE244" s="276"/>
      <c r="AJ244" s="169"/>
      <c r="AK244" s="96"/>
      <c r="AL244" s="260"/>
      <c r="AM244" s="259"/>
      <c r="AN244" s="259"/>
      <c r="AO244" s="259"/>
      <c r="AP244" s="259"/>
      <c r="AQ244" s="259"/>
      <c r="AR244" s="259"/>
      <c r="AS244" s="259"/>
      <c r="AT244" s="261"/>
      <c r="AU244" s="261"/>
      <c r="AV244" s="261"/>
      <c r="AW244" s="261"/>
      <c r="AX244" s="261"/>
      <c r="AY244" s="261"/>
      <c r="AZ244" s="261"/>
      <c r="BA244" s="262"/>
      <c r="BB244" s="242" t="str">
        <f t="shared" si="5"/>
        <v/>
      </c>
      <c r="BC244" s="243"/>
      <c r="BD244" s="243"/>
      <c r="BE244" s="243"/>
      <c r="BF244" s="249" t="str">
        <f t="shared" si="6"/>
        <v/>
      </c>
      <c r="BG244" s="249"/>
      <c r="BH244" s="249"/>
      <c r="BI244" s="250"/>
      <c r="BJ244" s="260"/>
      <c r="BK244" s="259"/>
      <c r="BL244" s="249" t="str">
        <f t="shared" si="7"/>
        <v/>
      </c>
      <c r="BM244" s="249"/>
      <c r="BN244" s="249"/>
      <c r="BO244" s="249"/>
      <c r="BP244" s="259"/>
      <c r="BQ244" s="259"/>
      <c r="BR244" s="249" t="str">
        <f t="shared" si="8"/>
        <v/>
      </c>
      <c r="BS244" s="249"/>
      <c r="BT244" s="249"/>
      <c r="BU244" s="249"/>
      <c r="BV244" s="259"/>
      <c r="BW244" s="259"/>
      <c r="BX244" s="249" t="str">
        <f t="shared" si="9"/>
        <v/>
      </c>
      <c r="BY244" s="249"/>
      <c r="BZ244" s="249"/>
      <c r="CA244" s="249"/>
      <c r="CB244" s="259"/>
      <c r="CC244" s="259"/>
      <c r="CD244" s="249" t="str">
        <f t="shared" si="10"/>
        <v/>
      </c>
      <c r="CE244" s="249"/>
      <c r="CF244" s="249"/>
      <c r="CG244" s="250"/>
      <c r="CH244" s="271" t="str">
        <f t="shared" si="11"/>
        <v/>
      </c>
      <c r="CI244" s="272"/>
      <c r="CJ244" s="272"/>
      <c r="CK244" s="272"/>
      <c r="CL244" s="272"/>
      <c r="CM244" s="272" t="str">
        <f t="shared" si="12"/>
        <v/>
      </c>
      <c r="CN244" s="272"/>
      <c r="CO244" s="272"/>
      <c r="CP244" s="272"/>
      <c r="CQ244" s="272"/>
      <c r="CR244" s="272" t="str">
        <f t="shared" si="13"/>
        <v/>
      </c>
      <c r="CS244" s="272"/>
      <c r="CT244" s="272"/>
      <c r="CU244" s="272"/>
      <c r="CV244" s="272"/>
      <c r="CW244" s="272" t="str">
        <f t="shared" si="14"/>
        <v/>
      </c>
      <c r="CX244" s="272"/>
      <c r="CY244" s="272"/>
      <c r="CZ244" s="272"/>
      <c r="DA244" s="272"/>
      <c r="DB244" s="272" t="str">
        <f t="shared" si="15"/>
        <v/>
      </c>
      <c r="DC244" s="272"/>
      <c r="DD244" s="272"/>
      <c r="DE244" s="272"/>
      <c r="DF244" s="272"/>
      <c r="DG244" s="272" t="str">
        <f t="shared" si="16"/>
        <v/>
      </c>
      <c r="DH244" s="272"/>
      <c r="DI244" s="272"/>
      <c r="DJ244" s="272"/>
      <c r="DK244" s="273"/>
      <c r="DL244" s="267" t="str">
        <f t="shared" si="17"/>
        <v/>
      </c>
      <c r="DM244" s="268"/>
      <c r="DN244" s="268"/>
      <c r="DO244" s="263" t="str">
        <f t="shared" si="1"/>
        <v/>
      </c>
      <c r="DP244" s="263" t="str">
        <f t="shared" si="20"/>
        <v/>
      </c>
      <c r="DQ244" s="263"/>
      <c r="DR244" s="263" t="str">
        <f t="shared" si="21"/>
        <v/>
      </c>
      <c r="DS244" s="263"/>
      <c r="DT244" s="263" t="str">
        <f t="shared" si="22"/>
        <v/>
      </c>
      <c r="DU244" s="198"/>
      <c r="DV244" s="198"/>
      <c r="DW244" s="198"/>
      <c r="DX244" s="198"/>
      <c r="DY244" s="198"/>
      <c r="DZ244" s="263" t="str">
        <f t="shared" si="18"/>
        <v/>
      </c>
      <c r="EA244" s="263"/>
      <c r="EB244" s="263"/>
      <c r="EC244" s="263" t="str">
        <f t="shared" si="19"/>
        <v/>
      </c>
      <c r="ED244" s="263"/>
      <c r="EE244" s="265"/>
    </row>
    <row r="245" spans="1:135" ht="12.75" customHeight="1" x14ac:dyDescent="0.2">
      <c r="A245" s="54"/>
      <c r="B245" s="54"/>
      <c r="C245" s="54"/>
      <c r="D245" s="274"/>
      <c r="E245" s="274"/>
      <c r="F245" s="274"/>
      <c r="G245" s="274"/>
      <c r="H245" s="274"/>
      <c r="I245" s="274"/>
      <c r="J245" s="274"/>
      <c r="K245" s="274"/>
      <c r="L245" s="274"/>
      <c r="M245" s="274"/>
      <c r="N245" s="274"/>
      <c r="O245" s="274"/>
      <c r="P245" s="275" t="str">
        <f t="shared" si="2"/>
        <v/>
      </c>
      <c r="Q245" s="275"/>
      <c r="R245" s="275"/>
      <c r="S245" s="275"/>
      <c r="T245" s="275" t="str">
        <f t="shared" si="3"/>
        <v/>
      </c>
      <c r="U245" s="275"/>
      <c r="V245" s="275"/>
      <c r="W245" s="275"/>
      <c r="X245" s="275" t="str">
        <f t="shared" si="4"/>
        <v/>
      </c>
      <c r="Y245" s="275"/>
      <c r="Z245" s="275"/>
      <c r="AA245" s="275"/>
      <c r="AB245" s="276" t="str">
        <f t="shared" ref="AB245:AB276" si="23">IF($D245="","",IFERROR((($T245^2)+($X245^2))^(0.5),""))</f>
        <v/>
      </c>
      <c r="AC245" s="276"/>
      <c r="AD245" s="276"/>
      <c r="AE245" s="276"/>
      <c r="AJ245" s="169"/>
      <c r="AK245" s="96"/>
      <c r="AL245" s="260"/>
      <c r="AM245" s="259"/>
      <c r="AN245" s="259"/>
      <c r="AO245" s="259"/>
      <c r="AP245" s="259"/>
      <c r="AQ245" s="259"/>
      <c r="AR245" s="259"/>
      <c r="AS245" s="259"/>
      <c r="AT245" s="261"/>
      <c r="AU245" s="261"/>
      <c r="AV245" s="261"/>
      <c r="AW245" s="261"/>
      <c r="AX245" s="261"/>
      <c r="AY245" s="261"/>
      <c r="AZ245" s="261"/>
      <c r="BA245" s="262"/>
      <c r="BB245" s="242" t="str">
        <f t="shared" si="5"/>
        <v/>
      </c>
      <c r="BC245" s="243"/>
      <c r="BD245" s="243"/>
      <c r="BE245" s="243"/>
      <c r="BF245" s="249" t="str">
        <f t="shared" si="6"/>
        <v/>
      </c>
      <c r="BG245" s="249"/>
      <c r="BH245" s="249"/>
      <c r="BI245" s="250"/>
      <c r="BJ245" s="260"/>
      <c r="BK245" s="259"/>
      <c r="BL245" s="249" t="str">
        <f t="shared" si="7"/>
        <v/>
      </c>
      <c r="BM245" s="249"/>
      <c r="BN245" s="249"/>
      <c r="BO245" s="249"/>
      <c r="BP245" s="259"/>
      <c r="BQ245" s="259"/>
      <c r="BR245" s="249" t="str">
        <f t="shared" si="8"/>
        <v/>
      </c>
      <c r="BS245" s="249"/>
      <c r="BT245" s="249"/>
      <c r="BU245" s="249"/>
      <c r="BV245" s="259"/>
      <c r="BW245" s="259"/>
      <c r="BX245" s="249" t="str">
        <f t="shared" si="9"/>
        <v/>
      </c>
      <c r="BY245" s="249"/>
      <c r="BZ245" s="249"/>
      <c r="CA245" s="249"/>
      <c r="CB245" s="259"/>
      <c r="CC245" s="259"/>
      <c r="CD245" s="249" t="str">
        <f t="shared" si="10"/>
        <v/>
      </c>
      <c r="CE245" s="249"/>
      <c r="CF245" s="249"/>
      <c r="CG245" s="250"/>
      <c r="CH245" s="271" t="str">
        <f t="shared" si="11"/>
        <v/>
      </c>
      <c r="CI245" s="272"/>
      <c r="CJ245" s="272"/>
      <c r="CK245" s="272"/>
      <c r="CL245" s="272"/>
      <c r="CM245" s="272" t="str">
        <f t="shared" si="12"/>
        <v/>
      </c>
      <c r="CN245" s="272"/>
      <c r="CO245" s="272"/>
      <c r="CP245" s="272"/>
      <c r="CQ245" s="272"/>
      <c r="CR245" s="272" t="str">
        <f t="shared" si="13"/>
        <v/>
      </c>
      <c r="CS245" s="272"/>
      <c r="CT245" s="272"/>
      <c r="CU245" s="272"/>
      <c r="CV245" s="272"/>
      <c r="CW245" s="272" t="str">
        <f t="shared" si="14"/>
        <v/>
      </c>
      <c r="CX245" s="272"/>
      <c r="CY245" s="272"/>
      <c r="CZ245" s="272"/>
      <c r="DA245" s="272"/>
      <c r="DB245" s="272" t="str">
        <f t="shared" si="15"/>
        <v/>
      </c>
      <c r="DC245" s="272"/>
      <c r="DD245" s="272"/>
      <c r="DE245" s="272"/>
      <c r="DF245" s="272"/>
      <c r="DG245" s="272" t="str">
        <f t="shared" si="16"/>
        <v/>
      </c>
      <c r="DH245" s="272"/>
      <c r="DI245" s="272"/>
      <c r="DJ245" s="272"/>
      <c r="DK245" s="273"/>
      <c r="DL245" s="267" t="str">
        <f t="shared" si="17"/>
        <v/>
      </c>
      <c r="DM245" s="268"/>
      <c r="DN245" s="268"/>
      <c r="DO245" s="263" t="str">
        <f t="shared" ref="DO245:DO276" si="24">IFERROR(H245*P245,"")</f>
        <v/>
      </c>
      <c r="DP245" s="263" t="str">
        <f t="shared" si="20"/>
        <v/>
      </c>
      <c r="DQ245" s="263"/>
      <c r="DR245" s="263" t="str">
        <f t="shared" si="21"/>
        <v/>
      </c>
      <c r="DS245" s="263"/>
      <c r="DT245" s="263" t="str">
        <f t="shared" si="22"/>
        <v/>
      </c>
      <c r="DU245" s="198"/>
      <c r="DV245" s="198"/>
      <c r="DW245" s="198"/>
      <c r="DX245" s="198"/>
      <c r="DY245" s="198"/>
      <c r="DZ245" s="263" t="str">
        <f t="shared" si="18"/>
        <v/>
      </c>
      <c r="EA245" s="263"/>
      <c r="EB245" s="263"/>
      <c r="EC245" s="263" t="str">
        <f t="shared" si="19"/>
        <v/>
      </c>
      <c r="ED245" s="263"/>
      <c r="EE245" s="265"/>
    </row>
    <row r="246" spans="1:135" ht="12.75" customHeight="1" x14ac:dyDescent="0.2">
      <c r="A246" s="54"/>
      <c r="B246" s="54"/>
      <c r="C246" s="54"/>
      <c r="D246" s="274"/>
      <c r="E246" s="274"/>
      <c r="F246" s="274"/>
      <c r="G246" s="274"/>
      <c r="H246" s="274"/>
      <c r="I246" s="274"/>
      <c r="J246" s="274"/>
      <c r="K246" s="274"/>
      <c r="L246" s="274"/>
      <c r="M246" s="274"/>
      <c r="N246" s="274"/>
      <c r="O246" s="274"/>
      <c r="P246" s="275" t="str">
        <f t="shared" si="2"/>
        <v/>
      </c>
      <c r="Q246" s="275"/>
      <c r="R246" s="275"/>
      <c r="S246" s="275"/>
      <c r="T246" s="275" t="str">
        <f t="shared" si="3"/>
        <v/>
      </c>
      <c r="U246" s="275"/>
      <c r="V246" s="275"/>
      <c r="W246" s="275"/>
      <c r="X246" s="275" t="str">
        <f t="shared" si="4"/>
        <v/>
      </c>
      <c r="Y246" s="275"/>
      <c r="Z246" s="275"/>
      <c r="AA246" s="275"/>
      <c r="AB246" s="276" t="str">
        <f t="shared" si="23"/>
        <v/>
      </c>
      <c r="AC246" s="276"/>
      <c r="AD246" s="276"/>
      <c r="AE246" s="276"/>
      <c r="AJ246" s="169"/>
      <c r="AK246" s="96"/>
      <c r="AL246" s="260"/>
      <c r="AM246" s="259"/>
      <c r="AN246" s="259"/>
      <c r="AO246" s="259"/>
      <c r="AP246" s="259"/>
      <c r="AQ246" s="259"/>
      <c r="AR246" s="259"/>
      <c r="AS246" s="259"/>
      <c r="AT246" s="261"/>
      <c r="AU246" s="261"/>
      <c r="AV246" s="261"/>
      <c r="AW246" s="261"/>
      <c r="AX246" s="261"/>
      <c r="AY246" s="261"/>
      <c r="AZ246" s="261"/>
      <c r="BA246" s="262"/>
      <c r="BB246" s="242" t="str">
        <f t="shared" si="5"/>
        <v/>
      </c>
      <c r="BC246" s="243"/>
      <c r="BD246" s="243"/>
      <c r="BE246" s="243"/>
      <c r="BF246" s="249" t="str">
        <f t="shared" si="6"/>
        <v/>
      </c>
      <c r="BG246" s="249"/>
      <c r="BH246" s="249"/>
      <c r="BI246" s="250"/>
      <c r="BJ246" s="260"/>
      <c r="BK246" s="259"/>
      <c r="BL246" s="249" t="str">
        <f t="shared" si="7"/>
        <v/>
      </c>
      <c r="BM246" s="249"/>
      <c r="BN246" s="249"/>
      <c r="BO246" s="249"/>
      <c r="BP246" s="259"/>
      <c r="BQ246" s="259"/>
      <c r="BR246" s="249" t="str">
        <f t="shared" si="8"/>
        <v/>
      </c>
      <c r="BS246" s="249"/>
      <c r="BT246" s="249"/>
      <c r="BU246" s="249"/>
      <c r="BV246" s="259"/>
      <c r="BW246" s="259"/>
      <c r="BX246" s="249" t="str">
        <f t="shared" si="9"/>
        <v/>
      </c>
      <c r="BY246" s="249"/>
      <c r="BZ246" s="249"/>
      <c r="CA246" s="249"/>
      <c r="CB246" s="259"/>
      <c r="CC246" s="259"/>
      <c r="CD246" s="249" t="str">
        <f t="shared" si="10"/>
        <v/>
      </c>
      <c r="CE246" s="249"/>
      <c r="CF246" s="249"/>
      <c r="CG246" s="250"/>
      <c r="CH246" s="271" t="str">
        <f t="shared" si="11"/>
        <v/>
      </c>
      <c r="CI246" s="272"/>
      <c r="CJ246" s="272"/>
      <c r="CK246" s="272"/>
      <c r="CL246" s="272"/>
      <c r="CM246" s="272" t="str">
        <f t="shared" si="12"/>
        <v/>
      </c>
      <c r="CN246" s="272"/>
      <c r="CO246" s="272"/>
      <c r="CP246" s="272"/>
      <c r="CQ246" s="272"/>
      <c r="CR246" s="272" t="str">
        <f t="shared" si="13"/>
        <v/>
      </c>
      <c r="CS246" s="272"/>
      <c r="CT246" s="272"/>
      <c r="CU246" s="272"/>
      <c r="CV246" s="272"/>
      <c r="CW246" s="272" t="str">
        <f t="shared" si="14"/>
        <v/>
      </c>
      <c r="CX246" s="272"/>
      <c r="CY246" s="272"/>
      <c r="CZ246" s="272"/>
      <c r="DA246" s="272"/>
      <c r="DB246" s="272" t="str">
        <f t="shared" si="15"/>
        <v/>
      </c>
      <c r="DC246" s="272"/>
      <c r="DD246" s="272"/>
      <c r="DE246" s="272"/>
      <c r="DF246" s="272"/>
      <c r="DG246" s="272" t="str">
        <f t="shared" si="16"/>
        <v/>
      </c>
      <c r="DH246" s="272"/>
      <c r="DI246" s="272"/>
      <c r="DJ246" s="272"/>
      <c r="DK246" s="273"/>
      <c r="DL246" s="267" t="str">
        <f t="shared" si="17"/>
        <v/>
      </c>
      <c r="DM246" s="268"/>
      <c r="DN246" s="268"/>
      <c r="DO246" s="263" t="str">
        <f t="shared" si="24"/>
        <v/>
      </c>
      <c r="DP246" s="263" t="str">
        <f t="shared" si="20"/>
        <v/>
      </c>
      <c r="DQ246" s="263"/>
      <c r="DR246" s="263" t="str">
        <f t="shared" si="21"/>
        <v/>
      </c>
      <c r="DS246" s="263"/>
      <c r="DT246" s="263" t="str">
        <f t="shared" si="22"/>
        <v/>
      </c>
      <c r="DU246" s="198"/>
      <c r="DV246" s="198"/>
      <c r="DW246" s="198"/>
      <c r="DX246" s="198"/>
      <c r="DY246" s="198"/>
      <c r="DZ246" s="263" t="str">
        <f t="shared" si="18"/>
        <v/>
      </c>
      <c r="EA246" s="263"/>
      <c r="EB246" s="263"/>
      <c r="EC246" s="263" t="str">
        <f t="shared" si="19"/>
        <v/>
      </c>
      <c r="ED246" s="263"/>
      <c r="EE246" s="265"/>
    </row>
    <row r="247" spans="1:135" ht="12.75" customHeight="1" x14ac:dyDescent="0.2">
      <c r="A247" s="54"/>
      <c r="B247" s="54"/>
      <c r="C247" s="54"/>
      <c r="D247" s="274"/>
      <c r="E247" s="274"/>
      <c r="F247" s="274"/>
      <c r="G247" s="274"/>
      <c r="H247" s="274"/>
      <c r="I247" s="274"/>
      <c r="J247" s="274"/>
      <c r="K247" s="274"/>
      <c r="L247" s="274"/>
      <c r="M247" s="274"/>
      <c r="N247" s="274"/>
      <c r="O247" s="274"/>
      <c r="P247" s="275" t="str">
        <f t="shared" si="2"/>
        <v/>
      </c>
      <c r="Q247" s="275"/>
      <c r="R247" s="275"/>
      <c r="S247" s="275"/>
      <c r="T247" s="275" t="str">
        <f t="shared" si="3"/>
        <v/>
      </c>
      <c r="U247" s="275"/>
      <c r="V247" s="275"/>
      <c r="W247" s="275"/>
      <c r="X247" s="275" t="str">
        <f t="shared" si="4"/>
        <v/>
      </c>
      <c r="Y247" s="275"/>
      <c r="Z247" s="275"/>
      <c r="AA247" s="275"/>
      <c r="AB247" s="276" t="str">
        <f t="shared" si="23"/>
        <v/>
      </c>
      <c r="AC247" s="276"/>
      <c r="AD247" s="276"/>
      <c r="AE247" s="276"/>
      <c r="AJ247" s="169"/>
      <c r="AK247" s="96"/>
      <c r="AL247" s="260"/>
      <c r="AM247" s="259"/>
      <c r="AN247" s="259"/>
      <c r="AO247" s="259"/>
      <c r="AP247" s="259"/>
      <c r="AQ247" s="259"/>
      <c r="AR247" s="259"/>
      <c r="AS247" s="259"/>
      <c r="AT247" s="261"/>
      <c r="AU247" s="261"/>
      <c r="AV247" s="261"/>
      <c r="AW247" s="261"/>
      <c r="AX247" s="261"/>
      <c r="AY247" s="261"/>
      <c r="AZ247" s="261"/>
      <c r="BA247" s="262"/>
      <c r="BB247" s="242" t="str">
        <f t="shared" si="5"/>
        <v/>
      </c>
      <c r="BC247" s="243"/>
      <c r="BD247" s="243"/>
      <c r="BE247" s="243"/>
      <c r="BF247" s="249" t="str">
        <f t="shared" si="6"/>
        <v/>
      </c>
      <c r="BG247" s="249"/>
      <c r="BH247" s="249"/>
      <c r="BI247" s="250"/>
      <c r="BJ247" s="260"/>
      <c r="BK247" s="259"/>
      <c r="BL247" s="249" t="str">
        <f t="shared" si="7"/>
        <v/>
      </c>
      <c r="BM247" s="249"/>
      <c r="BN247" s="249"/>
      <c r="BO247" s="249"/>
      <c r="BP247" s="259"/>
      <c r="BQ247" s="259"/>
      <c r="BR247" s="249" t="str">
        <f t="shared" si="8"/>
        <v/>
      </c>
      <c r="BS247" s="249"/>
      <c r="BT247" s="249"/>
      <c r="BU247" s="249"/>
      <c r="BV247" s="259"/>
      <c r="BW247" s="259"/>
      <c r="BX247" s="249" t="str">
        <f t="shared" si="9"/>
        <v/>
      </c>
      <c r="BY247" s="249"/>
      <c r="BZ247" s="249"/>
      <c r="CA247" s="249"/>
      <c r="CB247" s="259"/>
      <c r="CC247" s="259"/>
      <c r="CD247" s="249" t="str">
        <f t="shared" si="10"/>
        <v/>
      </c>
      <c r="CE247" s="249"/>
      <c r="CF247" s="249"/>
      <c r="CG247" s="250"/>
      <c r="CH247" s="271" t="str">
        <f t="shared" si="11"/>
        <v/>
      </c>
      <c r="CI247" s="272"/>
      <c r="CJ247" s="272"/>
      <c r="CK247" s="272"/>
      <c r="CL247" s="272"/>
      <c r="CM247" s="272" t="str">
        <f t="shared" si="12"/>
        <v/>
      </c>
      <c r="CN247" s="272"/>
      <c r="CO247" s="272"/>
      <c r="CP247" s="272"/>
      <c r="CQ247" s="272"/>
      <c r="CR247" s="272" t="str">
        <f t="shared" si="13"/>
        <v/>
      </c>
      <c r="CS247" s="272"/>
      <c r="CT247" s="272"/>
      <c r="CU247" s="272"/>
      <c r="CV247" s="272"/>
      <c r="CW247" s="272" t="str">
        <f t="shared" si="14"/>
        <v/>
      </c>
      <c r="CX247" s="272"/>
      <c r="CY247" s="272"/>
      <c r="CZ247" s="272"/>
      <c r="DA247" s="272"/>
      <c r="DB247" s="272" t="str">
        <f t="shared" si="15"/>
        <v/>
      </c>
      <c r="DC247" s="272"/>
      <c r="DD247" s="272"/>
      <c r="DE247" s="272"/>
      <c r="DF247" s="272"/>
      <c r="DG247" s="272" t="str">
        <f t="shared" si="16"/>
        <v/>
      </c>
      <c r="DH247" s="272"/>
      <c r="DI247" s="272"/>
      <c r="DJ247" s="272"/>
      <c r="DK247" s="273"/>
      <c r="DL247" s="267" t="str">
        <f t="shared" si="17"/>
        <v/>
      </c>
      <c r="DM247" s="268"/>
      <c r="DN247" s="268"/>
      <c r="DO247" s="263" t="str">
        <f t="shared" si="24"/>
        <v/>
      </c>
      <c r="DP247" s="263" t="str">
        <f t="shared" si="20"/>
        <v/>
      </c>
      <c r="DQ247" s="263"/>
      <c r="DR247" s="263" t="str">
        <f t="shared" si="21"/>
        <v/>
      </c>
      <c r="DS247" s="263"/>
      <c r="DT247" s="263" t="str">
        <f t="shared" si="22"/>
        <v/>
      </c>
      <c r="DU247" s="198"/>
      <c r="DV247" s="198"/>
      <c r="DW247" s="198"/>
      <c r="DX247" s="198"/>
      <c r="DY247" s="198"/>
      <c r="DZ247" s="263" t="str">
        <f t="shared" si="18"/>
        <v/>
      </c>
      <c r="EA247" s="263"/>
      <c r="EB247" s="263"/>
      <c r="EC247" s="263" t="str">
        <f t="shared" si="19"/>
        <v/>
      </c>
      <c r="ED247" s="263"/>
      <c r="EE247" s="265"/>
    </row>
    <row r="248" spans="1:135" ht="12.75" customHeight="1" x14ac:dyDescent="0.2">
      <c r="A248" s="54"/>
      <c r="B248" s="54"/>
      <c r="C248" s="54"/>
      <c r="D248" s="274"/>
      <c r="E248" s="274"/>
      <c r="F248" s="274"/>
      <c r="G248" s="274"/>
      <c r="H248" s="274"/>
      <c r="I248" s="274"/>
      <c r="J248" s="274"/>
      <c r="K248" s="274"/>
      <c r="L248" s="274"/>
      <c r="M248" s="274"/>
      <c r="N248" s="274"/>
      <c r="O248" s="274"/>
      <c r="P248" s="275" t="str">
        <f t="shared" si="2"/>
        <v/>
      </c>
      <c r="Q248" s="275"/>
      <c r="R248" s="275"/>
      <c r="S248" s="275"/>
      <c r="T248" s="275" t="str">
        <f t="shared" si="3"/>
        <v/>
      </c>
      <c r="U248" s="275"/>
      <c r="V248" s="275"/>
      <c r="W248" s="275"/>
      <c r="X248" s="275" t="str">
        <f t="shared" si="4"/>
        <v/>
      </c>
      <c r="Y248" s="275"/>
      <c r="Z248" s="275"/>
      <c r="AA248" s="275"/>
      <c r="AB248" s="276" t="str">
        <f t="shared" si="23"/>
        <v/>
      </c>
      <c r="AC248" s="276"/>
      <c r="AD248" s="276"/>
      <c r="AE248" s="276"/>
      <c r="AJ248" s="169"/>
      <c r="AK248" s="96"/>
      <c r="AL248" s="260"/>
      <c r="AM248" s="259"/>
      <c r="AN248" s="259"/>
      <c r="AO248" s="259"/>
      <c r="AP248" s="259"/>
      <c r="AQ248" s="259"/>
      <c r="AR248" s="259"/>
      <c r="AS248" s="259"/>
      <c r="AT248" s="261"/>
      <c r="AU248" s="261"/>
      <c r="AV248" s="261"/>
      <c r="AW248" s="261"/>
      <c r="AX248" s="261"/>
      <c r="AY248" s="261"/>
      <c r="AZ248" s="261"/>
      <c r="BA248" s="262"/>
      <c r="BB248" s="242" t="str">
        <f t="shared" si="5"/>
        <v/>
      </c>
      <c r="BC248" s="243"/>
      <c r="BD248" s="243"/>
      <c r="BE248" s="243"/>
      <c r="BF248" s="249" t="str">
        <f t="shared" si="6"/>
        <v/>
      </c>
      <c r="BG248" s="249"/>
      <c r="BH248" s="249"/>
      <c r="BI248" s="250"/>
      <c r="BJ248" s="260"/>
      <c r="BK248" s="259"/>
      <c r="BL248" s="249" t="str">
        <f t="shared" si="7"/>
        <v/>
      </c>
      <c r="BM248" s="249"/>
      <c r="BN248" s="249"/>
      <c r="BO248" s="249"/>
      <c r="BP248" s="259"/>
      <c r="BQ248" s="259"/>
      <c r="BR248" s="249" t="str">
        <f t="shared" si="8"/>
        <v/>
      </c>
      <c r="BS248" s="249"/>
      <c r="BT248" s="249"/>
      <c r="BU248" s="249"/>
      <c r="BV248" s="259"/>
      <c r="BW248" s="259"/>
      <c r="BX248" s="249" t="str">
        <f t="shared" si="9"/>
        <v/>
      </c>
      <c r="BY248" s="249"/>
      <c r="BZ248" s="249"/>
      <c r="CA248" s="249"/>
      <c r="CB248" s="259"/>
      <c r="CC248" s="259"/>
      <c r="CD248" s="249" t="str">
        <f t="shared" si="10"/>
        <v/>
      </c>
      <c r="CE248" s="249"/>
      <c r="CF248" s="249"/>
      <c r="CG248" s="250"/>
      <c r="CH248" s="271" t="str">
        <f t="shared" si="11"/>
        <v/>
      </c>
      <c r="CI248" s="272"/>
      <c r="CJ248" s="272"/>
      <c r="CK248" s="272"/>
      <c r="CL248" s="272"/>
      <c r="CM248" s="272" t="str">
        <f t="shared" si="12"/>
        <v/>
      </c>
      <c r="CN248" s="272"/>
      <c r="CO248" s="272"/>
      <c r="CP248" s="272"/>
      <c r="CQ248" s="272"/>
      <c r="CR248" s="272" t="str">
        <f t="shared" si="13"/>
        <v/>
      </c>
      <c r="CS248" s="272"/>
      <c r="CT248" s="272"/>
      <c r="CU248" s="272"/>
      <c r="CV248" s="272"/>
      <c r="CW248" s="272" t="str">
        <f t="shared" si="14"/>
        <v/>
      </c>
      <c r="CX248" s="272"/>
      <c r="CY248" s="272"/>
      <c r="CZ248" s="272"/>
      <c r="DA248" s="272"/>
      <c r="DB248" s="272" t="str">
        <f t="shared" si="15"/>
        <v/>
      </c>
      <c r="DC248" s="272"/>
      <c r="DD248" s="272"/>
      <c r="DE248" s="272"/>
      <c r="DF248" s="272"/>
      <c r="DG248" s="272" t="str">
        <f t="shared" si="16"/>
        <v/>
      </c>
      <c r="DH248" s="272"/>
      <c r="DI248" s="272"/>
      <c r="DJ248" s="272"/>
      <c r="DK248" s="273"/>
      <c r="DL248" s="267" t="str">
        <f t="shared" si="17"/>
        <v/>
      </c>
      <c r="DM248" s="268"/>
      <c r="DN248" s="268"/>
      <c r="DO248" s="263" t="str">
        <f t="shared" si="24"/>
        <v/>
      </c>
      <c r="DP248" s="263" t="str">
        <f t="shared" si="20"/>
        <v/>
      </c>
      <c r="DQ248" s="263"/>
      <c r="DR248" s="263" t="str">
        <f t="shared" si="21"/>
        <v/>
      </c>
      <c r="DS248" s="263"/>
      <c r="DT248" s="263" t="str">
        <f t="shared" si="22"/>
        <v/>
      </c>
      <c r="DU248" s="198"/>
      <c r="DV248" s="198"/>
      <c r="DW248" s="198"/>
      <c r="DX248" s="198"/>
      <c r="DY248" s="198"/>
      <c r="DZ248" s="263" t="str">
        <f t="shared" si="18"/>
        <v/>
      </c>
      <c r="EA248" s="263"/>
      <c r="EB248" s="263"/>
      <c r="EC248" s="263" t="str">
        <f t="shared" si="19"/>
        <v/>
      </c>
      <c r="ED248" s="263"/>
      <c r="EE248" s="265"/>
    </row>
    <row r="249" spans="1:135" ht="12.75" customHeight="1" x14ac:dyDescent="0.2">
      <c r="A249" s="54"/>
      <c r="B249" s="54"/>
      <c r="C249" s="54"/>
      <c r="D249" s="274"/>
      <c r="E249" s="274"/>
      <c r="F249" s="274"/>
      <c r="G249" s="274"/>
      <c r="H249" s="274"/>
      <c r="I249" s="274"/>
      <c r="J249" s="274"/>
      <c r="K249" s="274"/>
      <c r="L249" s="274"/>
      <c r="M249" s="274"/>
      <c r="N249" s="274"/>
      <c r="O249" s="274"/>
      <c r="P249" s="275" t="str">
        <f t="shared" si="2"/>
        <v/>
      </c>
      <c r="Q249" s="275"/>
      <c r="R249" s="275"/>
      <c r="S249" s="275"/>
      <c r="T249" s="275" t="str">
        <f t="shared" si="3"/>
        <v/>
      </c>
      <c r="U249" s="275"/>
      <c r="V249" s="275"/>
      <c r="W249" s="275"/>
      <c r="X249" s="275" t="str">
        <f t="shared" si="4"/>
        <v/>
      </c>
      <c r="Y249" s="275"/>
      <c r="Z249" s="275"/>
      <c r="AA249" s="275"/>
      <c r="AB249" s="276" t="str">
        <f t="shared" si="23"/>
        <v/>
      </c>
      <c r="AC249" s="276"/>
      <c r="AD249" s="276"/>
      <c r="AE249" s="276"/>
      <c r="AJ249" s="169"/>
      <c r="AK249" s="96"/>
      <c r="AL249" s="260"/>
      <c r="AM249" s="259"/>
      <c r="AN249" s="259"/>
      <c r="AO249" s="259"/>
      <c r="AP249" s="259"/>
      <c r="AQ249" s="259"/>
      <c r="AR249" s="259"/>
      <c r="AS249" s="259"/>
      <c r="AT249" s="261"/>
      <c r="AU249" s="261"/>
      <c r="AV249" s="261"/>
      <c r="AW249" s="261"/>
      <c r="AX249" s="261"/>
      <c r="AY249" s="261"/>
      <c r="AZ249" s="261"/>
      <c r="BA249" s="262"/>
      <c r="BB249" s="242" t="str">
        <f t="shared" si="5"/>
        <v/>
      </c>
      <c r="BC249" s="243"/>
      <c r="BD249" s="243"/>
      <c r="BE249" s="243"/>
      <c r="BF249" s="249" t="str">
        <f t="shared" si="6"/>
        <v/>
      </c>
      <c r="BG249" s="249"/>
      <c r="BH249" s="249"/>
      <c r="BI249" s="250"/>
      <c r="BJ249" s="260"/>
      <c r="BK249" s="259"/>
      <c r="BL249" s="249" t="str">
        <f t="shared" si="7"/>
        <v/>
      </c>
      <c r="BM249" s="249"/>
      <c r="BN249" s="249"/>
      <c r="BO249" s="249"/>
      <c r="BP249" s="259"/>
      <c r="BQ249" s="259"/>
      <c r="BR249" s="249" t="str">
        <f t="shared" si="8"/>
        <v/>
      </c>
      <c r="BS249" s="249"/>
      <c r="BT249" s="249"/>
      <c r="BU249" s="249"/>
      <c r="BV249" s="259"/>
      <c r="BW249" s="259"/>
      <c r="BX249" s="249" t="str">
        <f t="shared" si="9"/>
        <v/>
      </c>
      <c r="BY249" s="249"/>
      <c r="BZ249" s="249"/>
      <c r="CA249" s="249"/>
      <c r="CB249" s="259"/>
      <c r="CC249" s="259"/>
      <c r="CD249" s="249" t="str">
        <f t="shared" si="10"/>
        <v/>
      </c>
      <c r="CE249" s="249"/>
      <c r="CF249" s="249"/>
      <c r="CG249" s="250"/>
      <c r="CH249" s="271" t="str">
        <f t="shared" si="11"/>
        <v/>
      </c>
      <c r="CI249" s="272"/>
      <c r="CJ249" s="272"/>
      <c r="CK249" s="272"/>
      <c r="CL249" s="272"/>
      <c r="CM249" s="272" t="str">
        <f t="shared" si="12"/>
        <v/>
      </c>
      <c r="CN249" s="272"/>
      <c r="CO249" s="272"/>
      <c r="CP249" s="272"/>
      <c r="CQ249" s="272"/>
      <c r="CR249" s="272" t="str">
        <f t="shared" si="13"/>
        <v/>
      </c>
      <c r="CS249" s="272"/>
      <c r="CT249" s="272"/>
      <c r="CU249" s="272"/>
      <c r="CV249" s="272"/>
      <c r="CW249" s="272" t="str">
        <f t="shared" si="14"/>
        <v/>
      </c>
      <c r="CX249" s="272"/>
      <c r="CY249" s="272"/>
      <c r="CZ249" s="272"/>
      <c r="DA249" s="272"/>
      <c r="DB249" s="272" t="str">
        <f t="shared" si="15"/>
        <v/>
      </c>
      <c r="DC249" s="272"/>
      <c r="DD249" s="272"/>
      <c r="DE249" s="272"/>
      <c r="DF249" s="272"/>
      <c r="DG249" s="272" t="str">
        <f t="shared" si="16"/>
        <v/>
      </c>
      <c r="DH249" s="272"/>
      <c r="DI249" s="272"/>
      <c r="DJ249" s="272"/>
      <c r="DK249" s="273"/>
      <c r="DL249" s="267" t="str">
        <f t="shared" si="17"/>
        <v/>
      </c>
      <c r="DM249" s="268"/>
      <c r="DN249" s="268"/>
      <c r="DO249" s="263" t="str">
        <f t="shared" si="24"/>
        <v/>
      </c>
      <c r="DP249" s="263" t="str">
        <f t="shared" ref="DP249:DP282" si="25">IFERROR(L249*P249,"")</f>
        <v/>
      </c>
      <c r="DQ249" s="263"/>
      <c r="DR249" s="263" t="str">
        <f t="shared" ref="DR249:DR282" si="26">IFERROR(L249*T249,"")</f>
        <v/>
      </c>
      <c r="DS249" s="263"/>
      <c r="DT249" s="263" t="str">
        <f t="shared" ref="DT249:DT282" si="27">IFERROR(H249*X249,"")</f>
        <v/>
      </c>
      <c r="DU249" s="198"/>
      <c r="DV249" s="198"/>
      <c r="DW249" s="198"/>
      <c r="DX249" s="198"/>
      <c r="DY249" s="198"/>
      <c r="DZ249" s="263" t="str">
        <f t="shared" si="18"/>
        <v/>
      </c>
      <c r="EA249" s="263"/>
      <c r="EB249" s="263"/>
      <c r="EC249" s="263" t="str">
        <f t="shared" si="19"/>
        <v/>
      </c>
      <c r="ED249" s="263"/>
      <c r="EE249" s="265"/>
    </row>
    <row r="250" spans="1:135" ht="12.75" customHeight="1" x14ac:dyDescent="0.2">
      <c r="A250" s="54"/>
      <c r="B250" s="54"/>
      <c r="C250" s="54"/>
      <c r="D250" s="274"/>
      <c r="E250" s="274"/>
      <c r="F250" s="274"/>
      <c r="G250" s="274"/>
      <c r="H250" s="274"/>
      <c r="I250" s="274"/>
      <c r="J250" s="274"/>
      <c r="K250" s="274"/>
      <c r="L250" s="274"/>
      <c r="M250" s="274"/>
      <c r="N250" s="274"/>
      <c r="O250" s="274"/>
      <c r="P250" s="275" t="str">
        <f t="shared" si="2"/>
        <v/>
      </c>
      <c r="Q250" s="275"/>
      <c r="R250" s="275"/>
      <c r="S250" s="275"/>
      <c r="T250" s="275" t="str">
        <f t="shared" si="3"/>
        <v/>
      </c>
      <c r="U250" s="275"/>
      <c r="V250" s="275"/>
      <c r="W250" s="275"/>
      <c r="X250" s="275" t="str">
        <f t="shared" si="4"/>
        <v/>
      </c>
      <c r="Y250" s="275"/>
      <c r="Z250" s="275"/>
      <c r="AA250" s="275"/>
      <c r="AB250" s="276" t="str">
        <f t="shared" si="23"/>
        <v/>
      </c>
      <c r="AC250" s="276"/>
      <c r="AD250" s="276"/>
      <c r="AE250" s="276"/>
      <c r="AJ250" s="169"/>
      <c r="AK250" s="96"/>
      <c r="AL250" s="260"/>
      <c r="AM250" s="259"/>
      <c r="AN250" s="259"/>
      <c r="AO250" s="259"/>
      <c r="AP250" s="259"/>
      <c r="AQ250" s="259"/>
      <c r="AR250" s="259"/>
      <c r="AS250" s="259"/>
      <c r="AT250" s="261"/>
      <c r="AU250" s="261"/>
      <c r="AV250" s="261"/>
      <c r="AW250" s="261"/>
      <c r="AX250" s="261"/>
      <c r="AY250" s="261"/>
      <c r="AZ250" s="261"/>
      <c r="BA250" s="262"/>
      <c r="BB250" s="242" t="str">
        <f t="shared" si="5"/>
        <v/>
      </c>
      <c r="BC250" s="243"/>
      <c r="BD250" s="243"/>
      <c r="BE250" s="243"/>
      <c r="BF250" s="249" t="str">
        <f t="shared" si="6"/>
        <v/>
      </c>
      <c r="BG250" s="249"/>
      <c r="BH250" s="249"/>
      <c r="BI250" s="250"/>
      <c r="BJ250" s="260"/>
      <c r="BK250" s="259"/>
      <c r="BL250" s="249" t="str">
        <f t="shared" si="7"/>
        <v/>
      </c>
      <c r="BM250" s="249"/>
      <c r="BN250" s="249"/>
      <c r="BO250" s="249"/>
      <c r="BP250" s="259"/>
      <c r="BQ250" s="259"/>
      <c r="BR250" s="249" t="str">
        <f t="shared" si="8"/>
        <v/>
      </c>
      <c r="BS250" s="249"/>
      <c r="BT250" s="249"/>
      <c r="BU250" s="249"/>
      <c r="BV250" s="259"/>
      <c r="BW250" s="259"/>
      <c r="BX250" s="249" t="str">
        <f t="shared" si="9"/>
        <v/>
      </c>
      <c r="BY250" s="249"/>
      <c r="BZ250" s="249"/>
      <c r="CA250" s="249"/>
      <c r="CB250" s="259"/>
      <c r="CC250" s="259"/>
      <c r="CD250" s="249" t="str">
        <f t="shared" si="10"/>
        <v/>
      </c>
      <c r="CE250" s="249"/>
      <c r="CF250" s="249"/>
      <c r="CG250" s="250"/>
      <c r="CH250" s="271" t="str">
        <f t="shared" si="11"/>
        <v/>
      </c>
      <c r="CI250" s="272"/>
      <c r="CJ250" s="272"/>
      <c r="CK250" s="272"/>
      <c r="CL250" s="272"/>
      <c r="CM250" s="272" t="str">
        <f t="shared" si="12"/>
        <v/>
      </c>
      <c r="CN250" s="272"/>
      <c r="CO250" s="272"/>
      <c r="CP250" s="272"/>
      <c r="CQ250" s="272"/>
      <c r="CR250" s="272" t="str">
        <f t="shared" si="13"/>
        <v/>
      </c>
      <c r="CS250" s="272"/>
      <c r="CT250" s="272"/>
      <c r="CU250" s="272"/>
      <c r="CV250" s="272"/>
      <c r="CW250" s="272" t="str">
        <f t="shared" si="14"/>
        <v/>
      </c>
      <c r="CX250" s="272"/>
      <c r="CY250" s="272"/>
      <c r="CZ250" s="272"/>
      <c r="DA250" s="272"/>
      <c r="DB250" s="272" t="str">
        <f t="shared" si="15"/>
        <v/>
      </c>
      <c r="DC250" s="272"/>
      <c r="DD250" s="272"/>
      <c r="DE250" s="272"/>
      <c r="DF250" s="272"/>
      <c r="DG250" s="272" t="str">
        <f t="shared" si="16"/>
        <v/>
      </c>
      <c r="DH250" s="272"/>
      <c r="DI250" s="272"/>
      <c r="DJ250" s="272"/>
      <c r="DK250" s="273"/>
      <c r="DL250" s="267" t="str">
        <f t="shared" si="17"/>
        <v/>
      </c>
      <c r="DM250" s="268"/>
      <c r="DN250" s="268"/>
      <c r="DO250" s="263" t="str">
        <f t="shared" si="24"/>
        <v/>
      </c>
      <c r="DP250" s="263" t="str">
        <f t="shared" si="25"/>
        <v/>
      </c>
      <c r="DQ250" s="263"/>
      <c r="DR250" s="263" t="str">
        <f t="shared" si="26"/>
        <v/>
      </c>
      <c r="DS250" s="263"/>
      <c r="DT250" s="263" t="str">
        <f t="shared" si="27"/>
        <v/>
      </c>
      <c r="DU250" s="198"/>
      <c r="DV250" s="198"/>
      <c r="DW250" s="198"/>
      <c r="DX250" s="198"/>
      <c r="DY250" s="198"/>
      <c r="DZ250" s="263" t="str">
        <f t="shared" si="18"/>
        <v/>
      </c>
      <c r="EA250" s="263"/>
      <c r="EB250" s="263"/>
      <c r="EC250" s="263" t="str">
        <f t="shared" si="19"/>
        <v/>
      </c>
      <c r="ED250" s="263"/>
      <c r="EE250" s="265"/>
    </row>
    <row r="251" spans="1:135" ht="12.75" customHeight="1" x14ac:dyDescent="0.2">
      <c r="A251" s="54"/>
      <c r="B251" s="54"/>
      <c r="C251" s="54"/>
      <c r="D251" s="274"/>
      <c r="E251" s="274"/>
      <c r="F251" s="274"/>
      <c r="G251" s="274"/>
      <c r="H251" s="274"/>
      <c r="I251" s="274"/>
      <c r="J251" s="274"/>
      <c r="K251" s="274"/>
      <c r="L251" s="274"/>
      <c r="M251" s="274"/>
      <c r="N251" s="274"/>
      <c r="O251" s="274"/>
      <c r="P251" s="275" t="str">
        <f t="shared" si="2"/>
        <v/>
      </c>
      <c r="Q251" s="275"/>
      <c r="R251" s="275"/>
      <c r="S251" s="275"/>
      <c r="T251" s="275" t="str">
        <f t="shared" si="3"/>
        <v/>
      </c>
      <c r="U251" s="275"/>
      <c r="V251" s="275"/>
      <c r="W251" s="275"/>
      <c r="X251" s="275" t="str">
        <f t="shared" si="4"/>
        <v/>
      </c>
      <c r="Y251" s="275"/>
      <c r="Z251" s="275"/>
      <c r="AA251" s="275"/>
      <c r="AB251" s="276" t="str">
        <f t="shared" si="23"/>
        <v/>
      </c>
      <c r="AC251" s="276"/>
      <c r="AD251" s="276"/>
      <c r="AE251" s="276"/>
      <c r="AJ251" s="169"/>
      <c r="AK251" s="96"/>
      <c r="AL251" s="260"/>
      <c r="AM251" s="259"/>
      <c r="AN251" s="259"/>
      <c r="AO251" s="259"/>
      <c r="AP251" s="259"/>
      <c r="AQ251" s="259"/>
      <c r="AR251" s="259"/>
      <c r="AS251" s="259"/>
      <c r="AT251" s="261"/>
      <c r="AU251" s="261"/>
      <c r="AV251" s="261"/>
      <c r="AW251" s="261"/>
      <c r="AX251" s="261"/>
      <c r="AY251" s="261"/>
      <c r="AZ251" s="261"/>
      <c r="BA251" s="262"/>
      <c r="BB251" s="242" t="str">
        <f t="shared" si="5"/>
        <v/>
      </c>
      <c r="BC251" s="243"/>
      <c r="BD251" s="243"/>
      <c r="BE251" s="243"/>
      <c r="BF251" s="249" t="str">
        <f t="shared" si="6"/>
        <v/>
      </c>
      <c r="BG251" s="249"/>
      <c r="BH251" s="249"/>
      <c r="BI251" s="250"/>
      <c r="BJ251" s="260"/>
      <c r="BK251" s="259"/>
      <c r="BL251" s="249" t="str">
        <f t="shared" si="7"/>
        <v/>
      </c>
      <c r="BM251" s="249"/>
      <c r="BN251" s="249"/>
      <c r="BO251" s="249"/>
      <c r="BP251" s="259"/>
      <c r="BQ251" s="259"/>
      <c r="BR251" s="249" t="str">
        <f t="shared" si="8"/>
        <v/>
      </c>
      <c r="BS251" s="249"/>
      <c r="BT251" s="249"/>
      <c r="BU251" s="249"/>
      <c r="BV251" s="259"/>
      <c r="BW251" s="259"/>
      <c r="BX251" s="249" t="str">
        <f t="shared" si="9"/>
        <v/>
      </c>
      <c r="BY251" s="249"/>
      <c r="BZ251" s="249"/>
      <c r="CA251" s="249"/>
      <c r="CB251" s="259"/>
      <c r="CC251" s="259"/>
      <c r="CD251" s="249" t="str">
        <f t="shared" si="10"/>
        <v/>
      </c>
      <c r="CE251" s="249"/>
      <c r="CF251" s="249"/>
      <c r="CG251" s="250"/>
      <c r="CH251" s="271" t="str">
        <f t="shared" si="11"/>
        <v/>
      </c>
      <c r="CI251" s="272"/>
      <c r="CJ251" s="272"/>
      <c r="CK251" s="272"/>
      <c r="CL251" s="272"/>
      <c r="CM251" s="272" t="str">
        <f t="shared" si="12"/>
        <v/>
      </c>
      <c r="CN251" s="272"/>
      <c r="CO251" s="272"/>
      <c r="CP251" s="272"/>
      <c r="CQ251" s="272"/>
      <c r="CR251" s="272" t="str">
        <f t="shared" si="13"/>
        <v/>
      </c>
      <c r="CS251" s="272"/>
      <c r="CT251" s="272"/>
      <c r="CU251" s="272"/>
      <c r="CV251" s="272"/>
      <c r="CW251" s="272" t="str">
        <f t="shared" si="14"/>
        <v/>
      </c>
      <c r="CX251" s="272"/>
      <c r="CY251" s="272"/>
      <c r="CZ251" s="272"/>
      <c r="DA251" s="272"/>
      <c r="DB251" s="272" t="str">
        <f t="shared" si="15"/>
        <v/>
      </c>
      <c r="DC251" s="272"/>
      <c r="DD251" s="272"/>
      <c r="DE251" s="272"/>
      <c r="DF251" s="272"/>
      <c r="DG251" s="272" t="str">
        <f t="shared" si="16"/>
        <v/>
      </c>
      <c r="DH251" s="272"/>
      <c r="DI251" s="272"/>
      <c r="DJ251" s="272"/>
      <c r="DK251" s="273"/>
      <c r="DL251" s="267" t="str">
        <f t="shared" si="17"/>
        <v/>
      </c>
      <c r="DM251" s="268"/>
      <c r="DN251" s="268"/>
      <c r="DO251" s="263" t="str">
        <f t="shared" si="24"/>
        <v/>
      </c>
      <c r="DP251" s="263" t="str">
        <f t="shared" si="25"/>
        <v/>
      </c>
      <c r="DQ251" s="263"/>
      <c r="DR251" s="263" t="str">
        <f t="shared" si="26"/>
        <v/>
      </c>
      <c r="DS251" s="263"/>
      <c r="DT251" s="263" t="str">
        <f t="shared" si="27"/>
        <v/>
      </c>
      <c r="DU251" s="198"/>
      <c r="DV251" s="198"/>
      <c r="DW251" s="198"/>
      <c r="DX251" s="198"/>
      <c r="DY251" s="198"/>
      <c r="DZ251" s="263" t="str">
        <f t="shared" si="18"/>
        <v/>
      </c>
      <c r="EA251" s="263"/>
      <c r="EB251" s="263"/>
      <c r="EC251" s="263" t="str">
        <f t="shared" si="19"/>
        <v/>
      </c>
      <c r="ED251" s="263"/>
      <c r="EE251" s="265"/>
    </row>
    <row r="252" spans="1:135" ht="12.75" customHeight="1" x14ac:dyDescent="0.2">
      <c r="A252" s="54"/>
      <c r="B252" s="54"/>
      <c r="C252" s="54"/>
      <c r="D252" s="274"/>
      <c r="E252" s="274"/>
      <c r="F252" s="274"/>
      <c r="G252" s="274"/>
      <c r="H252" s="274"/>
      <c r="I252" s="274"/>
      <c r="J252" s="274"/>
      <c r="K252" s="274"/>
      <c r="L252" s="274"/>
      <c r="M252" s="274"/>
      <c r="N252" s="274"/>
      <c r="O252" s="274"/>
      <c r="P252" s="275" t="str">
        <f t="shared" si="2"/>
        <v/>
      </c>
      <c r="Q252" s="275"/>
      <c r="R252" s="275"/>
      <c r="S252" s="275"/>
      <c r="T252" s="275" t="str">
        <f t="shared" si="3"/>
        <v/>
      </c>
      <c r="U252" s="275"/>
      <c r="V252" s="275"/>
      <c r="W252" s="275"/>
      <c r="X252" s="275" t="str">
        <f t="shared" si="4"/>
        <v/>
      </c>
      <c r="Y252" s="275"/>
      <c r="Z252" s="275"/>
      <c r="AA252" s="275"/>
      <c r="AB252" s="276" t="str">
        <f t="shared" si="23"/>
        <v/>
      </c>
      <c r="AC252" s="276"/>
      <c r="AD252" s="276"/>
      <c r="AE252" s="276"/>
      <c r="AJ252" s="169"/>
      <c r="AK252" s="96"/>
      <c r="AL252" s="260"/>
      <c r="AM252" s="259"/>
      <c r="AN252" s="259"/>
      <c r="AO252" s="259"/>
      <c r="AP252" s="259"/>
      <c r="AQ252" s="259"/>
      <c r="AR252" s="259"/>
      <c r="AS252" s="259"/>
      <c r="AT252" s="261"/>
      <c r="AU252" s="261"/>
      <c r="AV252" s="261"/>
      <c r="AW252" s="261"/>
      <c r="AX252" s="261"/>
      <c r="AY252" s="261"/>
      <c r="AZ252" s="261"/>
      <c r="BA252" s="262"/>
      <c r="BB252" s="242" t="str">
        <f t="shared" si="5"/>
        <v/>
      </c>
      <c r="BC252" s="243"/>
      <c r="BD252" s="243"/>
      <c r="BE252" s="243"/>
      <c r="BF252" s="249" t="str">
        <f t="shared" si="6"/>
        <v/>
      </c>
      <c r="BG252" s="249"/>
      <c r="BH252" s="249"/>
      <c r="BI252" s="250"/>
      <c r="BJ252" s="260"/>
      <c r="BK252" s="259"/>
      <c r="BL252" s="249" t="str">
        <f t="shared" si="7"/>
        <v/>
      </c>
      <c r="BM252" s="249"/>
      <c r="BN252" s="249"/>
      <c r="BO252" s="249"/>
      <c r="BP252" s="259"/>
      <c r="BQ252" s="259"/>
      <c r="BR252" s="249" t="str">
        <f t="shared" si="8"/>
        <v/>
      </c>
      <c r="BS252" s="249"/>
      <c r="BT252" s="249"/>
      <c r="BU252" s="249"/>
      <c r="BV252" s="259"/>
      <c r="BW252" s="259"/>
      <c r="BX252" s="249" t="str">
        <f t="shared" si="9"/>
        <v/>
      </c>
      <c r="BY252" s="249"/>
      <c r="BZ252" s="249"/>
      <c r="CA252" s="249"/>
      <c r="CB252" s="259"/>
      <c r="CC252" s="259"/>
      <c r="CD252" s="249" t="str">
        <f t="shared" si="10"/>
        <v/>
      </c>
      <c r="CE252" s="249"/>
      <c r="CF252" s="249"/>
      <c r="CG252" s="250"/>
      <c r="CH252" s="271" t="str">
        <f t="shared" si="11"/>
        <v/>
      </c>
      <c r="CI252" s="272"/>
      <c r="CJ252" s="272"/>
      <c r="CK252" s="272"/>
      <c r="CL252" s="272"/>
      <c r="CM252" s="272" t="str">
        <f t="shared" si="12"/>
        <v/>
      </c>
      <c r="CN252" s="272"/>
      <c r="CO252" s="272"/>
      <c r="CP252" s="272"/>
      <c r="CQ252" s="272"/>
      <c r="CR252" s="272" t="str">
        <f t="shared" si="13"/>
        <v/>
      </c>
      <c r="CS252" s="272"/>
      <c r="CT252" s="272"/>
      <c r="CU252" s="272"/>
      <c r="CV252" s="272"/>
      <c r="CW252" s="272" t="str">
        <f t="shared" si="14"/>
        <v/>
      </c>
      <c r="CX252" s="272"/>
      <c r="CY252" s="272"/>
      <c r="CZ252" s="272"/>
      <c r="DA252" s="272"/>
      <c r="DB252" s="272" t="str">
        <f t="shared" si="15"/>
        <v/>
      </c>
      <c r="DC252" s="272"/>
      <c r="DD252" s="272"/>
      <c r="DE252" s="272"/>
      <c r="DF252" s="272"/>
      <c r="DG252" s="272" t="str">
        <f t="shared" si="16"/>
        <v/>
      </c>
      <c r="DH252" s="272"/>
      <c r="DI252" s="272"/>
      <c r="DJ252" s="272"/>
      <c r="DK252" s="273"/>
      <c r="DL252" s="267" t="str">
        <f t="shared" si="17"/>
        <v/>
      </c>
      <c r="DM252" s="268"/>
      <c r="DN252" s="268"/>
      <c r="DO252" s="263" t="str">
        <f t="shared" si="24"/>
        <v/>
      </c>
      <c r="DP252" s="263" t="str">
        <f t="shared" si="25"/>
        <v/>
      </c>
      <c r="DQ252" s="263"/>
      <c r="DR252" s="263" t="str">
        <f t="shared" si="26"/>
        <v/>
      </c>
      <c r="DS252" s="263"/>
      <c r="DT252" s="263" t="str">
        <f t="shared" si="27"/>
        <v/>
      </c>
      <c r="DU252" s="198"/>
      <c r="DV252" s="198"/>
      <c r="DW252" s="198"/>
      <c r="DX252" s="198"/>
      <c r="DY252" s="198"/>
      <c r="DZ252" s="263" t="str">
        <f t="shared" si="18"/>
        <v/>
      </c>
      <c r="EA252" s="263"/>
      <c r="EB252" s="263"/>
      <c r="EC252" s="263" t="str">
        <f t="shared" si="19"/>
        <v/>
      </c>
      <c r="ED252" s="263"/>
      <c r="EE252" s="265"/>
    </row>
    <row r="253" spans="1:135" ht="12.75" customHeight="1" x14ac:dyDescent="0.2">
      <c r="A253" s="54"/>
      <c r="B253" s="54"/>
      <c r="C253" s="54"/>
      <c r="D253" s="274"/>
      <c r="E253" s="274"/>
      <c r="F253" s="274"/>
      <c r="G253" s="274"/>
      <c r="H253" s="274"/>
      <c r="I253" s="274"/>
      <c r="J253" s="274"/>
      <c r="K253" s="274"/>
      <c r="L253" s="274"/>
      <c r="M253" s="274"/>
      <c r="N253" s="274"/>
      <c r="O253" s="274"/>
      <c r="P253" s="275" t="str">
        <f t="shared" si="2"/>
        <v/>
      </c>
      <c r="Q253" s="275"/>
      <c r="R253" s="275"/>
      <c r="S253" s="275"/>
      <c r="T253" s="275" t="str">
        <f t="shared" si="3"/>
        <v/>
      </c>
      <c r="U253" s="275"/>
      <c r="V253" s="275"/>
      <c r="W253" s="275"/>
      <c r="X253" s="275" t="str">
        <f t="shared" si="4"/>
        <v/>
      </c>
      <c r="Y253" s="275"/>
      <c r="Z253" s="275"/>
      <c r="AA253" s="275"/>
      <c r="AB253" s="276" t="str">
        <f t="shared" si="23"/>
        <v/>
      </c>
      <c r="AC253" s="276"/>
      <c r="AD253" s="276"/>
      <c r="AE253" s="276"/>
      <c r="AJ253" s="169"/>
      <c r="AK253" s="96"/>
      <c r="AL253" s="260"/>
      <c r="AM253" s="259"/>
      <c r="AN253" s="259"/>
      <c r="AO253" s="259"/>
      <c r="AP253" s="259"/>
      <c r="AQ253" s="259"/>
      <c r="AR253" s="259"/>
      <c r="AS253" s="259"/>
      <c r="AT253" s="261"/>
      <c r="AU253" s="261"/>
      <c r="AV253" s="261"/>
      <c r="AW253" s="261"/>
      <c r="AX253" s="261"/>
      <c r="AY253" s="261"/>
      <c r="AZ253" s="261"/>
      <c r="BA253" s="262"/>
      <c r="BB253" s="242" t="str">
        <f t="shared" si="5"/>
        <v/>
      </c>
      <c r="BC253" s="243"/>
      <c r="BD253" s="243"/>
      <c r="BE253" s="243"/>
      <c r="BF253" s="249" t="str">
        <f t="shared" si="6"/>
        <v/>
      </c>
      <c r="BG253" s="249"/>
      <c r="BH253" s="249"/>
      <c r="BI253" s="250"/>
      <c r="BJ253" s="260"/>
      <c r="BK253" s="259"/>
      <c r="BL253" s="249" t="str">
        <f t="shared" si="7"/>
        <v/>
      </c>
      <c r="BM253" s="249"/>
      <c r="BN253" s="249"/>
      <c r="BO253" s="249"/>
      <c r="BP253" s="259"/>
      <c r="BQ253" s="259"/>
      <c r="BR253" s="249" t="str">
        <f t="shared" si="8"/>
        <v/>
      </c>
      <c r="BS253" s="249"/>
      <c r="BT253" s="249"/>
      <c r="BU253" s="249"/>
      <c r="BV253" s="259"/>
      <c r="BW253" s="259"/>
      <c r="BX253" s="249" t="str">
        <f t="shared" si="9"/>
        <v/>
      </c>
      <c r="BY253" s="249"/>
      <c r="BZ253" s="249"/>
      <c r="CA253" s="249"/>
      <c r="CB253" s="259"/>
      <c r="CC253" s="259"/>
      <c r="CD253" s="249" t="str">
        <f t="shared" si="10"/>
        <v/>
      </c>
      <c r="CE253" s="249"/>
      <c r="CF253" s="249"/>
      <c r="CG253" s="250"/>
      <c r="CH253" s="271" t="str">
        <f t="shared" si="11"/>
        <v/>
      </c>
      <c r="CI253" s="272"/>
      <c r="CJ253" s="272"/>
      <c r="CK253" s="272"/>
      <c r="CL253" s="272"/>
      <c r="CM253" s="272" t="str">
        <f t="shared" si="12"/>
        <v/>
      </c>
      <c r="CN253" s="272"/>
      <c r="CO253" s="272"/>
      <c r="CP253" s="272"/>
      <c r="CQ253" s="272"/>
      <c r="CR253" s="272" t="str">
        <f t="shared" si="13"/>
        <v/>
      </c>
      <c r="CS253" s="272"/>
      <c r="CT253" s="272"/>
      <c r="CU253" s="272"/>
      <c r="CV253" s="272"/>
      <c r="CW253" s="272" t="str">
        <f t="shared" si="14"/>
        <v/>
      </c>
      <c r="CX253" s="272"/>
      <c r="CY253" s="272"/>
      <c r="CZ253" s="272"/>
      <c r="DA253" s="272"/>
      <c r="DB253" s="272" t="str">
        <f t="shared" si="15"/>
        <v/>
      </c>
      <c r="DC253" s="272"/>
      <c r="DD253" s="272"/>
      <c r="DE253" s="272"/>
      <c r="DF253" s="272"/>
      <c r="DG253" s="272" t="str">
        <f t="shared" si="16"/>
        <v/>
      </c>
      <c r="DH253" s="272"/>
      <c r="DI253" s="272"/>
      <c r="DJ253" s="272"/>
      <c r="DK253" s="273"/>
      <c r="DL253" s="267" t="str">
        <f t="shared" si="17"/>
        <v/>
      </c>
      <c r="DM253" s="268"/>
      <c r="DN253" s="268"/>
      <c r="DO253" s="263" t="str">
        <f t="shared" si="24"/>
        <v/>
      </c>
      <c r="DP253" s="263" t="str">
        <f t="shared" si="25"/>
        <v/>
      </c>
      <c r="DQ253" s="263"/>
      <c r="DR253" s="263" t="str">
        <f t="shared" si="26"/>
        <v/>
      </c>
      <c r="DS253" s="263"/>
      <c r="DT253" s="263" t="str">
        <f t="shared" si="27"/>
        <v/>
      </c>
      <c r="DU253" s="198"/>
      <c r="DV253" s="198"/>
      <c r="DW253" s="198"/>
      <c r="DX253" s="198"/>
      <c r="DY253" s="198"/>
      <c r="DZ253" s="263" t="str">
        <f t="shared" si="18"/>
        <v/>
      </c>
      <c r="EA253" s="263"/>
      <c r="EB253" s="263"/>
      <c r="EC253" s="263" t="str">
        <f t="shared" si="19"/>
        <v/>
      </c>
      <c r="ED253" s="263"/>
      <c r="EE253" s="265"/>
    </row>
    <row r="254" spans="1:135" ht="12.75" customHeight="1" x14ac:dyDescent="0.2">
      <c r="A254" s="54"/>
      <c r="B254" s="54"/>
      <c r="C254" s="54"/>
      <c r="D254" s="274"/>
      <c r="E254" s="274"/>
      <c r="F254" s="274"/>
      <c r="G254" s="274"/>
      <c r="H254" s="274"/>
      <c r="I254" s="274"/>
      <c r="J254" s="274"/>
      <c r="K254" s="274"/>
      <c r="L254" s="274"/>
      <c r="M254" s="274"/>
      <c r="N254" s="274"/>
      <c r="O254" s="274"/>
      <c r="P254" s="275" t="str">
        <f t="shared" si="2"/>
        <v/>
      </c>
      <c r="Q254" s="275"/>
      <c r="R254" s="275"/>
      <c r="S254" s="275"/>
      <c r="T254" s="275" t="str">
        <f t="shared" si="3"/>
        <v/>
      </c>
      <c r="U254" s="275"/>
      <c r="V254" s="275"/>
      <c r="W254" s="275"/>
      <c r="X254" s="275" t="str">
        <f t="shared" si="4"/>
        <v/>
      </c>
      <c r="Y254" s="275"/>
      <c r="Z254" s="275"/>
      <c r="AA254" s="275"/>
      <c r="AB254" s="276" t="str">
        <f t="shared" si="23"/>
        <v/>
      </c>
      <c r="AC254" s="276"/>
      <c r="AD254" s="276"/>
      <c r="AE254" s="276"/>
      <c r="AJ254" s="169"/>
      <c r="AK254" s="96"/>
      <c r="AL254" s="260"/>
      <c r="AM254" s="259"/>
      <c r="AN254" s="259"/>
      <c r="AO254" s="259"/>
      <c r="AP254" s="259"/>
      <c r="AQ254" s="259"/>
      <c r="AR254" s="259"/>
      <c r="AS254" s="259"/>
      <c r="AT254" s="261"/>
      <c r="AU254" s="261"/>
      <c r="AV254" s="261"/>
      <c r="AW254" s="261"/>
      <c r="AX254" s="261"/>
      <c r="AY254" s="261"/>
      <c r="AZ254" s="261"/>
      <c r="BA254" s="262"/>
      <c r="BB254" s="242" t="str">
        <f t="shared" si="5"/>
        <v/>
      </c>
      <c r="BC254" s="243"/>
      <c r="BD254" s="243"/>
      <c r="BE254" s="243"/>
      <c r="BF254" s="249" t="str">
        <f t="shared" si="6"/>
        <v/>
      </c>
      <c r="BG254" s="249"/>
      <c r="BH254" s="249"/>
      <c r="BI254" s="250"/>
      <c r="BJ254" s="260"/>
      <c r="BK254" s="259"/>
      <c r="BL254" s="249" t="str">
        <f t="shared" si="7"/>
        <v/>
      </c>
      <c r="BM254" s="249"/>
      <c r="BN254" s="249"/>
      <c r="BO254" s="249"/>
      <c r="BP254" s="259"/>
      <c r="BQ254" s="259"/>
      <c r="BR254" s="249" t="str">
        <f t="shared" si="8"/>
        <v/>
      </c>
      <c r="BS254" s="249"/>
      <c r="BT254" s="249"/>
      <c r="BU254" s="249"/>
      <c r="BV254" s="259"/>
      <c r="BW254" s="259"/>
      <c r="BX254" s="249" t="str">
        <f t="shared" si="9"/>
        <v/>
      </c>
      <c r="BY254" s="249"/>
      <c r="BZ254" s="249"/>
      <c r="CA254" s="249"/>
      <c r="CB254" s="259"/>
      <c r="CC254" s="259"/>
      <c r="CD254" s="249" t="str">
        <f t="shared" si="10"/>
        <v/>
      </c>
      <c r="CE254" s="249"/>
      <c r="CF254" s="249"/>
      <c r="CG254" s="250"/>
      <c r="CH254" s="271" t="str">
        <f t="shared" si="11"/>
        <v/>
      </c>
      <c r="CI254" s="272"/>
      <c r="CJ254" s="272"/>
      <c r="CK254" s="272"/>
      <c r="CL254" s="272"/>
      <c r="CM254" s="272" t="str">
        <f t="shared" si="12"/>
        <v/>
      </c>
      <c r="CN254" s="272"/>
      <c r="CO254" s="272"/>
      <c r="CP254" s="272"/>
      <c r="CQ254" s="272"/>
      <c r="CR254" s="272" t="str">
        <f t="shared" si="13"/>
        <v/>
      </c>
      <c r="CS254" s="272"/>
      <c r="CT254" s="272"/>
      <c r="CU254" s="272"/>
      <c r="CV254" s="272"/>
      <c r="CW254" s="272" t="str">
        <f t="shared" si="14"/>
        <v/>
      </c>
      <c r="CX254" s="272"/>
      <c r="CY254" s="272"/>
      <c r="CZ254" s="272"/>
      <c r="DA254" s="272"/>
      <c r="DB254" s="272" t="str">
        <f t="shared" si="15"/>
        <v/>
      </c>
      <c r="DC254" s="272"/>
      <c r="DD254" s="272"/>
      <c r="DE254" s="272"/>
      <c r="DF254" s="272"/>
      <c r="DG254" s="272" t="str">
        <f t="shared" si="16"/>
        <v/>
      </c>
      <c r="DH254" s="272"/>
      <c r="DI254" s="272"/>
      <c r="DJ254" s="272"/>
      <c r="DK254" s="273"/>
      <c r="DL254" s="267" t="str">
        <f t="shared" si="17"/>
        <v/>
      </c>
      <c r="DM254" s="268"/>
      <c r="DN254" s="268"/>
      <c r="DO254" s="263" t="str">
        <f t="shared" si="24"/>
        <v/>
      </c>
      <c r="DP254" s="263" t="str">
        <f t="shared" si="25"/>
        <v/>
      </c>
      <c r="DQ254" s="263"/>
      <c r="DR254" s="263" t="str">
        <f t="shared" si="26"/>
        <v/>
      </c>
      <c r="DS254" s="263"/>
      <c r="DT254" s="263" t="str">
        <f t="shared" si="27"/>
        <v/>
      </c>
      <c r="DU254" s="198"/>
      <c r="DV254" s="198"/>
      <c r="DW254" s="198"/>
      <c r="DX254" s="198"/>
      <c r="DY254" s="198"/>
      <c r="DZ254" s="263" t="str">
        <f t="shared" si="18"/>
        <v/>
      </c>
      <c r="EA254" s="263"/>
      <c r="EB254" s="263"/>
      <c r="EC254" s="263" t="str">
        <f t="shared" si="19"/>
        <v/>
      </c>
      <c r="ED254" s="263"/>
      <c r="EE254" s="265"/>
    </row>
    <row r="255" spans="1:135" ht="12.75" customHeight="1" x14ac:dyDescent="0.2">
      <c r="A255" s="54"/>
      <c r="B255" s="54"/>
      <c r="C255" s="54"/>
      <c r="D255" s="274"/>
      <c r="E255" s="274"/>
      <c r="F255" s="274"/>
      <c r="G255" s="274"/>
      <c r="H255" s="274"/>
      <c r="I255" s="274"/>
      <c r="J255" s="274"/>
      <c r="K255" s="274"/>
      <c r="L255" s="274"/>
      <c r="M255" s="274"/>
      <c r="N255" s="274"/>
      <c r="O255" s="274"/>
      <c r="P255" s="275" t="str">
        <f t="shared" si="2"/>
        <v/>
      </c>
      <c r="Q255" s="275"/>
      <c r="R255" s="275"/>
      <c r="S255" s="275"/>
      <c r="T255" s="275" t="str">
        <f t="shared" si="3"/>
        <v/>
      </c>
      <c r="U255" s="275"/>
      <c r="V255" s="275"/>
      <c r="W255" s="275"/>
      <c r="X255" s="275" t="str">
        <f t="shared" si="4"/>
        <v/>
      </c>
      <c r="Y255" s="275"/>
      <c r="Z255" s="275"/>
      <c r="AA255" s="275"/>
      <c r="AB255" s="276" t="str">
        <f t="shared" si="23"/>
        <v/>
      </c>
      <c r="AC255" s="276"/>
      <c r="AD255" s="276"/>
      <c r="AE255" s="276"/>
      <c r="AJ255" s="169"/>
      <c r="AK255" s="96"/>
      <c r="AL255" s="260"/>
      <c r="AM255" s="259"/>
      <c r="AN255" s="259"/>
      <c r="AO255" s="259"/>
      <c r="AP255" s="259"/>
      <c r="AQ255" s="259"/>
      <c r="AR255" s="259"/>
      <c r="AS255" s="259"/>
      <c r="AT255" s="261"/>
      <c r="AU255" s="261"/>
      <c r="AV255" s="261"/>
      <c r="AW255" s="261"/>
      <c r="AX255" s="261"/>
      <c r="AY255" s="261"/>
      <c r="AZ255" s="261"/>
      <c r="BA255" s="262"/>
      <c r="BB255" s="242" t="str">
        <f t="shared" si="5"/>
        <v/>
      </c>
      <c r="BC255" s="243"/>
      <c r="BD255" s="243"/>
      <c r="BE255" s="243"/>
      <c r="BF255" s="249" t="str">
        <f t="shared" si="6"/>
        <v/>
      </c>
      <c r="BG255" s="249"/>
      <c r="BH255" s="249"/>
      <c r="BI255" s="250"/>
      <c r="BJ255" s="260"/>
      <c r="BK255" s="259"/>
      <c r="BL255" s="249" t="str">
        <f t="shared" si="7"/>
        <v/>
      </c>
      <c r="BM255" s="249"/>
      <c r="BN255" s="249"/>
      <c r="BO255" s="249"/>
      <c r="BP255" s="259"/>
      <c r="BQ255" s="259"/>
      <c r="BR255" s="249" t="str">
        <f t="shared" si="8"/>
        <v/>
      </c>
      <c r="BS255" s="249"/>
      <c r="BT255" s="249"/>
      <c r="BU255" s="249"/>
      <c r="BV255" s="259"/>
      <c r="BW255" s="259"/>
      <c r="BX255" s="249" t="str">
        <f t="shared" si="9"/>
        <v/>
      </c>
      <c r="BY255" s="249"/>
      <c r="BZ255" s="249"/>
      <c r="CA255" s="249"/>
      <c r="CB255" s="259"/>
      <c r="CC255" s="259"/>
      <c r="CD255" s="249" t="str">
        <f t="shared" si="10"/>
        <v/>
      </c>
      <c r="CE255" s="249"/>
      <c r="CF255" s="249"/>
      <c r="CG255" s="250"/>
      <c r="CH255" s="271" t="str">
        <f t="shared" si="11"/>
        <v/>
      </c>
      <c r="CI255" s="272"/>
      <c r="CJ255" s="272"/>
      <c r="CK255" s="272"/>
      <c r="CL255" s="272"/>
      <c r="CM255" s="272" t="str">
        <f t="shared" si="12"/>
        <v/>
      </c>
      <c r="CN255" s="272"/>
      <c r="CO255" s="272"/>
      <c r="CP255" s="272"/>
      <c r="CQ255" s="272"/>
      <c r="CR255" s="272" t="str">
        <f t="shared" si="13"/>
        <v/>
      </c>
      <c r="CS255" s="272"/>
      <c r="CT255" s="272"/>
      <c r="CU255" s="272"/>
      <c r="CV255" s="272"/>
      <c r="CW255" s="272" t="str">
        <f t="shared" si="14"/>
        <v/>
      </c>
      <c r="CX255" s="272"/>
      <c r="CY255" s="272"/>
      <c r="CZ255" s="272"/>
      <c r="DA255" s="272"/>
      <c r="DB255" s="272" t="str">
        <f t="shared" si="15"/>
        <v/>
      </c>
      <c r="DC255" s="272"/>
      <c r="DD255" s="272"/>
      <c r="DE255" s="272"/>
      <c r="DF255" s="272"/>
      <c r="DG255" s="272" t="str">
        <f t="shared" si="16"/>
        <v/>
      </c>
      <c r="DH255" s="272"/>
      <c r="DI255" s="272"/>
      <c r="DJ255" s="272"/>
      <c r="DK255" s="273"/>
      <c r="DL255" s="267" t="str">
        <f t="shared" si="17"/>
        <v/>
      </c>
      <c r="DM255" s="268"/>
      <c r="DN255" s="268"/>
      <c r="DO255" s="263" t="str">
        <f t="shared" si="24"/>
        <v/>
      </c>
      <c r="DP255" s="263" t="str">
        <f t="shared" si="25"/>
        <v/>
      </c>
      <c r="DQ255" s="263"/>
      <c r="DR255" s="263" t="str">
        <f t="shared" si="26"/>
        <v/>
      </c>
      <c r="DS255" s="263"/>
      <c r="DT255" s="263" t="str">
        <f t="shared" si="27"/>
        <v/>
      </c>
      <c r="DU255" s="198"/>
      <c r="DV255" s="198"/>
      <c r="DW255" s="198"/>
      <c r="DX255" s="198"/>
      <c r="DY255" s="198"/>
      <c r="DZ255" s="263" t="str">
        <f t="shared" si="18"/>
        <v/>
      </c>
      <c r="EA255" s="263"/>
      <c r="EB255" s="263"/>
      <c r="EC255" s="263" t="str">
        <f t="shared" si="19"/>
        <v/>
      </c>
      <c r="ED255" s="263"/>
      <c r="EE255" s="265"/>
    </row>
    <row r="256" spans="1:135" ht="12.75" customHeight="1" x14ac:dyDescent="0.2">
      <c r="A256" s="54"/>
      <c r="B256" s="54"/>
      <c r="C256" s="54"/>
      <c r="D256" s="274"/>
      <c r="E256" s="274"/>
      <c r="F256" s="274"/>
      <c r="G256" s="274"/>
      <c r="H256" s="274"/>
      <c r="I256" s="274"/>
      <c r="J256" s="274"/>
      <c r="K256" s="274"/>
      <c r="L256" s="274"/>
      <c r="M256" s="274"/>
      <c r="N256" s="274"/>
      <c r="O256" s="274"/>
      <c r="P256" s="275" t="str">
        <f t="shared" si="2"/>
        <v/>
      </c>
      <c r="Q256" s="275"/>
      <c r="R256" s="275"/>
      <c r="S256" s="275"/>
      <c r="T256" s="275" t="str">
        <f t="shared" si="3"/>
        <v/>
      </c>
      <c r="U256" s="275"/>
      <c r="V256" s="275"/>
      <c r="W256" s="275"/>
      <c r="X256" s="275" t="str">
        <f t="shared" si="4"/>
        <v/>
      </c>
      <c r="Y256" s="275"/>
      <c r="Z256" s="275"/>
      <c r="AA256" s="275"/>
      <c r="AB256" s="276" t="str">
        <f t="shared" si="23"/>
        <v/>
      </c>
      <c r="AC256" s="276"/>
      <c r="AD256" s="276"/>
      <c r="AE256" s="276"/>
      <c r="AJ256" s="169"/>
      <c r="AK256" s="96"/>
      <c r="AL256" s="260"/>
      <c r="AM256" s="259"/>
      <c r="AN256" s="259"/>
      <c r="AO256" s="259"/>
      <c r="AP256" s="259"/>
      <c r="AQ256" s="259"/>
      <c r="AR256" s="259"/>
      <c r="AS256" s="259"/>
      <c r="AT256" s="261"/>
      <c r="AU256" s="261"/>
      <c r="AV256" s="261"/>
      <c r="AW256" s="261"/>
      <c r="AX256" s="261"/>
      <c r="AY256" s="261"/>
      <c r="AZ256" s="261"/>
      <c r="BA256" s="262"/>
      <c r="BB256" s="242" t="str">
        <f t="shared" si="5"/>
        <v/>
      </c>
      <c r="BC256" s="243"/>
      <c r="BD256" s="243"/>
      <c r="BE256" s="243"/>
      <c r="BF256" s="249" t="str">
        <f t="shared" si="6"/>
        <v/>
      </c>
      <c r="BG256" s="249"/>
      <c r="BH256" s="249"/>
      <c r="BI256" s="250"/>
      <c r="BJ256" s="260"/>
      <c r="BK256" s="259"/>
      <c r="BL256" s="249" t="str">
        <f t="shared" si="7"/>
        <v/>
      </c>
      <c r="BM256" s="249"/>
      <c r="BN256" s="249"/>
      <c r="BO256" s="249"/>
      <c r="BP256" s="259"/>
      <c r="BQ256" s="259"/>
      <c r="BR256" s="249" t="str">
        <f t="shared" si="8"/>
        <v/>
      </c>
      <c r="BS256" s="249"/>
      <c r="BT256" s="249"/>
      <c r="BU256" s="249"/>
      <c r="BV256" s="259"/>
      <c r="BW256" s="259"/>
      <c r="BX256" s="249" t="str">
        <f t="shared" si="9"/>
        <v/>
      </c>
      <c r="BY256" s="249"/>
      <c r="BZ256" s="249"/>
      <c r="CA256" s="249"/>
      <c r="CB256" s="259"/>
      <c r="CC256" s="259"/>
      <c r="CD256" s="249" t="str">
        <f t="shared" si="10"/>
        <v/>
      </c>
      <c r="CE256" s="249"/>
      <c r="CF256" s="249"/>
      <c r="CG256" s="250"/>
      <c r="CH256" s="271" t="str">
        <f t="shared" si="11"/>
        <v/>
      </c>
      <c r="CI256" s="272"/>
      <c r="CJ256" s="272"/>
      <c r="CK256" s="272"/>
      <c r="CL256" s="272"/>
      <c r="CM256" s="272" t="str">
        <f t="shared" si="12"/>
        <v/>
      </c>
      <c r="CN256" s="272"/>
      <c r="CO256" s="272"/>
      <c r="CP256" s="272"/>
      <c r="CQ256" s="272"/>
      <c r="CR256" s="272" t="str">
        <f t="shared" si="13"/>
        <v/>
      </c>
      <c r="CS256" s="272"/>
      <c r="CT256" s="272"/>
      <c r="CU256" s="272"/>
      <c r="CV256" s="272"/>
      <c r="CW256" s="272" t="str">
        <f t="shared" si="14"/>
        <v/>
      </c>
      <c r="CX256" s="272"/>
      <c r="CY256" s="272"/>
      <c r="CZ256" s="272"/>
      <c r="DA256" s="272"/>
      <c r="DB256" s="272" t="str">
        <f t="shared" si="15"/>
        <v/>
      </c>
      <c r="DC256" s="272"/>
      <c r="DD256" s="272"/>
      <c r="DE256" s="272"/>
      <c r="DF256" s="272"/>
      <c r="DG256" s="272" t="str">
        <f t="shared" si="16"/>
        <v/>
      </c>
      <c r="DH256" s="272"/>
      <c r="DI256" s="272"/>
      <c r="DJ256" s="272"/>
      <c r="DK256" s="273"/>
      <c r="DL256" s="267" t="str">
        <f t="shared" si="17"/>
        <v/>
      </c>
      <c r="DM256" s="268"/>
      <c r="DN256" s="268"/>
      <c r="DO256" s="263" t="str">
        <f t="shared" si="24"/>
        <v/>
      </c>
      <c r="DP256" s="263" t="str">
        <f t="shared" si="25"/>
        <v/>
      </c>
      <c r="DQ256" s="263"/>
      <c r="DR256" s="263" t="str">
        <f t="shared" si="26"/>
        <v/>
      </c>
      <c r="DS256" s="263"/>
      <c r="DT256" s="263" t="str">
        <f t="shared" si="27"/>
        <v/>
      </c>
      <c r="DU256" s="198"/>
      <c r="DV256" s="198"/>
      <c r="DW256" s="198"/>
      <c r="DX256" s="198"/>
      <c r="DY256" s="198"/>
      <c r="DZ256" s="263" t="str">
        <f t="shared" si="18"/>
        <v/>
      </c>
      <c r="EA256" s="263"/>
      <c r="EB256" s="263"/>
      <c r="EC256" s="263" t="str">
        <f t="shared" si="19"/>
        <v/>
      </c>
      <c r="ED256" s="263"/>
      <c r="EE256" s="265"/>
    </row>
    <row r="257" spans="1:135" ht="12.75" customHeight="1" x14ac:dyDescent="0.2">
      <c r="A257" s="54"/>
      <c r="B257" s="54"/>
      <c r="C257" s="54"/>
      <c r="D257" s="274"/>
      <c r="E257" s="274"/>
      <c r="F257" s="274"/>
      <c r="G257" s="274"/>
      <c r="H257" s="274"/>
      <c r="I257" s="274"/>
      <c r="J257" s="274"/>
      <c r="K257" s="274"/>
      <c r="L257" s="274"/>
      <c r="M257" s="274"/>
      <c r="N257" s="274"/>
      <c r="O257" s="274"/>
      <c r="P257" s="275" t="str">
        <f t="shared" si="2"/>
        <v/>
      </c>
      <c r="Q257" s="275"/>
      <c r="R257" s="275"/>
      <c r="S257" s="275"/>
      <c r="T257" s="275" t="str">
        <f t="shared" si="3"/>
        <v/>
      </c>
      <c r="U257" s="275"/>
      <c r="V257" s="275"/>
      <c r="W257" s="275"/>
      <c r="X257" s="275" t="str">
        <f t="shared" si="4"/>
        <v/>
      </c>
      <c r="Y257" s="275"/>
      <c r="Z257" s="275"/>
      <c r="AA257" s="275"/>
      <c r="AB257" s="276" t="str">
        <f t="shared" si="23"/>
        <v/>
      </c>
      <c r="AC257" s="276"/>
      <c r="AD257" s="276"/>
      <c r="AE257" s="276"/>
      <c r="AJ257" s="169"/>
      <c r="AK257" s="96"/>
      <c r="AL257" s="260"/>
      <c r="AM257" s="259"/>
      <c r="AN257" s="259"/>
      <c r="AO257" s="259"/>
      <c r="AP257" s="259"/>
      <c r="AQ257" s="259"/>
      <c r="AR257" s="259"/>
      <c r="AS257" s="259"/>
      <c r="AT257" s="261"/>
      <c r="AU257" s="261"/>
      <c r="AV257" s="261"/>
      <c r="AW257" s="261"/>
      <c r="AX257" s="261"/>
      <c r="AY257" s="261"/>
      <c r="AZ257" s="261"/>
      <c r="BA257" s="262"/>
      <c r="BB257" s="242" t="str">
        <f t="shared" si="5"/>
        <v/>
      </c>
      <c r="BC257" s="243"/>
      <c r="BD257" s="243"/>
      <c r="BE257" s="243"/>
      <c r="BF257" s="249" t="str">
        <f t="shared" si="6"/>
        <v/>
      </c>
      <c r="BG257" s="249"/>
      <c r="BH257" s="249"/>
      <c r="BI257" s="250"/>
      <c r="BJ257" s="260"/>
      <c r="BK257" s="259"/>
      <c r="BL257" s="249" t="str">
        <f t="shared" si="7"/>
        <v/>
      </c>
      <c r="BM257" s="249"/>
      <c r="BN257" s="249"/>
      <c r="BO257" s="249"/>
      <c r="BP257" s="259"/>
      <c r="BQ257" s="259"/>
      <c r="BR257" s="249" t="str">
        <f t="shared" si="8"/>
        <v/>
      </c>
      <c r="BS257" s="249"/>
      <c r="BT257" s="249"/>
      <c r="BU257" s="249"/>
      <c r="BV257" s="259"/>
      <c r="BW257" s="259"/>
      <c r="BX257" s="249" t="str">
        <f t="shared" si="9"/>
        <v/>
      </c>
      <c r="BY257" s="249"/>
      <c r="BZ257" s="249"/>
      <c r="CA257" s="249"/>
      <c r="CB257" s="259"/>
      <c r="CC257" s="259"/>
      <c r="CD257" s="249" t="str">
        <f t="shared" si="10"/>
        <v/>
      </c>
      <c r="CE257" s="249"/>
      <c r="CF257" s="249"/>
      <c r="CG257" s="250"/>
      <c r="CH257" s="271" t="str">
        <f t="shared" si="11"/>
        <v/>
      </c>
      <c r="CI257" s="272"/>
      <c r="CJ257" s="272"/>
      <c r="CK257" s="272"/>
      <c r="CL257" s="272"/>
      <c r="CM257" s="272" t="str">
        <f t="shared" si="12"/>
        <v/>
      </c>
      <c r="CN257" s="272"/>
      <c r="CO257" s="272"/>
      <c r="CP257" s="272"/>
      <c r="CQ257" s="272"/>
      <c r="CR257" s="272" t="str">
        <f t="shared" si="13"/>
        <v/>
      </c>
      <c r="CS257" s="272"/>
      <c r="CT257" s="272"/>
      <c r="CU257" s="272"/>
      <c r="CV257" s="272"/>
      <c r="CW257" s="272" t="str">
        <f t="shared" si="14"/>
        <v/>
      </c>
      <c r="CX257" s="272"/>
      <c r="CY257" s="272"/>
      <c r="CZ257" s="272"/>
      <c r="DA257" s="272"/>
      <c r="DB257" s="272" t="str">
        <f t="shared" si="15"/>
        <v/>
      </c>
      <c r="DC257" s="272"/>
      <c r="DD257" s="272"/>
      <c r="DE257" s="272"/>
      <c r="DF257" s="272"/>
      <c r="DG257" s="272" t="str">
        <f t="shared" si="16"/>
        <v/>
      </c>
      <c r="DH257" s="272"/>
      <c r="DI257" s="272"/>
      <c r="DJ257" s="272"/>
      <c r="DK257" s="273"/>
      <c r="DL257" s="267" t="str">
        <f t="shared" si="17"/>
        <v/>
      </c>
      <c r="DM257" s="268"/>
      <c r="DN257" s="268"/>
      <c r="DO257" s="263" t="str">
        <f t="shared" si="24"/>
        <v/>
      </c>
      <c r="DP257" s="263" t="str">
        <f t="shared" si="25"/>
        <v/>
      </c>
      <c r="DQ257" s="263"/>
      <c r="DR257" s="263" t="str">
        <f t="shared" si="26"/>
        <v/>
      </c>
      <c r="DS257" s="263"/>
      <c r="DT257" s="263" t="str">
        <f t="shared" si="27"/>
        <v/>
      </c>
      <c r="DU257" s="198"/>
      <c r="DV257" s="198"/>
      <c r="DW257" s="198"/>
      <c r="DX257" s="198"/>
      <c r="DY257" s="198"/>
      <c r="DZ257" s="263" t="str">
        <f t="shared" si="18"/>
        <v/>
      </c>
      <c r="EA257" s="263"/>
      <c r="EB257" s="263"/>
      <c r="EC257" s="263" t="str">
        <f t="shared" si="19"/>
        <v/>
      </c>
      <c r="ED257" s="263"/>
      <c r="EE257" s="265"/>
    </row>
    <row r="258" spans="1:135" ht="12.75" customHeight="1" x14ac:dyDescent="0.2">
      <c r="A258" s="54"/>
      <c r="B258" s="54"/>
      <c r="C258" s="54"/>
      <c r="D258" s="274"/>
      <c r="E258" s="274"/>
      <c r="F258" s="274"/>
      <c r="G258" s="274"/>
      <c r="H258" s="274"/>
      <c r="I258" s="274"/>
      <c r="J258" s="274"/>
      <c r="K258" s="274"/>
      <c r="L258" s="274"/>
      <c r="M258" s="274"/>
      <c r="N258" s="274"/>
      <c r="O258" s="274"/>
      <c r="P258" s="275" t="str">
        <f t="shared" si="2"/>
        <v/>
      </c>
      <c r="Q258" s="275"/>
      <c r="R258" s="275"/>
      <c r="S258" s="275"/>
      <c r="T258" s="275" t="str">
        <f t="shared" si="3"/>
        <v/>
      </c>
      <c r="U258" s="275"/>
      <c r="V258" s="275"/>
      <c r="W258" s="275"/>
      <c r="X258" s="275" t="str">
        <f t="shared" si="4"/>
        <v/>
      </c>
      <c r="Y258" s="275"/>
      <c r="Z258" s="275"/>
      <c r="AA258" s="275"/>
      <c r="AB258" s="276" t="str">
        <f t="shared" si="23"/>
        <v/>
      </c>
      <c r="AC258" s="276"/>
      <c r="AD258" s="276"/>
      <c r="AE258" s="276"/>
      <c r="AJ258" s="169"/>
      <c r="AK258" s="96"/>
      <c r="AL258" s="260"/>
      <c r="AM258" s="259"/>
      <c r="AN258" s="259"/>
      <c r="AO258" s="259"/>
      <c r="AP258" s="259"/>
      <c r="AQ258" s="259"/>
      <c r="AR258" s="259"/>
      <c r="AS258" s="259"/>
      <c r="AT258" s="261"/>
      <c r="AU258" s="261"/>
      <c r="AV258" s="261"/>
      <c r="AW258" s="261"/>
      <c r="AX258" s="261"/>
      <c r="AY258" s="261"/>
      <c r="AZ258" s="261"/>
      <c r="BA258" s="262"/>
      <c r="BB258" s="242" t="str">
        <f t="shared" si="5"/>
        <v/>
      </c>
      <c r="BC258" s="243"/>
      <c r="BD258" s="243"/>
      <c r="BE258" s="243"/>
      <c r="BF258" s="249" t="str">
        <f t="shared" si="6"/>
        <v/>
      </c>
      <c r="BG258" s="249"/>
      <c r="BH258" s="249"/>
      <c r="BI258" s="250"/>
      <c r="BJ258" s="260"/>
      <c r="BK258" s="259"/>
      <c r="BL258" s="249" t="str">
        <f t="shared" si="7"/>
        <v/>
      </c>
      <c r="BM258" s="249"/>
      <c r="BN258" s="249"/>
      <c r="BO258" s="249"/>
      <c r="BP258" s="259"/>
      <c r="BQ258" s="259"/>
      <c r="BR258" s="249" t="str">
        <f t="shared" si="8"/>
        <v/>
      </c>
      <c r="BS258" s="249"/>
      <c r="BT258" s="249"/>
      <c r="BU258" s="249"/>
      <c r="BV258" s="259"/>
      <c r="BW258" s="259"/>
      <c r="BX258" s="249" t="str">
        <f t="shared" si="9"/>
        <v/>
      </c>
      <c r="BY258" s="249"/>
      <c r="BZ258" s="249"/>
      <c r="CA258" s="249"/>
      <c r="CB258" s="259"/>
      <c r="CC258" s="259"/>
      <c r="CD258" s="249" t="str">
        <f t="shared" si="10"/>
        <v/>
      </c>
      <c r="CE258" s="249"/>
      <c r="CF258" s="249"/>
      <c r="CG258" s="250"/>
      <c r="CH258" s="271" t="str">
        <f t="shared" si="11"/>
        <v/>
      </c>
      <c r="CI258" s="272"/>
      <c r="CJ258" s="272"/>
      <c r="CK258" s="272"/>
      <c r="CL258" s="272"/>
      <c r="CM258" s="272" t="str">
        <f t="shared" si="12"/>
        <v/>
      </c>
      <c r="CN258" s="272"/>
      <c r="CO258" s="272"/>
      <c r="CP258" s="272"/>
      <c r="CQ258" s="272"/>
      <c r="CR258" s="272" t="str">
        <f t="shared" si="13"/>
        <v/>
      </c>
      <c r="CS258" s="272"/>
      <c r="CT258" s="272"/>
      <c r="CU258" s="272"/>
      <c r="CV258" s="272"/>
      <c r="CW258" s="272" t="str">
        <f t="shared" si="14"/>
        <v/>
      </c>
      <c r="CX258" s="272"/>
      <c r="CY258" s="272"/>
      <c r="CZ258" s="272"/>
      <c r="DA258" s="272"/>
      <c r="DB258" s="272" t="str">
        <f t="shared" si="15"/>
        <v/>
      </c>
      <c r="DC258" s="272"/>
      <c r="DD258" s="272"/>
      <c r="DE258" s="272"/>
      <c r="DF258" s="272"/>
      <c r="DG258" s="272" t="str">
        <f t="shared" si="16"/>
        <v/>
      </c>
      <c r="DH258" s="272"/>
      <c r="DI258" s="272"/>
      <c r="DJ258" s="272"/>
      <c r="DK258" s="273"/>
      <c r="DL258" s="267" t="str">
        <f t="shared" si="17"/>
        <v/>
      </c>
      <c r="DM258" s="268"/>
      <c r="DN258" s="268"/>
      <c r="DO258" s="263" t="str">
        <f t="shared" si="24"/>
        <v/>
      </c>
      <c r="DP258" s="263" t="str">
        <f t="shared" si="25"/>
        <v/>
      </c>
      <c r="DQ258" s="263"/>
      <c r="DR258" s="263" t="str">
        <f t="shared" si="26"/>
        <v/>
      </c>
      <c r="DS258" s="263"/>
      <c r="DT258" s="263" t="str">
        <f t="shared" si="27"/>
        <v/>
      </c>
      <c r="DU258" s="198"/>
      <c r="DV258" s="198"/>
      <c r="DW258" s="198"/>
      <c r="DX258" s="198"/>
      <c r="DY258" s="198"/>
      <c r="DZ258" s="263" t="str">
        <f t="shared" si="18"/>
        <v/>
      </c>
      <c r="EA258" s="263"/>
      <c r="EB258" s="263"/>
      <c r="EC258" s="263" t="str">
        <f t="shared" si="19"/>
        <v/>
      </c>
      <c r="ED258" s="263"/>
      <c r="EE258" s="265"/>
    </row>
    <row r="259" spans="1:135" ht="12.75" customHeight="1" x14ac:dyDescent="0.2">
      <c r="A259" s="54"/>
      <c r="B259" s="54"/>
      <c r="C259" s="54"/>
      <c r="D259" s="274"/>
      <c r="E259" s="274"/>
      <c r="F259" s="274"/>
      <c r="G259" s="274"/>
      <c r="H259" s="274"/>
      <c r="I259" s="274"/>
      <c r="J259" s="274"/>
      <c r="K259" s="274"/>
      <c r="L259" s="274"/>
      <c r="M259" s="274"/>
      <c r="N259" s="274"/>
      <c r="O259" s="274"/>
      <c r="P259" s="275" t="str">
        <f t="shared" si="2"/>
        <v/>
      </c>
      <c r="Q259" s="275"/>
      <c r="R259" s="275"/>
      <c r="S259" s="275"/>
      <c r="T259" s="275" t="str">
        <f t="shared" si="3"/>
        <v/>
      </c>
      <c r="U259" s="275"/>
      <c r="V259" s="275"/>
      <c r="W259" s="275"/>
      <c r="X259" s="275" t="str">
        <f t="shared" si="4"/>
        <v/>
      </c>
      <c r="Y259" s="275"/>
      <c r="Z259" s="275"/>
      <c r="AA259" s="275"/>
      <c r="AB259" s="276" t="str">
        <f t="shared" si="23"/>
        <v/>
      </c>
      <c r="AC259" s="276"/>
      <c r="AD259" s="276"/>
      <c r="AE259" s="276"/>
      <c r="AJ259" s="169"/>
      <c r="AK259" s="96"/>
      <c r="AL259" s="260"/>
      <c r="AM259" s="259"/>
      <c r="AN259" s="259"/>
      <c r="AO259" s="259"/>
      <c r="AP259" s="259"/>
      <c r="AQ259" s="259"/>
      <c r="AR259" s="259"/>
      <c r="AS259" s="259"/>
      <c r="AT259" s="261"/>
      <c r="AU259" s="261"/>
      <c r="AV259" s="261"/>
      <c r="AW259" s="261"/>
      <c r="AX259" s="261"/>
      <c r="AY259" s="261"/>
      <c r="AZ259" s="261"/>
      <c r="BA259" s="262"/>
      <c r="BB259" s="242" t="str">
        <f t="shared" si="5"/>
        <v/>
      </c>
      <c r="BC259" s="243"/>
      <c r="BD259" s="243"/>
      <c r="BE259" s="243"/>
      <c r="BF259" s="249" t="str">
        <f t="shared" si="6"/>
        <v/>
      </c>
      <c r="BG259" s="249"/>
      <c r="BH259" s="249"/>
      <c r="BI259" s="250"/>
      <c r="BJ259" s="260"/>
      <c r="BK259" s="259"/>
      <c r="BL259" s="249" t="str">
        <f t="shared" si="7"/>
        <v/>
      </c>
      <c r="BM259" s="249"/>
      <c r="BN259" s="249"/>
      <c r="BO259" s="249"/>
      <c r="BP259" s="259"/>
      <c r="BQ259" s="259"/>
      <c r="BR259" s="249" t="str">
        <f t="shared" si="8"/>
        <v/>
      </c>
      <c r="BS259" s="249"/>
      <c r="BT259" s="249"/>
      <c r="BU259" s="249"/>
      <c r="BV259" s="259"/>
      <c r="BW259" s="259"/>
      <c r="BX259" s="249" t="str">
        <f t="shared" si="9"/>
        <v/>
      </c>
      <c r="BY259" s="249"/>
      <c r="BZ259" s="249"/>
      <c r="CA259" s="249"/>
      <c r="CB259" s="259"/>
      <c r="CC259" s="259"/>
      <c r="CD259" s="249" t="str">
        <f t="shared" si="10"/>
        <v/>
      </c>
      <c r="CE259" s="249"/>
      <c r="CF259" s="249"/>
      <c r="CG259" s="250"/>
      <c r="CH259" s="271" t="str">
        <f t="shared" si="11"/>
        <v/>
      </c>
      <c r="CI259" s="272"/>
      <c r="CJ259" s="272"/>
      <c r="CK259" s="272"/>
      <c r="CL259" s="272"/>
      <c r="CM259" s="272" t="str">
        <f t="shared" si="12"/>
        <v/>
      </c>
      <c r="CN259" s="272"/>
      <c r="CO259" s="272"/>
      <c r="CP259" s="272"/>
      <c r="CQ259" s="272"/>
      <c r="CR259" s="272" t="str">
        <f t="shared" si="13"/>
        <v/>
      </c>
      <c r="CS259" s="272"/>
      <c r="CT259" s="272"/>
      <c r="CU259" s="272"/>
      <c r="CV259" s="272"/>
      <c r="CW259" s="272" t="str">
        <f t="shared" si="14"/>
        <v/>
      </c>
      <c r="CX259" s="272"/>
      <c r="CY259" s="272"/>
      <c r="CZ259" s="272"/>
      <c r="DA259" s="272"/>
      <c r="DB259" s="272" t="str">
        <f t="shared" si="15"/>
        <v/>
      </c>
      <c r="DC259" s="272"/>
      <c r="DD259" s="272"/>
      <c r="DE259" s="272"/>
      <c r="DF259" s="272"/>
      <c r="DG259" s="272" t="str">
        <f t="shared" si="16"/>
        <v/>
      </c>
      <c r="DH259" s="272"/>
      <c r="DI259" s="272"/>
      <c r="DJ259" s="272"/>
      <c r="DK259" s="273"/>
      <c r="DL259" s="267" t="str">
        <f t="shared" si="17"/>
        <v/>
      </c>
      <c r="DM259" s="268"/>
      <c r="DN259" s="268"/>
      <c r="DO259" s="263" t="str">
        <f t="shared" si="24"/>
        <v/>
      </c>
      <c r="DP259" s="263" t="str">
        <f t="shared" si="25"/>
        <v/>
      </c>
      <c r="DQ259" s="263"/>
      <c r="DR259" s="263" t="str">
        <f t="shared" si="26"/>
        <v/>
      </c>
      <c r="DS259" s="263"/>
      <c r="DT259" s="263" t="str">
        <f t="shared" si="27"/>
        <v/>
      </c>
      <c r="DU259" s="198"/>
      <c r="DV259" s="198"/>
      <c r="DW259" s="198"/>
      <c r="DX259" s="198"/>
      <c r="DY259" s="198"/>
      <c r="DZ259" s="263" t="str">
        <f t="shared" si="18"/>
        <v/>
      </c>
      <c r="EA259" s="263"/>
      <c r="EB259" s="263"/>
      <c r="EC259" s="263" t="str">
        <f t="shared" si="19"/>
        <v/>
      </c>
      <c r="ED259" s="263"/>
      <c r="EE259" s="265"/>
    </row>
    <row r="260" spans="1:135" ht="12.75" customHeight="1" x14ac:dyDescent="0.2">
      <c r="A260" s="54"/>
      <c r="B260" s="54"/>
      <c r="C260" s="54"/>
      <c r="D260" s="274"/>
      <c r="E260" s="274"/>
      <c r="F260" s="274"/>
      <c r="G260" s="274"/>
      <c r="H260" s="274"/>
      <c r="I260" s="274"/>
      <c r="J260" s="274"/>
      <c r="K260" s="274"/>
      <c r="L260" s="274"/>
      <c r="M260" s="274"/>
      <c r="N260" s="274"/>
      <c r="O260" s="274"/>
      <c r="P260" s="275" t="str">
        <f t="shared" si="2"/>
        <v/>
      </c>
      <c r="Q260" s="275"/>
      <c r="R260" s="275"/>
      <c r="S260" s="275"/>
      <c r="T260" s="275" t="str">
        <f t="shared" si="3"/>
        <v/>
      </c>
      <c r="U260" s="275"/>
      <c r="V260" s="275"/>
      <c r="W260" s="275"/>
      <c r="X260" s="275" t="str">
        <f t="shared" si="4"/>
        <v/>
      </c>
      <c r="Y260" s="275"/>
      <c r="Z260" s="275"/>
      <c r="AA260" s="275"/>
      <c r="AB260" s="276" t="str">
        <f t="shared" si="23"/>
        <v/>
      </c>
      <c r="AC260" s="276"/>
      <c r="AD260" s="276"/>
      <c r="AE260" s="276"/>
      <c r="AJ260" s="169"/>
      <c r="AK260" s="96"/>
      <c r="AL260" s="260"/>
      <c r="AM260" s="259"/>
      <c r="AN260" s="259"/>
      <c r="AO260" s="259"/>
      <c r="AP260" s="259"/>
      <c r="AQ260" s="259"/>
      <c r="AR260" s="259"/>
      <c r="AS260" s="259"/>
      <c r="AT260" s="261"/>
      <c r="AU260" s="261"/>
      <c r="AV260" s="261"/>
      <c r="AW260" s="261"/>
      <c r="AX260" s="261"/>
      <c r="AY260" s="261"/>
      <c r="AZ260" s="261"/>
      <c r="BA260" s="262"/>
      <c r="BB260" s="242" t="str">
        <f t="shared" si="5"/>
        <v/>
      </c>
      <c r="BC260" s="243"/>
      <c r="BD260" s="243"/>
      <c r="BE260" s="243"/>
      <c r="BF260" s="249" t="str">
        <f t="shared" si="6"/>
        <v/>
      </c>
      <c r="BG260" s="249"/>
      <c r="BH260" s="249"/>
      <c r="BI260" s="250"/>
      <c r="BJ260" s="260"/>
      <c r="BK260" s="259"/>
      <c r="BL260" s="249" t="str">
        <f t="shared" si="7"/>
        <v/>
      </c>
      <c r="BM260" s="249"/>
      <c r="BN260" s="249"/>
      <c r="BO260" s="249"/>
      <c r="BP260" s="259"/>
      <c r="BQ260" s="259"/>
      <c r="BR260" s="249" t="str">
        <f t="shared" si="8"/>
        <v/>
      </c>
      <c r="BS260" s="249"/>
      <c r="BT260" s="249"/>
      <c r="BU260" s="249"/>
      <c r="BV260" s="259"/>
      <c r="BW260" s="259"/>
      <c r="BX260" s="249" t="str">
        <f t="shared" si="9"/>
        <v/>
      </c>
      <c r="BY260" s="249"/>
      <c r="BZ260" s="249"/>
      <c r="CA260" s="249"/>
      <c r="CB260" s="259"/>
      <c r="CC260" s="259"/>
      <c r="CD260" s="249" t="str">
        <f t="shared" si="10"/>
        <v/>
      </c>
      <c r="CE260" s="249"/>
      <c r="CF260" s="249"/>
      <c r="CG260" s="250"/>
      <c r="CH260" s="271" t="str">
        <f t="shared" si="11"/>
        <v/>
      </c>
      <c r="CI260" s="272"/>
      <c r="CJ260" s="272"/>
      <c r="CK260" s="272"/>
      <c r="CL260" s="272"/>
      <c r="CM260" s="272" t="str">
        <f t="shared" si="12"/>
        <v/>
      </c>
      <c r="CN260" s="272"/>
      <c r="CO260" s="272"/>
      <c r="CP260" s="272"/>
      <c r="CQ260" s="272"/>
      <c r="CR260" s="272" t="str">
        <f t="shared" si="13"/>
        <v/>
      </c>
      <c r="CS260" s="272"/>
      <c r="CT260" s="272"/>
      <c r="CU260" s="272"/>
      <c r="CV260" s="272"/>
      <c r="CW260" s="272" t="str">
        <f t="shared" si="14"/>
        <v/>
      </c>
      <c r="CX260" s="272"/>
      <c r="CY260" s="272"/>
      <c r="CZ260" s="272"/>
      <c r="DA260" s="272"/>
      <c r="DB260" s="272" t="str">
        <f t="shared" si="15"/>
        <v/>
      </c>
      <c r="DC260" s="272"/>
      <c r="DD260" s="272"/>
      <c r="DE260" s="272"/>
      <c r="DF260" s="272"/>
      <c r="DG260" s="272" t="str">
        <f t="shared" si="16"/>
        <v/>
      </c>
      <c r="DH260" s="272"/>
      <c r="DI260" s="272"/>
      <c r="DJ260" s="272"/>
      <c r="DK260" s="273"/>
      <c r="DL260" s="267" t="str">
        <f t="shared" si="17"/>
        <v/>
      </c>
      <c r="DM260" s="268"/>
      <c r="DN260" s="268"/>
      <c r="DO260" s="263" t="str">
        <f t="shared" si="24"/>
        <v/>
      </c>
      <c r="DP260" s="263" t="str">
        <f t="shared" si="25"/>
        <v/>
      </c>
      <c r="DQ260" s="263"/>
      <c r="DR260" s="263" t="str">
        <f t="shared" si="26"/>
        <v/>
      </c>
      <c r="DS260" s="263"/>
      <c r="DT260" s="263" t="str">
        <f t="shared" si="27"/>
        <v/>
      </c>
      <c r="DU260" s="198"/>
      <c r="DV260" s="198"/>
      <c r="DW260" s="198"/>
      <c r="DX260" s="198"/>
      <c r="DY260" s="198"/>
      <c r="DZ260" s="263" t="str">
        <f t="shared" si="18"/>
        <v/>
      </c>
      <c r="EA260" s="263"/>
      <c r="EB260" s="263"/>
      <c r="EC260" s="263" t="str">
        <f t="shared" si="19"/>
        <v/>
      </c>
      <c r="ED260" s="263"/>
      <c r="EE260" s="265"/>
    </row>
    <row r="261" spans="1:135" ht="12.75" customHeight="1" x14ac:dyDescent="0.2">
      <c r="A261" s="54"/>
      <c r="B261" s="54"/>
      <c r="C261" s="54"/>
      <c r="D261" s="274"/>
      <c r="E261" s="274"/>
      <c r="F261" s="274"/>
      <c r="G261" s="274"/>
      <c r="H261" s="274"/>
      <c r="I261" s="274"/>
      <c r="J261" s="274"/>
      <c r="K261" s="274"/>
      <c r="L261" s="274"/>
      <c r="M261" s="274"/>
      <c r="N261" s="274"/>
      <c r="O261" s="274"/>
      <c r="P261" s="275" t="str">
        <f t="shared" si="2"/>
        <v/>
      </c>
      <c r="Q261" s="275"/>
      <c r="R261" s="275"/>
      <c r="S261" s="275"/>
      <c r="T261" s="275" t="str">
        <f t="shared" si="3"/>
        <v/>
      </c>
      <c r="U261" s="275"/>
      <c r="V261" s="275"/>
      <c r="W261" s="275"/>
      <c r="X261" s="275" t="str">
        <f t="shared" si="4"/>
        <v/>
      </c>
      <c r="Y261" s="275"/>
      <c r="Z261" s="275"/>
      <c r="AA261" s="275"/>
      <c r="AB261" s="276" t="str">
        <f t="shared" si="23"/>
        <v/>
      </c>
      <c r="AC261" s="276"/>
      <c r="AD261" s="276"/>
      <c r="AE261" s="276"/>
      <c r="AJ261" s="169"/>
      <c r="AK261" s="96"/>
      <c r="AL261" s="260"/>
      <c r="AM261" s="259"/>
      <c r="AN261" s="259"/>
      <c r="AO261" s="259"/>
      <c r="AP261" s="259"/>
      <c r="AQ261" s="259"/>
      <c r="AR261" s="259"/>
      <c r="AS261" s="259"/>
      <c r="AT261" s="261"/>
      <c r="AU261" s="261"/>
      <c r="AV261" s="261"/>
      <c r="AW261" s="261"/>
      <c r="AX261" s="261"/>
      <c r="AY261" s="261"/>
      <c r="AZ261" s="261"/>
      <c r="BA261" s="262"/>
      <c r="BB261" s="242" t="str">
        <f t="shared" si="5"/>
        <v/>
      </c>
      <c r="BC261" s="243"/>
      <c r="BD261" s="243"/>
      <c r="BE261" s="243"/>
      <c r="BF261" s="249" t="str">
        <f t="shared" si="6"/>
        <v/>
      </c>
      <c r="BG261" s="249"/>
      <c r="BH261" s="249"/>
      <c r="BI261" s="250"/>
      <c r="BJ261" s="260"/>
      <c r="BK261" s="259"/>
      <c r="BL261" s="249" t="str">
        <f t="shared" si="7"/>
        <v/>
      </c>
      <c r="BM261" s="249"/>
      <c r="BN261" s="249"/>
      <c r="BO261" s="249"/>
      <c r="BP261" s="259"/>
      <c r="BQ261" s="259"/>
      <c r="BR261" s="249" t="str">
        <f t="shared" si="8"/>
        <v/>
      </c>
      <c r="BS261" s="249"/>
      <c r="BT261" s="249"/>
      <c r="BU261" s="249"/>
      <c r="BV261" s="259"/>
      <c r="BW261" s="259"/>
      <c r="BX261" s="249" t="str">
        <f t="shared" si="9"/>
        <v/>
      </c>
      <c r="BY261" s="249"/>
      <c r="BZ261" s="249"/>
      <c r="CA261" s="249"/>
      <c r="CB261" s="259"/>
      <c r="CC261" s="259"/>
      <c r="CD261" s="249" t="str">
        <f t="shared" si="10"/>
        <v/>
      </c>
      <c r="CE261" s="249"/>
      <c r="CF261" s="249"/>
      <c r="CG261" s="250"/>
      <c r="CH261" s="271" t="str">
        <f t="shared" si="11"/>
        <v/>
      </c>
      <c r="CI261" s="272"/>
      <c r="CJ261" s="272"/>
      <c r="CK261" s="272"/>
      <c r="CL261" s="272"/>
      <c r="CM261" s="272" t="str">
        <f t="shared" si="12"/>
        <v/>
      </c>
      <c r="CN261" s="272"/>
      <c r="CO261" s="272"/>
      <c r="CP261" s="272"/>
      <c r="CQ261" s="272"/>
      <c r="CR261" s="272" t="str">
        <f t="shared" si="13"/>
        <v/>
      </c>
      <c r="CS261" s="272"/>
      <c r="CT261" s="272"/>
      <c r="CU261" s="272"/>
      <c r="CV261" s="272"/>
      <c r="CW261" s="272" t="str">
        <f t="shared" si="14"/>
        <v/>
      </c>
      <c r="CX261" s="272"/>
      <c r="CY261" s="272"/>
      <c r="CZ261" s="272"/>
      <c r="DA261" s="272"/>
      <c r="DB261" s="272" t="str">
        <f t="shared" si="15"/>
        <v/>
      </c>
      <c r="DC261" s="272"/>
      <c r="DD261" s="272"/>
      <c r="DE261" s="272"/>
      <c r="DF261" s="272"/>
      <c r="DG261" s="272" t="str">
        <f t="shared" si="16"/>
        <v/>
      </c>
      <c r="DH261" s="272"/>
      <c r="DI261" s="272"/>
      <c r="DJ261" s="272"/>
      <c r="DK261" s="273"/>
      <c r="DL261" s="267" t="str">
        <f t="shared" si="17"/>
        <v/>
      </c>
      <c r="DM261" s="268"/>
      <c r="DN261" s="268"/>
      <c r="DO261" s="263" t="str">
        <f t="shared" si="24"/>
        <v/>
      </c>
      <c r="DP261" s="263" t="str">
        <f t="shared" si="25"/>
        <v/>
      </c>
      <c r="DQ261" s="263"/>
      <c r="DR261" s="263" t="str">
        <f t="shared" si="26"/>
        <v/>
      </c>
      <c r="DS261" s="263"/>
      <c r="DT261" s="263" t="str">
        <f t="shared" si="27"/>
        <v/>
      </c>
      <c r="DU261" s="198"/>
      <c r="DV261" s="198"/>
      <c r="DW261" s="198"/>
      <c r="DX261" s="198"/>
      <c r="DY261" s="198"/>
      <c r="DZ261" s="263" t="str">
        <f t="shared" si="18"/>
        <v/>
      </c>
      <c r="EA261" s="263"/>
      <c r="EB261" s="263"/>
      <c r="EC261" s="263" t="str">
        <f t="shared" si="19"/>
        <v/>
      </c>
      <c r="ED261" s="263"/>
      <c r="EE261" s="265"/>
    </row>
    <row r="262" spans="1:135" ht="12.75" customHeight="1" x14ac:dyDescent="0.2">
      <c r="A262" s="54"/>
      <c r="B262" s="54"/>
      <c r="C262" s="54"/>
      <c r="D262" s="274"/>
      <c r="E262" s="274"/>
      <c r="F262" s="274"/>
      <c r="G262" s="274"/>
      <c r="H262" s="274"/>
      <c r="I262" s="274"/>
      <c r="J262" s="274"/>
      <c r="K262" s="274"/>
      <c r="L262" s="274"/>
      <c r="M262" s="274"/>
      <c r="N262" s="274"/>
      <c r="O262" s="274"/>
      <c r="P262" s="275" t="str">
        <f t="shared" si="2"/>
        <v/>
      </c>
      <c r="Q262" s="275"/>
      <c r="R262" s="275"/>
      <c r="S262" s="275"/>
      <c r="T262" s="275" t="str">
        <f t="shared" si="3"/>
        <v/>
      </c>
      <c r="U262" s="275"/>
      <c r="V262" s="275"/>
      <c r="W262" s="275"/>
      <c r="X262" s="275" t="str">
        <f t="shared" si="4"/>
        <v/>
      </c>
      <c r="Y262" s="275"/>
      <c r="Z262" s="275"/>
      <c r="AA262" s="275"/>
      <c r="AB262" s="276" t="str">
        <f t="shared" si="23"/>
        <v/>
      </c>
      <c r="AC262" s="276"/>
      <c r="AD262" s="276"/>
      <c r="AE262" s="276"/>
      <c r="AJ262" s="169"/>
      <c r="AK262" s="96"/>
      <c r="AL262" s="260"/>
      <c r="AM262" s="259"/>
      <c r="AN262" s="259"/>
      <c r="AO262" s="259"/>
      <c r="AP262" s="259"/>
      <c r="AQ262" s="259"/>
      <c r="AR262" s="259"/>
      <c r="AS262" s="259"/>
      <c r="AT262" s="261"/>
      <c r="AU262" s="261"/>
      <c r="AV262" s="261"/>
      <c r="AW262" s="261"/>
      <c r="AX262" s="261"/>
      <c r="AY262" s="261"/>
      <c r="AZ262" s="261"/>
      <c r="BA262" s="262"/>
      <c r="BB262" s="242" t="str">
        <f t="shared" si="5"/>
        <v/>
      </c>
      <c r="BC262" s="243"/>
      <c r="BD262" s="243"/>
      <c r="BE262" s="243"/>
      <c r="BF262" s="249" t="str">
        <f t="shared" si="6"/>
        <v/>
      </c>
      <c r="BG262" s="249"/>
      <c r="BH262" s="249"/>
      <c r="BI262" s="250"/>
      <c r="BJ262" s="260"/>
      <c r="BK262" s="259"/>
      <c r="BL262" s="249" t="str">
        <f t="shared" si="7"/>
        <v/>
      </c>
      <c r="BM262" s="249"/>
      <c r="BN262" s="249"/>
      <c r="BO262" s="249"/>
      <c r="BP262" s="259"/>
      <c r="BQ262" s="259"/>
      <c r="BR262" s="249" t="str">
        <f t="shared" si="8"/>
        <v/>
      </c>
      <c r="BS262" s="249"/>
      <c r="BT262" s="249"/>
      <c r="BU262" s="249"/>
      <c r="BV262" s="259"/>
      <c r="BW262" s="259"/>
      <c r="BX262" s="249" t="str">
        <f t="shared" si="9"/>
        <v/>
      </c>
      <c r="BY262" s="249"/>
      <c r="BZ262" s="249"/>
      <c r="CA262" s="249"/>
      <c r="CB262" s="259"/>
      <c r="CC262" s="259"/>
      <c r="CD262" s="249" t="str">
        <f t="shared" si="10"/>
        <v/>
      </c>
      <c r="CE262" s="249"/>
      <c r="CF262" s="249"/>
      <c r="CG262" s="250"/>
      <c r="CH262" s="271" t="str">
        <f t="shared" si="11"/>
        <v/>
      </c>
      <c r="CI262" s="272"/>
      <c r="CJ262" s="272"/>
      <c r="CK262" s="272"/>
      <c r="CL262" s="272"/>
      <c r="CM262" s="272" t="str">
        <f t="shared" si="12"/>
        <v/>
      </c>
      <c r="CN262" s="272"/>
      <c r="CO262" s="272"/>
      <c r="CP262" s="272"/>
      <c r="CQ262" s="272"/>
      <c r="CR262" s="272" t="str">
        <f t="shared" si="13"/>
        <v/>
      </c>
      <c r="CS262" s="272"/>
      <c r="CT262" s="272"/>
      <c r="CU262" s="272"/>
      <c r="CV262" s="272"/>
      <c r="CW262" s="272" t="str">
        <f t="shared" si="14"/>
        <v/>
      </c>
      <c r="CX262" s="272"/>
      <c r="CY262" s="272"/>
      <c r="CZ262" s="272"/>
      <c r="DA262" s="272"/>
      <c r="DB262" s="272" t="str">
        <f t="shared" si="15"/>
        <v/>
      </c>
      <c r="DC262" s="272"/>
      <c r="DD262" s="272"/>
      <c r="DE262" s="272"/>
      <c r="DF262" s="272"/>
      <c r="DG262" s="272" t="str">
        <f t="shared" si="16"/>
        <v/>
      </c>
      <c r="DH262" s="272"/>
      <c r="DI262" s="272"/>
      <c r="DJ262" s="272"/>
      <c r="DK262" s="273"/>
      <c r="DL262" s="267" t="str">
        <f t="shared" si="17"/>
        <v/>
      </c>
      <c r="DM262" s="268"/>
      <c r="DN262" s="268"/>
      <c r="DO262" s="263" t="str">
        <f t="shared" si="24"/>
        <v/>
      </c>
      <c r="DP262" s="263" t="str">
        <f t="shared" si="25"/>
        <v/>
      </c>
      <c r="DQ262" s="263"/>
      <c r="DR262" s="263" t="str">
        <f t="shared" si="26"/>
        <v/>
      </c>
      <c r="DS262" s="263"/>
      <c r="DT262" s="263" t="str">
        <f t="shared" si="27"/>
        <v/>
      </c>
      <c r="DU262" s="198"/>
      <c r="DV262" s="198"/>
      <c r="DW262" s="198"/>
      <c r="DX262" s="198"/>
      <c r="DY262" s="198"/>
      <c r="DZ262" s="263" t="str">
        <f t="shared" si="18"/>
        <v/>
      </c>
      <c r="EA262" s="263"/>
      <c r="EB262" s="263"/>
      <c r="EC262" s="263" t="str">
        <f t="shared" si="19"/>
        <v/>
      </c>
      <c r="ED262" s="263"/>
      <c r="EE262" s="265"/>
    </row>
    <row r="263" spans="1:135" ht="12.75" customHeight="1" x14ac:dyDescent="0.2">
      <c r="A263" s="54"/>
      <c r="B263" s="54"/>
      <c r="C263" s="54"/>
      <c r="D263" s="274"/>
      <c r="E263" s="274"/>
      <c r="F263" s="274"/>
      <c r="G263" s="274"/>
      <c r="H263" s="274"/>
      <c r="I263" s="274"/>
      <c r="J263" s="274"/>
      <c r="K263" s="274"/>
      <c r="L263" s="274"/>
      <c r="M263" s="274"/>
      <c r="N263" s="274"/>
      <c r="O263" s="274"/>
      <c r="P263" s="275" t="str">
        <f t="shared" si="2"/>
        <v/>
      </c>
      <c r="Q263" s="275"/>
      <c r="R263" s="275"/>
      <c r="S263" s="275"/>
      <c r="T263" s="275" t="str">
        <f t="shared" si="3"/>
        <v/>
      </c>
      <c r="U263" s="275"/>
      <c r="V263" s="275"/>
      <c r="W263" s="275"/>
      <c r="X263" s="275" t="str">
        <f t="shared" si="4"/>
        <v/>
      </c>
      <c r="Y263" s="275"/>
      <c r="Z263" s="275"/>
      <c r="AA263" s="275"/>
      <c r="AB263" s="276" t="str">
        <f t="shared" si="23"/>
        <v/>
      </c>
      <c r="AC263" s="276"/>
      <c r="AD263" s="276"/>
      <c r="AE263" s="276"/>
      <c r="AJ263" s="169"/>
      <c r="AK263" s="96"/>
      <c r="AL263" s="260"/>
      <c r="AM263" s="259"/>
      <c r="AN263" s="259"/>
      <c r="AO263" s="259"/>
      <c r="AP263" s="259"/>
      <c r="AQ263" s="259"/>
      <c r="AR263" s="259"/>
      <c r="AS263" s="259"/>
      <c r="AT263" s="261"/>
      <c r="AU263" s="261"/>
      <c r="AV263" s="261"/>
      <c r="AW263" s="261"/>
      <c r="AX263" s="261"/>
      <c r="AY263" s="261"/>
      <c r="AZ263" s="261"/>
      <c r="BA263" s="262"/>
      <c r="BB263" s="242" t="str">
        <f t="shared" si="5"/>
        <v/>
      </c>
      <c r="BC263" s="243"/>
      <c r="BD263" s="243"/>
      <c r="BE263" s="243"/>
      <c r="BF263" s="249" t="str">
        <f t="shared" si="6"/>
        <v/>
      </c>
      <c r="BG263" s="249"/>
      <c r="BH263" s="249"/>
      <c r="BI263" s="250"/>
      <c r="BJ263" s="260"/>
      <c r="BK263" s="259"/>
      <c r="BL263" s="249" t="str">
        <f t="shared" si="7"/>
        <v/>
      </c>
      <c r="BM263" s="249"/>
      <c r="BN263" s="249"/>
      <c r="BO263" s="249"/>
      <c r="BP263" s="259"/>
      <c r="BQ263" s="259"/>
      <c r="BR263" s="249" t="str">
        <f t="shared" si="8"/>
        <v/>
      </c>
      <c r="BS263" s="249"/>
      <c r="BT263" s="249"/>
      <c r="BU263" s="249"/>
      <c r="BV263" s="259"/>
      <c r="BW263" s="259"/>
      <c r="BX263" s="249" t="str">
        <f t="shared" si="9"/>
        <v/>
      </c>
      <c r="BY263" s="249"/>
      <c r="BZ263" s="249"/>
      <c r="CA263" s="249"/>
      <c r="CB263" s="259"/>
      <c r="CC263" s="259"/>
      <c r="CD263" s="249" t="str">
        <f t="shared" si="10"/>
        <v/>
      </c>
      <c r="CE263" s="249"/>
      <c r="CF263" s="249"/>
      <c r="CG263" s="250"/>
      <c r="CH263" s="271" t="str">
        <f t="shared" si="11"/>
        <v/>
      </c>
      <c r="CI263" s="272"/>
      <c r="CJ263" s="272"/>
      <c r="CK263" s="272"/>
      <c r="CL263" s="272"/>
      <c r="CM263" s="272" t="str">
        <f t="shared" si="12"/>
        <v/>
      </c>
      <c r="CN263" s="272"/>
      <c r="CO263" s="272"/>
      <c r="CP263" s="272"/>
      <c r="CQ263" s="272"/>
      <c r="CR263" s="272" t="str">
        <f t="shared" si="13"/>
        <v/>
      </c>
      <c r="CS263" s="272"/>
      <c r="CT263" s="272"/>
      <c r="CU263" s="272"/>
      <c r="CV263" s="272"/>
      <c r="CW263" s="272" t="str">
        <f t="shared" si="14"/>
        <v/>
      </c>
      <c r="CX263" s="272"/>
      <c r="CY263" s="272"/>
      <c r="CZ263" s="272"/>
      <c r="DA263" s="272"/>
      <c r="DB263" s="272" t="str">
        <f t="shared" si="15"/>
        <v/>
      </c>
      <c r="DC263" s="272"/>
      <c r="DD263" s="272"/>
      <c r="DE263" s="272"/>
      <c r="DF263" s="272"/>
      <c r="DG263" s="272" t="str">
        <f t="shared" si="16"/>
        <v/>
      </c>
      <c r="DH263" s="272"/>
      <c r="DI263" s="272"/>
      <c r="DJ263" s="272"/>
      <c r="DK263" s="273"/>
      <c r="DL263" s="267" t="str">
        <f t="shared" si="17"/>
        <v/>
      </c>
      <c r="DM263" s="268"/>
      <c r="DN263" s="268"/>
      <c r="DO263" s="263" t="str">
        <f t="shared" si="24"/>
        <v/>
      </c>
      <c r="DP263" s="263" t="str">
        <f t="shared" si="25"/>
        <v/>
      </c>
      <c r="DQ263" s="263"/>
      <c r="DR263" s="263" t="str">
        <f t="shared" si="26"/>
        <v/>
      </c>
      <c r="DS263" s="263"/>
      <c r="DT263" s="263" t="str">
        <f t="shared" si="27"/>
        <v/>
      </c>
      <c r="DU263" s="198"/>
      <c r="DV263" s="198"/>
      <c r="DW263" s="198"/>
      <c r="DX263" s="198"/>
      <c r="DY263" s="198"/>
      <c r="DZ263" s="263" t="str">
        <f t="shared" si="18"/>
        <v/>
      </c>
      <c r="EA263" s="263"/>
      <c r="EB263" s="263"/>
      <c r="EC263" s="263" t="str">
        <f t="shared" si="19"/>
        <v/>
      </c>
      <c r="ED263" s="263"/>
      <c r="EE263" s="265"/>
    </row>
    <row r="264" spans="1:135" ht="12.75" customHeight="1" x14ac:dyDescent="0.2">
      <c r="A264" s="54"/>
      <c r="B264" s="54"/>
      <c r="C264" s="54"/>
      <c r="D264" s="274"/>
      <c r="E264" s="274"/>
      <c r="F264" s="274"/>
      <c r="G264" s="274"/>
      <c r="H264" s="274"/>
      <c r="I264" s="274"/>
      <c r="J264" s="274"/>
      <c r="K264" s="274"/>
      <c r="L264" s="274"/>
      <c r="M264" s="274"/>
      <c r="N264" s="274"/>
      <c r="O264" s="274"/>
      <c r="P264" s="275" t="str">
        <f t="shared" si="2"/>
        <v/>
      </c>
      <c r="Q264" s="275"/>
      <c r="R264" s="275"/>
      <c r="S264" s="275"/>
      <c r="T264" s="275" t="str">
        <f t="shared" si="3"/>
        <v/>
      </c>
      <c r="U264" s="275"/>
      <c r="V264" s="275"/>
      <c r="W264" s="275"/>
      <c r="X264" s="275" t="str">
        <f t="shared" si="4"/>
        <v/>
      </c>
      <c r="Y264" s="275"/>
      <c r="Z264" s="275"/>
      <c r="AA264" s="275"/>
      <c r="AB264" s="276" t="str">
        <f t="shared" si="23"/>
        <v/>
      </c>
      <c r="AC264" s="276"/>
      <c r="AD264" s="276"/>
      <c r="AE264" s="276"/>
      <c r="AJ264" s="169"/>
      <c r="AK264" s="96"/>
      <c r="AL264" s="260"/>
      <c r="AM264" s="259"/>
      <c r="AN264" s="259"/>
      <c r="AO264" s="259"/>
      <c r="AP264" s="259"/>
      <c r="AQ264" s="259"/>
      <c r="AR264" s="259"/>
      <c r="AS264" s="259"/>
      <c r="AT264" s="261"/>
      <c r="AU264" s="261"/>
      <c r="AV264" s="261"/>
      <c r="AW264" s="261"/>
      <c r="AX264" s="261"/>
      <c r="AY264" s="261"/>
      <c r="AZ264" s="261"/>
      <c r="BA264" s="262"/>
      <c r="BB264" s="242" t="str">
        <f t="shared" si="5"/>
        <v/>
      </c>
      <c r="BC264" s="243"/>
      <c r="BD264" s="243"/>
      <c r="BE264" s="243"/>
      <c r="BF264" s="249" t="str">
        <f t="shared" si="6"/>
        <v/>
      </c>
      <c r="BG264" s="249"/>
      <c r="BH264" s="249"/>
      <c r="BI264" s="250"/>
      <c r="BJ264" s="260"/>
      <c r="BK264" s="259"/>
      <c r="BL264" s="249" t="str">
        <f t="shared" si="7"/>
        <v/>
      </c>
      <c r="BM264" s="249"/>
      <c r="BN264" s="249"/>
      <c r="BO264" s="249"/>
      <c r="BP264" s="259"/>
      <c r="BQ264" s="259"/>
      <c r="BR264" s="249" t="str">
        <f t="shared" si="8"/>
        <v/>
      </c>
      <c r="BS264" s="249"/>
      <c r="BT264" s="249"/>
      <c r="BU264" s="249"/>
      <c r="BV264" s="259"/>
      <c r="BW264" s="259"/>
      <c r="BX264" s="249" t="str">
        <f t="shared" si="9"/>
        <v/>
      </c>
      <c r="BY264" s="249"/>
      <c r="BZ264" s="249"/>
      <c r="CA264" s="249"/>
      <c r="CB264" s="259"/>
      <c r="CC264" s="259"/>
      <c r="CD264" s="249" t="str">
        <f t="shared" si="10"/>
        <v/>
      </c>
      <c r="CE264" s="249"/>
      <c r="CF264" s="249"/>
      <c r="CG264" s="250"/>
      <c r="CH264" s="271" t="str">
        <f t="shared" si="11"/>
        <v/>
      </c>
      <c r="CI264" s="272"/>
      <c r="CJ264" s="272"/>
      <c r="CK264" s="272"/>
      <c r="CL264" s="272"/>
      <c r="CM264" s="272" t="str">
        <f t="shared" si="12"/>
        <v/>
      </c>
      <c r="CN264" s="272"/>
      <c r="CO264" s="272"/>
      <c r="CP264" s="272"/>
      <c r="CQ264" s="272"/>
      <c r="CR264" s="272" t="str">
        <f t="shared" si="13"/>
        <v/>
      </c>
      <c r="CS264" s="272"/>
      <c r="CT264" s="272"/>
      <c r="CU264" s="272"/>
      <c r="CV264" s="272"/>
      <c r="CW264" s="272" t="str">
        <f t="shared" si="14"/>
        <v/>
      </c>
      <c r="CX264" s="272"/>
      <c r="CY264" s="272"/>
      <c r="CZ264" s="272"/>
      <c r="DA264" s="272"/>
      <c r="DB264" s="272" t="str">
        <f t="shared" si="15"/>
        <v/>
      </c>
      <c r="DC264" s="272"/>
      <c r="DD264" s="272"/>
      <c r="DE264" s="272"/>
      <c r="DF264" s="272"/>
      <c r="DG264" s="272" t="str">
        <f t="shared" si="16"/>
        <v/>
      </c>
      <c r="DH264" s="272"/>
      <c r="DI264" s="272"/>
      <c r="DJ264" s="272"/>
      <c r="DK264" s="273"/>
      <c r="DL264" s="267" t="str">
        <f t="shared" si="17"/>
        <v/>
      </c>
      <c r="DM264" s="268"/>
      <c r="DN264" s="268"/>
      <c r="DO264" s="263" t="str">
        <f t="shared" si="24"/>
        <v/>
      </c>
      <c r="DP264" s="263" t="str">
        <f t="shared" si="25"/>
        <v/>
      </c>
      <c r="DQ264" s="263"/>
      <c r="DR264" s="263" t="str">
        <f t="shared" si="26"/>
        <v/>
      </c>
      <c r="DS264" s="263"/>
      <c r="DT264" s="263" t="str">
        <f t="shared" si="27"/>
        <v/>
      </c>
      <c r="DU264" s="198"/>
      <c r="DV264" s="198"/>
      <c r="DW264" s="198"/>
      <c r="DX264" s="198"/>
      <c r="DY264" s="198"/>
      <c r="DZ264" s="263" t="str">
        <f t="shared" si="18"/>
        <v/>
      </c>
      <c r="EA264" s="263"/>
      <c r="EB264" s="263"/>
      <c r="EC264" s="263" t="str">
        <f t="shared" si="19"/>
        <v/>
      </c>
      <c r="ED264" s="263"/>
      <c r="EE264" s="265"/>
    </row>
    <row r="265" spans="1:135" ht="12.75" customHeight="1" x14ac:dyDescent="0.2">
      <c r="A265" s="54"/>
      <c r="B265" s="54"/>
      <c r="C265" s="54"/>
      <c r="D265" s="274"/>
      <c r="E265" s="274"/>
      <c r="F265" s="274"/>
      <c r="G265" s="274"/>
      <c r="H265" s="274"/>
      <c r="I265" s="274"/>
      <c r="J265" s="274"/>
      <c r="K265" s="274"/>
      <c r="L265" s="274"/>
      <c r="M265" s="274"/>
      <c r="N265" s="274"/>
      <c r="O265" s="274"/>
      <c r="P265" s="275" t="str">
        <f t="shared" si="2"/>
        <v/>
      </c>
      <c r="Q265" s="275"/>
      <c r="R265" s="275"/>
      <c r="S265" s="275"/>
      <c r="T265" s="275" t="str">
        <f t="shared" si="3"/>
        <v/>
      </c>
      <c r="U265" s="275"/>
      <c r="V265" s="275"/>
      <c r="W265" s="275"/>
      <c r="X265" s="275" t="str">
        <f t="shared" si="4"/>
        <v/>
      </c>
      <c r="Y265" s="275"/>
      <c r="Z265" s="275"/>
      <c r="AA265" s="275"/>
      <c r="AB265" s="276" t="str">
        <f t="shared" si="23"/>
        <v/>
      </c>
      <c r="AC265" s="276"/>
      <c r="AD265" s="276"/>
      <c r="AE265" s="276"/>
      <c r="AJ265" s="169"/>
      <c r="AK265" s="96"/>
      <c r="AL265" s="260"/>
      <c r="AM265" s="259"/>
      <c r="AN265" s="259"/>
      <c r="AO265" s="259"/>
      <c r="AP265" s="259"/>
      <c r="AQ265" s="259"/>
      <c r="AR265" s="259"/>
      <c r="AS265" s="259"/>
      <c r="AT265" s="261"/>
      <c r="AU265" s="261"/>
      <c r="AV265" s="261"/>
      <c r="AW265" s="261"/>
      <c r="AX265" s="261"/>
      <c r="AY265" s="261"/>
      <c r="AZ265" s="261"/>
      <c r="BA265" s="262"/>
      <c r="BB265" s="242" t="str">
        <f t="shared" si="5"/>
        <v/>
      </c>
      <c r="BC265" s="243"/>
      <c r="BD265" s="243"/>
      <c r="BE265" s="243"/>
      <c r="BF265" s="249" t="str">
        <f t="shared" si="6"/>
        <v/>
      </c>
      <c r="BG265" s="249"/>
      <c r="BH265" s="249"/>
      <c r="BI265" s="250"/>
      <c r="BJ265" s="260"/>
      <c r="BK265" s="259"/>
      <c r="BL265" s="249" t="str">
        <f t="shared" si="7"/>
        <v/>
      </c>
      <c r="BM265" s="249"/>
      <c r="BN265" s="249"/>
      <c r="BO265" s="249"/>
      <c r="BP265" s="259"/>
      <c r="BQ265" s="259"/>
      <c r="BR265" s="249" t="str">
        <f t="shared" si="8"/>
        <v/>
      </c>
      <c r="BS265" s="249"/>
      <c r="BT265" s="249"/>
      <c r="BU265" s="249"/>
      <c r="BV265" s="259"/>
      <c r="BW265" s="259"/>
      <c r="BX265" s="249" t="str">
        <f t="shared" si="9"/>
        <v/>
      </c>
      <c r="BY265" s="249"/>
      <c r="BZ265" s="249"/>
      <c r="CA265" s="249"/>
      <c r="CB265" s="259"/>
      <c r="CC265" s="259"/>
      <c r="CD265" s="249" t="str">
        <f t="shared" si="10"/>
        <v/>
      </c>
      <c r="CE265" s="249"/>
      <c r="CF265" s="249"/>
      <c r="CG265" s="250"/>
      <c r="CH265" s="271" t="str">
        <f t="shared" si="11"/>
        <v/>
      </c>
      <c r="CI265" s="272"/>
      <c r="CJ265" s="272"/>
      <c r="CK265" s="272"/>
      <c r="CL265" s="272"/>
      <c r="CM265" s="272" t="str">
        <f t="shared" si="12"/>
        <v/>
      </c>
      <c r="CN265" s="272"/>
      <c r="CO265" s="272"/>
      <c r="CP265" s="272"/>
      <c r="CQ265" s="272"/>
      <c r="CR265" s="272" t="str">
        <f t="shared" si="13"/>
        <v/>
      </c>
      <c r="CS265" s="272"/>
      <c r="CT265" s="272"/>
      <c r="CU265" s="272"/>
      <c r="CV265" s="272"/>
      <c r="CW265" s="272" t="str">
        <f t="shared" si="14"/>
        <v/>
      </c>
      <c r="CX265" s="272"/>
      <c r="CY265" s="272"/>
      <c r="CZ265" s="272"/>
      <c r="DA265" s="272"/>
      <c r="DB265" s="272" t="str">
        <f t="shared" si="15"/>
        <v/>
      </c>
      <c r="DC265" s="272"/>
      <c r="DD265" s="272"/>
      <c r="DE265" s="272"/>
      <c r="DF265" s="272"/>
      <c r="DG265" s="272" t="str">
        <f t="shared" si="16"/>
        <v/>
      </c>
      <c r="DH265" s="272"/>
      <c r="DI265" s="272"/>
      <c r="DJ265" s="272"/>
      <c r="DK265" s="273"/>
      <c r="DL265" s="267" t="str">
        <f t="shared" si="17"/>
        <v/>
      </c>
      <c r="DM265" s="268"/>
      <c r="DN265" s="268"/>
      <c r="DO265" s="263" t="str">
        <f t="shared" si="24"/>
        <v/>
      </c>
      <c r="DP265" s="263" t="str">
        <f t="shared" si="25"/>
        <v/>
      </c>
      <c r="DQ265" s="263"/>
      <c r="DR265" s="263" t="str">
        <f t="shared" si="26"/>
        <v/>
      </c>
      <c r="DS265" s="263"/>
      <c r="DT265" s="263" t="str">
        <f t="shared" si="27"/>
        <v/>
      </c>
      <c r="DU265" s="198"/>
      <c r="DV265" s="198"/>
      <c r="DW265" s="198"/>
      <c r="DX265" s="198"/>
      <c r="DY265" s="198"/>
      <c r="DZ265" s="263" t="str">
        <f t="shared" si="18"/>
        <v/>
      </c>
      <c r="EA265" s="263"/>
      <c r="EB265" s="263"/>
      <c r="EC265" s="263" t="str">
        <f t="shared" si="19"/>
        <v/>
      </c>
      <c r="ED265" s="263"/>
      <c r="EE265" s="265"/>
    </row>
    <row r="266" spans="1:135" ht="12.75" customHeight="1" x14ac:dyDescent="0.2">
      <c r="A266" s="54"/>
      <c r="B266" s="54"/>
      <c r="C266" s="54"/>
      <c r="D266" s="274"/>
      <c r="E266" s="274"/>
      <c r="F266" s="274"/>
      <c r="G266" s="274"/>
      <c r="H266" s="274"/>
      <c r="I266" s="274"/>
      <c r="J266" s="274"/>
      <c r="K266" s="274"/>
      <c r="L266" s="274"/>
      <c r="M266" s="274"/>
      <c r="N266" s="274"/>
      <c r="O266" s="274"/>
      <c r="P266" s="275" t="str">
        <f t="shared" si="2"/>
        <v/>
      </c>
      <c r="Q266" s="275"/>
      <c r="R266" s="275"/>
      <c r="S266" s="275"/>
      <c r="T266" s="275" t="str">
        <f t="shared" si="3"/>
        <v/>
      </c>
      <c r="U266" s="275"/>
      <c r="V266" s="275"/>
      <c r="W266" s="275"/>
      <c r="X266" s="275" t="str">
        <f t="shared" si="4"/>
        <v/>
      </c>
      <c r="Y266" s="275"/>
      <c r="Z266" s="275"/>
      <c r="AA266" s="275"/>
      <c r="AB266" s="276" t="str">
        <f t="shared" si="23"/>
        <v/>
      </c>
      <c r="AC266" s="276"/>
      <c r="AD266" s="276"/>
      <c r="AE266" s="276"/>
      <c r="AJ266" s="169"/>
      <c r="AK266" s="96"/>
      <c r="AL266" s="260"/>
      <c r="AM266" s="259"/>
      <c r="AN266" s="259"/>
      <c r="AO266" s="259"/>
      <c r="AP266" s="259"/>
      <c r="AQ266" s="259"/>
      <c r="AR266" s="259"/>
      <c r="AS266" s="259"/>
      <c r="AT266" s="261"/>
      <c r="AU266" s="261"/>
      <c r="AV266" s="261"/>
      <c r="AW266" s="261"/>
      <c r="AX266" s="261"/>
      <c r="AY266" s="261"/>
      <c r="AZ266" s="261"/>
      <c r="BA266" s="262"/>
      <c r="BB266" s="242" t="str">
        <f t="shared" si="5"/>
        <v/>
      </c>
      <c r="BC266" s="243"/>
      <c r="BD266" s="243"/>
      <c r="BE266" s="243"/>
      <c r="BF266" s="249" t="str">
        <f t="shared" si="6"/>
        <v/>
      </c>
      <c r="BG266" s="249"/>
      <c r="BH266" s="249"/>
      <c r="BI266" s="250"/>
      <c r="BJ266" s="260"/>
      <c r="BK266" s="259"/>
      <c r="BL266" s="249" t="str">
        <f t="shared" si="7"/>
        <v/>
      </c>
      <c r="BM266" s="249"/>
      <c r="BN266" s="249"/>
      <c r="BO266" s="249"/>
      <c r="BP266" s="259"/>
      <c r="BQ266" s="259"/>
      <c r="BR266" s="249" t="str">
        <f t="shared" si="8"/>
        <v/>
      </c>
      <c r="BS266" s="249"/>
      <c r="BT266" s="249"/>
      <c r="BU266" s="249"/>
      <c r="BV266" s="259"/>
      <c r="BW266" s="259"/>
      <c r="BX266" s="249" t="str">
        <f t="shared" si="9"/>
        <v/>
      </c>
      <c r="BY266" s="249"/>
      <c r="BZ266" s="249"/>
      <c r="CA266" s="249"/>
      <c r="CB266" s="259"/>
      <c r="CC266" s="259"/>
      <c r="CD266" s="249" t="str">
        <f t="shared" si="10"/>
        <v/>
      </c>
      <c r="CE266" s="249"/>
      <c r="CF266" s="249"/>
      <c r="CG266" s="250"/>
      <c r="CH266" s="271" t="str">
        <f t="shared" si="11"/>
        <v/>
      </c>
      <c r="CI266" s="272"/>
      <c r="CJ266" s="272"/>
      <c r="CK266" s="272"/>
      <c r="CL266" s="272"/>
      <c r="CM266" s="272" t="str">
        <f t="shared" si="12"/>
        <v/>
      </c>
      <c r="CN266" s="272"/>
      <c r="CO266" s="272"/>
      <c r="CP266" s="272"/>
      <c r="CQ266" s="272"/>
      <c r="CR266" s="272" t="str">
        <f t="shared" si="13"/>
        <v/>
      </c>
      <c r="CS266" s="272"/>
      <c r="CT266" s="272"/>
      <c r="CU266" s="272"/>
      <c r="CV266" s="272"/>
      <c r="CW266" s="272" t="str">
        <f t="shared" si="14"/>
        <v/>
      </c>
      <c r="CX266" s="272"/>
      <c r="CY266" s="272"/>
      <c r="CZ266" s="272"/>
      <c r="DA266" s="272"/>
      <c r="DB266" s="272" t="str">
        <f t="shared" si="15"/>
        <v/>
      </c>
      <c r="DC266" s="272"/>
      <c r="DD266" s="272"/>
      <c r="DE266" s="272"/>
      <c r="DF266" s="272"/>
      <c r="DG266" s="272" t="str">
        <f t="shared" si="16"/>
        <v/>
      </c>
      <c r="DH266" s="272"/>
      <c r="DI266" s="272"/>
      <c r="DJ266" s="272"/>
      <c r="DK266" s="273"/>
      <c r="DL266" s="267" t="str">
        <f t="shared" si="17"/>
        <v/>
      </c>
      <c r="DM266" s="268"/>
      <c r="DN266" s="268"/>
      <c r="DO266" s="263" t="str">
        <f t="shared" si="24"/>
        <v/>
      </c>
      <c r="DP266" s="263" t="str">
        <f t="shared" si="25"/>
        <v/>
      </c>
      <c r="DQ266" s="263"/>
      <c r="DR266" s="263" t="str">
        <f t="shared" si="26"/>
        <v/>
      </c>
      <c r="DS266" s="263"/>
      <c r="DT266" s="263" t="str">
        <f t="shared" si="27"/>
        <v/>
      </c>
      <c r="DU266" s="198"/>
      <c r="DV266" s="198"/>
      <c r="DW266" s="198"/>
      <c r="DX266" s="198"/>
      <c r="DY266" s="198"/>
      <c r="DZ266" s="263" t="str">
        <f t="shared" si="18"/>
        <v/>
      </c>
      <c r="EA266" s="263"/>
      <c r="EB266" s="263"/>
      <c r="EC266" s="263" t="str">
        <f t="shared" si="19"/>
        <v/>
      </c>
      <c r="ED266" s="263"/>
      <c r="EE266" s="265"/>
    </row>
    <row r="267" spans="1:135" ht="12.75" customHeight="1" x14ac:dyDescent="0.2">
      <c r="A267" s="54"/>
      <c r="B267" s="54"/>
      <c r="C267" s="54"/>
      <c r="D267" s="274"/>
      <c r="E267" s="274"/>
      <c r="F267" s="274"/>
      <c r="G267" s="274"/>
      <c r="H267" s="274"/>
      <c r="I267" s="274"/>
      <c r="J267" s="274"/>
      <c r="K267" s="274"/>
      <c r="L267" s="274"/>
      <c r="M267" s="274"/>
      <c r="N267" s="274"/>
      <c r="O267" s="274"/>
      <c r="P267" s="275" t="str">
        <f t="shared" si="2"/>
        <v/>
      </c>
      <c r="Q267" s="275"/>
      <c r="R267" s="275"/>
      <c r="S267" s="275"/>
      <c r="T267" s="275" t="str">
        <f t="shared" si="3"/>
        <v/>
      </c>
      <c r="U267" s="275"/>
      <c r="V267" s="275"/>
      <c r="W267" s="275"/>
      <c r="X267" s="275" t="str">
        <f t="shared" si="4"/>
        <v/>
      </c>
      <c r="Y267" s="275"/>
      <c r="Z267" s="275"/>
      <c r="AA267" s="275"/>
      <c r="AB267" s="276" t="str">
        <f t="shared" si="23"/>
        <v/>
      </c>
      <c r="AC267" s="276"/>
      <c r="AD267" s="276"/>
      <c r="AE267" s="276"/>
      <c r="AJ267" s="169"/>
      <c r="AK267" s="96"/>
      <c r="AL267" s="260"/>
      <c r="AM267" s="259"/>
      <c r="AN267" s="259"/>
      <c r="AO267" s="259"/>
      <c r="AP267" s="259"/>
      <c r="AQ267" s="259"/>
      <c r="AR267" s="259"/>
      <c r="AS267" s="259"/>
      <c r="AT267" s="261"/>
      <c r="AU267" s="261"/>
      <c r="AV267" s="261"/>
      <c r="AW267" s="261"/>
      <c r="AX267" s="261"/>
      <c r="AY267" s="261"/>
      <c r="AZ267" s="261"/>
      <c r="BA267" s="262"/>
      <c r="BB267" s="242" t="str">
        <f t="shared" si="5"/>
        <v/>
      </c>
      <c r="BC267" s="243"/>
      <c r="BD267" s="243"/>
      <c r="BE267" s="243"/>
      <c r="BF267" s="249" t="str">
        <f t="shared" si="6"/>
        <v/>
      </c>
      <c r="BG267" s="249"/>
      <c r="BH267" s="249"/>
      <c r="BI267" s="250"/>
      <c r="BJ267" s="260"/>
      <c r="BK267" s="259"/>
      <c r="BL267" s="249" t="str">
        <f t="shared" si="7"/>
        <v/>
      </c>
      <c r="BM267" s="249"/>
      <c r="BN267" s="249"/>
      <c r="BO267" s="249"/>
      <c r="BP267" s="259"/>
      <c r="BQ267" s="259"/>
      <c r="BR267" s="249" t="str">
        <f t="shared" si="8"/>
        <v/>
      </c>
      <c r="BS267" s="249"/>
      <c r="BT267" s="249"/>
      <c r="BU267" s="249"/>
      <c r="BV267" s="259"/>
      <c r="BW267" s="259"/>
      <c r="BX267" s="249" t="str">
        <f t="shared" si="9"/>
        <v/>
      </c>
      <c r="BY267" s="249"/>
      <c r="BZ267" s="249"/>
      <c r="CA267" s="249"/>
      <c r="CB267" s="259"/>
      <c r="CC267" s="259"/>
      <c r="CD267" s="249" t="str">
        <f t="shared" si="10"/>
        <v/>
      </c>
      <c r="CE267" s="249"/>
      <c r="CF267" s="249"/>
      <c r="CG267" s="250"/>
      <c r="CH267" s="271" t="str">
        <f t="shared" si="11"/>
        <v/>
      </c>
      <c r="CI267" s="272"/>
      <c r="CJ267" s="272"/>
      <c r="CK267" s="272"/>
      <c r="CL267" s="272"/>
      <c r="CM267" s="272" t="str">
        <f t="shared" si="12"/>
        <v/>
      </c>
      <c r="CN267" s="272"/>
      <c r="CO267" s="272"/>
      <c r="CP267" s="272"/>
      <c r="CQ267" s="272"/>
      <c r="CR267" s="272" t="str">
        <f t="shared" si="13"/>
        <v/>
      </c>
      <c r="CS267" s="272"/>
      <c r="CT267" s="272"/>
      <c r="CU267" s="272"/>
      <c r="CV267" s="272"/>
      <c r="CW267" s="272" t="str">
        <f t="shared" si="14"/>
        <v/>
      </c>
      <c r="CX267" s="272"/>
      <c r="CY267" s="272"/>
      <c r="CZ267" s="272"/>
      <c r="DA267" s="272"/>
      <c r="DB267" s="272" t="str">
        <f t="shared" si="15"/>
        <v/>
      </c>
      <c r="DC267" s="272"/>
      <c r="DD267" s="272"/>
      <c r="DE267" s="272"/>
      <c r="DF267" s="272"/>
      <c r="DG267" s="272" t="str">
        <f t="shared" si="16"/>
        <v/>
      </c>
      <c r="DH267" s="272"/>
      <c r="DI267" s="272"/>
      <c r="DJ267" s="272"/>
      <c r="DK267" s="273"/>
      <c r="DL267" s="267" t="str">
        <f t="shared" si="17"/>
        <v/>
      </c>
      <c r="DM267" s="268"/>
      <c r="DN267" s="268"/>
      <c r="DO267" s="263" t="str">
        <f t="shared" si="24"/>
        <v/>
      </c>
      <c r="DP267" s="263" t="str">
        <f t="shared" si="25"/>
        <v/>
      </c>
      <c r="DQ267" s="263"/>
      <c r="DR267" s="263" t="str">
        <f t="shared" si="26"/>
        <v/>
      </c>
      <c r="DS267" s="263"/>
      <c r="DT267" s="263" t="str">
        <f t="shared" si="27"/>
        <v/>
      </c>
      <c r="DU267" s="198"/>
      <c r="DV267" s="198"/>
      <c r="DW267" s="198"/>
      <c r="DX267" s="198"/>
      <c r="DY267" s="198"/>
      <c r="DZ267" s="263" t="str">
        <f t="shared" si="18"/>
        <v/>
      </c>
      <c r="EA267" s="263"/>
      <c r="EB267" s="263"/>
      <c r="EC267" s="263" t="str">
        <f t="shared" si="19"/>
        <v/>
      </c>
      <c r="ED267" s="263"/>
      <c r="EE267" s="265"/>
    </row>
    <row r="268" spans="1:135" ht="12.75" customHeight="1" x14ac:dyDescent="0.2">
      <c r="A268" s="54"/>
      <c r="B268" s="54"/>
      <c r="C268" s="54"/>
      <c r="D268" s="274"/>
      <c r="E268" s="274"/>
      <c r="F268" s="274"/>
      <c r="G268" s="274"/>
      <c r="H268" s="274"/>
      <c r="I268" s="274"/>
      <c r="J268" s="274"/>
      <c r="K268" s="274"/>
      <c r="L268" s="274"/>
      <c r="M268" s="274"/>
      <c r="N268" s="274"/>
      <c r="O268" s="274"/>
      <c r="P268" s="275" t="str">
        <f t="shared" si="2"/>
        <v/>
      </c>
      <c r="Q268" s="275"/>
      <c r="R268" s="275"/>
      <c r="S268" s="275"/>
      <c r="T268" s="275" t="str">
        <f t="shared" si="3"/>
        <v/>
      </c>
      <c r="U268" s="275"/>
      <c r="V268" s="275"/>
      <c r="W268" s="275"/>
      <c r="X268" s="275" t="str">
        <f t="shared" si="4"/>
        <v/>
      </c>
      <c r="Y268" s="275"/>
      <c r="Z268" s="275"/>
      <c r="AA268" s="275"/>
      <c r="AB268" s="276" t="str">
        <f t="shared" si="23"/>
        <v/>
      </c>
      <c r="AC268" s="276"/>
      <c r="AD268" s="276"/>
      <c r="AE268" s="276"/>
      <c r="AJ268" s="169"/>
      <c r="AK268" s="96"/>
      <c r="AL268" s="260"/>
      <c r="AM268" s="259"/>
      <c r="AN268" s="259"/>
      <c r="AO268" s="259"/>
      <c r="AP268" s="259"/>
      <c r="AQ268" s="259"/>
      <c r="AR268" s="259"/>
      <c r="AS268" s="259"/>
      <c r="AT268" s="261"/>
      <c r="AU268" s="261"/>
      <c r="AV268" s="261"/>
      <c r="AW268" s="261"/>
      <c r="AX268" s="261"/>
      <c r="AY268" s="261"/>
      <c r="AZ268" s="261"/>
      <c r="BA268" s="262"/>
      <c r="BB268" s="242" t="str">
        <f t="shared" si="5"/>
        <v/>
      </c>
      <c r="BC268" s="243"/>
      <c r="BD268" s="243"/>
      <c r="BE268" s="243"/>
      <c r="BF268" s="249" t="str">
        <f t="shared" si="6"/>
        <v/>
      </c>
      <c r="BG268" s="249"/>
      <c r="BH268" s="249"/>
      <c r="BI268" s="250"/>
      <c r="BJ268" s="260"/>
      <c r="BK268" s="259"/>
      <c r="BL268" s="249" t="str">
        <f t="shared" si="7"/>
        <v/>
      </c>
      <c r="BM268" s="249"/>
      <c r="BN268" s="249"/>
      <c r="BO268" s="249"/>
      <c r="BP268" s="259"/>
      <c r="BQ268" s="259"/>
      <c r="BR268" s="249" t="str">
        <f t="shared" si="8"/>
        <v/>
      </c>
      <c r="BS268" s="249"/>
      <c r="BT268" s="249"/>
      <c r="BU268" s="249"/>
      <c r="BV268" s="259"/>
      <c r="BW268" s="259"/>
      <c r="BX268" s="249" t="str">
        <f t="shared" si="9"/>
        <v/>
      </c>
      <c r="BY268" s="249"/>
      <c r="BZ268" s="249"/>
      <c r="CA268" s="249"/>
      <c r="CB268" s="259"/>
      <c r="CC268" s="259"/>
      <c r="CD268" s="249" t="str">
        <f t="shared" si="10"/>
        <v/>
      </c>
      <c r="CE268" s="249"/>
      <c r="CF268" s="249"/>
      <c r="CG268" s="250"/>
      <c r="CH268" s="271" t="str">
        <f t="shared" si="11"/>
        <v/>
      </c>
      <c r="CI268" s="272"/>
      <c r="CJ268" s="272"/>
      <c r="CK268" s="272"/>
      <c r="CL268" s="272"/>
      <c r="CM268" s="272" t="str">
        <f t="shared" si="12"/>
        <v/>
      </c>
      <c r="CN268" s="272"/>
      <c r="CO268" s="272"/>
      <c r="CP268" s="272"/>
      <c r="CQ268" s="272"/>
      <c r="CR268" s="272" t="str">
        <f t="shared" si="13"/>
        <v/>
      </c>
      <c r="CS268" s="272"/>
      <c r="CT268" s="272"/>
      <c r="CU268" s="272"/>
      <c r="CV268" s="272"/>
      <c r="CW268" s="272" t="str">
        <f t="shared" si="14"/>
        <v/>
      </c>
      <c r="CX268" s="272"/>
      <c r="CY268" s="272"/>
      <c r="CZ268" s="272"/>
      <c r="DA268" s="272"/>
      <c r="DB268" s="272" t="str">
        <f t="shared" si="15"/>
        <v/>
      </c>
      <c r="DC268" s="272"/>
      <c r="DD268" s="272"/>
      <c r="DE268" s="272"/>
      <c r="DF268" s="272"/>
      <c r="DG268" s="272" t="str">
        <f t="shared" si="16"/>
        <v/>
      </c>
      <c r="DH268" s="272"/>
      <c r="DI268" s="272"/>
      <c r="DJ268" s="272"/>
      <c r="DK268" s="273"/>
      <c r="DL268" s="267" t="str">
        <f t="shared" si="17"/>
        <v/>
      </c>
      <c r="DM268" s="268"/>
      <c r="DN268" s="268"/>
      <c r="DO268" s="263" t="str">
        <f t="shared" si="24"/>
        <v/>
      </c>
      <c r="DP268" s="263" t="str">
        <f t="shared" si="25"/>
        <v/>
      </c>
      <c r="DQ268" s="263"/>
      <c r="DR268" s="263" t="str">
        <f t="shared" si="26"/>
        <v/>
      </c>
      <c r="DS268" s="263"/>
      <c r="DT268" s="263" t="str">
        <f t="shared" si="27"/>
        <v/>
      </c>
      <c r="DU268" s="198"/>
      <c r="DV268" s="198"/>
      <c r="DW268" s="198"/>
      <c r="DX268" s="198"/>
      <c r="DY268" s="198"/>
      <c r="DZ268" s="263" t="str">
        <f t="shared" si="18"/>
        <v/>
      </c>
      <c r="EA268" s="263"/>
      <c r="EB268" s="263"/>
      <c r="EC268" s="263" t="str">
        <f t="shared" si="19"/>
        <v/>
      </c>
      <c r="ED268" s="263"/>
      <c r="EE268" s="265"/>
    </row>
    <row r="269" spans="1:135" ht="12.75" customHeight="1" x14ac:dyDescent="0.2">
      <c r="A269" s="54"/>
      <c r="B269" s="54"/>
      <c r="C269" s="54"/>
      <c r="D269" s="274"/>
      <c r="E269" s="274"/>
      <c r="F269" s="274"/>
      <c r="G269" s="274"/>
      <c r="H269" s="274"/>
      <c r="I269" s="274"/>
      <c r="J269" s="274"/>
      <c r="K269" s="274"/>
      <c r="L269" s="274"/>
      <c r="M269" s="274"/>
      <c r="N269" s="274"/>
      <c r="O269" s="274"/>
      <c r="P269" s="275" t="str">
        <f t="shared" si="2"/>
        <v/>
      </c>
      <c r="Q269" s="275"/>
      <c r="R269" s="275"/>
      <c r="S269" s="275"/>
      <c r="T269" s="275" t="str">
        <f t="shared" si="3"/>
        <v/>
      </c>
      <c r="U269" s="275"/>
      <c r="V269" s="275"/>
      <c r="W269" s="275"/>
      <c r="X269" s="275" t="str">
        <f t="shared" si="4"/>
        <v/>
      </c>
      <c r="Y269" s="275"/>
      <c r="Z269" s="275"/>
      <c r="AA269" s="275"/>
      <c r="AB269" s="276" t="str">
        <f t="shared" si="23"/>
        <v/>
      </c>
      <c r="AC269" s="276"/>
      <c r="AD269" s="276"/>
      <c r="AE269" s="276"/>
      <c r="AJ269" s="169"/>
      <c r="AK269" s="96"/>
      <c r="AL269" s="260"/>
      <c r="AM269" s="259"/>
      <c r="AN269" s="259"/>
      <c r="AO269" s="259"/>
      <c r="AP269" s="259"/>
      <c r="AQ269" s="259"/>
      <c r="AR269" s="259"/>
      <c r="AS269" s="259"/>
      <c r="AT269" s="261"/>
      <c r="AU269" s="261"/>
      <c r="AV269" s="261"/>
      <c r="AW269" s="261"/>
      <c r="AX269" s="261"/>
      <c r="AY269" s="261"/>
      <c r="AZ269" s="261"/>
      <c r="BA269" s="262"/>
      <c r="BB269" s="242" t="str">
        <f t="shared" si="5"/>
        <v/>
      </c>
      <c r="BC269" s="243"/>
      <c r="BD269" s="243"/>
      <c r="BE269" s="243"/>
      <c r="BF269" s="249" t="str">
        <f t="shared" si="6"/>
        <v/>
      </c>
      <c r="BG269" s="249"/>
      <c r="BH269" s="249"/>
      <c r="BI269" s="250"/>
      <c r="BJ269" s="260"/>
      <c r="BK269" s="259"/>
      <c r="BL269" s="249" t="str">
        <f t="shared" si="7"/>
        <v/>
      </c>
      <c r="BM269" s="249"/>
      <c r="BN269" s="249"/>
      <c r="BO269" s="249"/>
      <c r="BP269" s="259"/>
      <c r="BQ269" s="259"/>
      <c r="BR269" s="249" t="str">
        <f t="shared" si="8"/>
        <v/>
      </c>
      <c r="BS269" s="249"/>
      <c r="BT269" s="249"/>
      <c r="BU269" s="249"/>
      <c r="BV269" s="259"/>
      <c r="BW269" s="259"/>
      <c r="BX269" s="249" t="str">
        <f t="shared" si="9"/>
        <v/>
      </c>
      <c r="BY269" s="249"/>
      <c r="BZ269" s="249"/>
      <c r="CA269" s="249"/>
      <c r="CB269" s="259"/>
      <c r="CC269" s="259"/>
      <c r="CD269" s="249" t="str">
        <f t="shared" si="10"/>
        <v/>
      </c>
      <c r="CE269" s="249"/>
      <c r="CF269" s="249"/>
      <c r="CG269" s="250"/>
      <c r="CH269" s="271" t="str">
        <f t="shared" si="11"/>
        <v/>
      </c>
      <c r="CI269" s="272"/>
      <c r="CJ269" s="272"/>
      <c r="CK269" s="272"/>
      <c r="CL269" s="272"/>
      <c r="CM269" s="272" t="str">
        <f t="shared" si="12"/>
        <v/>
      </c>
      <c r="CN269" s="272"/>
      <c r="CO269" s="272"/>
      <c r="CP269" s="272"/>
      <c r="CQ269" s="272"/>
      <c r="CR269" s="272" t="str">
        <f t="shared" si="13"/>
        <v/>
      </c>
      <c r="CS269" s="272"/>
      <c r="CT269" s="272"/>
      <c r="CU269" s="272"/>
      <c r="CV269" s="272"/>
      <c r="CW269" s="272" t="str">
        <f t="shared" si="14"/>
        <v/>
      </c>
      <c r="CX269" s="272"/>
      <c r="CY269" s="272"/>
      <c r="CZ269" s="272"/>
      <c r="DA269" s="272"/>
      <c r="DB269" s="272" t="str">
        <f t="shared" si="15"/>
        <v/>
      </c>
      <c r="DC269" s="272"/>
      <c r="DD269" s="272"/>
      <c r="DE269" s="272"/>
      <c r="DF269" s="272"/>
      <c r="DG269" s="272" t="str">
        <f t="shared" si="16"/>
        <v/>
      </c>
      <c r="DH269" s="272"/>
      <c r="DI269" s="272"/>
      <c r="DJ269" s="272"/>
      <c r="DK269" s="273"/>
      <c r="DL269" s="267" t="str">
        <f t="shared" si="17"/>
        <v/>
      </c>
      <c r="DM269" s="268"/>
      <c r="DN269" s="268"/>
      <c r="DO269" s="263" t="str">
        <f t="shared" si="24"/>
        <v/>
      </c>
      <c r="DP269" s="263" t="str">
        <f t="shared" si="25"/>
        <v/>
      </c>
      <c r="DQ269" s="263"/>
      <c r="DR269" s="263" t="str">
        <f t="shared" si="26"/>
        <v/>
      </c>
      <c r="DS269" s="263"/>
      <c r="DT269" s="263" t="str">
        <f t="shared" si="27"/>
        <v/>
      </c>
      <c r="DU269" s="198"/>
      <c r="DV269" s="198"/>
      <c r="DW269" s="198"/>
      <c r="DX269" s="198"/>
      <c r="DY269" s="198"/>
      <c r="DZ269" s="263" t="str">
        <f t="shared" si="18"/>
        <v/>
      </c>
      <c r="EA269" s="263"/>
      <c r="EB269" s="263"/>
      <c r="EC269" s="263" t="str">
        <f t="shared" si="19"/>
        <v/>
      </c>
      <c r="ED269" s="263"/>
      <c r="EE269" s="265"/>
    </row>
    <row r="270" spans="1:135" ht="12.75" customHeight="1" x14ac:dyDescent="0.2">
      <c r="A270" s="54"/>
      <c r="B270" s="54"/>
      <c r="C270" s="54"/>
      <c r="D270" s="274"/>
      <c r="E270" s="274"/>
      <c r="F270" s="274"/>
      <c r="G270" s="274"/>
      <c r="H270" s="274"/>
      <c r="I270" s="274"/>
      <c r="J270" s="274"/>
      <c r="K270" s="274"/>
      <c r="L270" s="274"/>
      <c r="M270" s="274"/>
      <c r="N270" s="274"/>
      <c r="O270" s="274"/>
      <c r="P270" s="275" t="str">
        <f t="shared" si="2"/>
        <v/>
      </c>
      <c r="Q270" s="275"/>
      <c r="R270" s="275"/>
      <c r="S270" s="275"/>
      <c r="T270" s="275" t="str">
        <f t="shared" si="3"/>
        <v/>
      </c>
      <c r="U270" s="275"/>
      <c r="V270" s="275"/>
      <c r="W270" s="275"/>
      <c r="X270" s="275" t="str">
        <f t="shared" si="4"/>
        <v/>
      </c>
      <c r="Y270" s="275"/>
      <c r="Z270" s="275"/>
      <c r="AA270" s="275"/>
      <c r="AB270" s="276" t="str">
        <f t="shared" si="23"/>
        <v/>
      </c>
      <c r="AC270" s="276"/>
      <c r="AD270" s="276"/>
      <c r="AE270" s="276"/>
      <c r="AJ270" s="169"/>
      <c r="AK270" s="96"/>
      <c r="AL270" s="260"/>
      <c r="AM270" s="259"/>
      <c r="AN270" s="259"/>
      <c r="AO270" s="259"/>
      <c r="AP270" s="259"/>
      <c r="AQ270" s="259"/>
      <c r="AR270" s="259"/>
      <c r="AS270" s="259"/>
      <c r="AT270" s="261"/>
      <c r="AU270" s="261"/>
      <c r="AV270" s="261"/>
      <c r="AW270" s="261"/>
      <c r="AX270" s="261"/>
      <c r="AY270" s="261"/>
      <c r="AZ270" s="261"/>
      <c r="BA270" s="262"/>
      <c r="BB270" s="242" t="str">
        <f t="shared" si="5"/>
        <v/>
      </c>
      <c r="BC270" s="243"/>
      <c r="BD270" s="243"/>
      <c r="BE270" s="243"/>
      <c r="BF270" s="249" t="str">
        <f t="shared" si="6"/>
        <v/>
      </c>
      <c r="BG270" s="249"/>
      <c r="BH270" s="249"/>
      <c r="BI270" s="250"/>
      <c r="BJ270" s="260"/>
      <c r="BK270" s="259"/>
      <c r="BL270" s="249" t="str">
        <f t="shared" si="7"/>
        <v/>
      </c>
      <c r="BM270" s="249"/>
      <c r="BN270" s="249"/>
      <c r="BO270" s="249"/>
      <c r="BP270" s="259"/>
      <c r="BQ270" s="259"/>
      <c r="BR270" s="249" t="str">
        <f t="shared" si="8"/>
        <v/>
      </c>
      <c r="BS270" s="249"/>
      <c r="BT270" s="249"/>
      <c r="BU270" s="249"/>
      <c r="BV270" s="259"/>
      <c r="BW270" s="259"/>
      <c r="BX270" s="249" t="str">
        <f t="shared" si="9"/>
        <v/>
      </c>
      <c r="BY270" s="249"/>
      <c r="BZ270" s="249"/>
      <c r="CA270" s="249"/>
      <c r="CB270" s="259"/>
      <c r="CC270" s="259"/>
      <c r="CD270" s="249" t="str">
        <f t="shared" si="10"/>
        <v/>
      </c>
      <c r="CE270" s="249"/>
      <c r="CF270" s="249"/>
      <c r="CG270" s="250"/>
      <c r="CH270" s="271" t="str">
        <f t="shared" si="11"/>
        <v/>
      </c>
      <c r="CI270" s="272"/>
      <c r="CJ270" s="272"/>
      <c r="CK270" s="272"/>
      <c r="CL270" s="272"/>
      <c r="CM270" s="272" t="str">
        <f t="shared" si="12"/>
        <v/>
      </c>
      <c r="CN270" s="272"/>
      <c r="CO270" s="272"/>
      <c r="CP270" s="272"/>
      <c r="CQ270" s="272"/>
      <c r="CR270" s="272" t="str">
        <f t="shared" si="13"/>
        <v/>
      </c>
      <c r="CS270" s="272"/>
      <c r="CT270" s="272"/>
      <c r="CU270" s="272"/>
      <c r="CV270" s="272"/>
      <c r="CW270" s="272" t="str">
        <f t="shared" si="14"/>
        <v/>
      </c>
      <c r="CX270" s="272"/>
      <c r="CY270" s="272"/>
      <c r="CZ270" s="272"/>
      <c r="DA270" s="272"/>
      <c r="DB270" s="272" t="str">
        <f t="shared" si="15"/>
        <v/>
      </c>
      <c r="DC270" s="272"/>
      <c r="DD270" s="272"/>
      <c r="DE270" s="272"/>
      <c r="DF270" s="272"/>
      <c r="DG270" s="272" t="str">
        <f t="shared" si="16"/>
        <v/>
      </c>
      <c r="DH270" s="272"/>
      <c r="DI270" s="272"/>
      <c r="DJ270" s="272"/>
      <c r="DK270" s="273"/>
      <c r="DL270" s="267" t="str">
        <f t="shared" si="17"/>
        <v/>
      </c>
      <c r="DM270" s="268"/>
      <c r="DN270" s="268"/>
      <c r="DO270" s="263" t="str">
        <f t="shared" si="24"/>
        <v/>
      </c>
      <c r="DP270" s="263" t="str">
        <f t="shared" si="25"/>
        <v/>
      </c>
      <c r="DQ270" s="263"/>
      <c r="DR270" s="263" t="str">
        <f t="shared" si="26"/>
        <v/>
      </c>
      <c r="DS270" s="263"/>
      <c r="DT270" s="263" t="str">
        <f t="shared" si="27"/>
        <v/>
      </c>
      <c r="DU270" s="198"/>
      <c r="DV270" s="198"/>
      <c r="DW270" s="198"/>
      <c r="DX270" s="198"/>
      <c r="DY270" s="198"/>
      <c r="DZ270" s="263" t="str">
        <f t="shared" si="18"/>
        <v/>
      </c>
      <c r="EA270" s="263"/>
      <c r="EB270" s="263"/>
      <c r="EC270" s="263" t="str">
        <f t="shared" si="19"/>
        <v/>
      </c>
      <c r="ED270" s="263"/>
      <c r="EE270" s="265"/>
    </row>
    <row r="271" spans="1:135" ht="12.75" customHeight="1" x14ac:dyDescent="0.2">
      <c r="A271" s="54"/>
      <c r="B271" s="54"/>
      <c r="C271" s="54"/>
      <c r="D271" s="274"/>
      <c r="E271" s="274"/>
      <c r="F271" s="274"/>
      <c r="G271" s="274"/>
      <c r="H271" s="274"/>
      <c r="I271" s="274"/>
      <c r="J271" s="274"/>
      <c r="K271" s="274"/>
      <c r="L271" s="274"/>
      <c r="M271" s="274"/>
      <c r="N271" s="274"/>
      <c r="O271" s="274"/>
      <c r="P271" s="275" t="str">
        <f t="shared" si="2"/>
        <v/>
      </c>
      <c r="Q271" s="275"/>
      <c r="R271" s="275"/>
      <c r="S271" s="275"/>
      <c r="T271" s="275" t="str">
        <f t="shared" si="3"/>
        <v/>
      </c>
      <c r="U271" s="275"/>
      <c r="V271" s="275"/>
      <c r="W271" s="275"/>
      <c r="X271" s="275" t="str">
        <f t="shared" si="4"/>
        <v/>
      </c>
      <c r="Y271" s="275"/>
      <c r="Z271" s="275"/>
      <c r="AA271" s="275"/>
      <c r="AB271" s="276" t="str">
        <f t="shared" si="23"/>
        <v/>
      </c>
      <c r="AC271" s="276"/>
      <c r="AD271" s="276"/>
      <c r="AE271" s="276"/>
      <c r="AJ271" s="169"/>
      <c r="AK271" s="96"/>
      <c r="AL271" s="260"/>
      <c r="AM271" s="259"/>
      <c r="AN271" s="259"/>
      <c r="AO271" s="259"/>
      <c r="AP271" s="259"/>
      <c r="AQ271" s="259"/>
      <c r="AR271" s="259"/>
      <c r="AS271" s="259"/>
      <c r="AT271" s="261"/>
      <c r="AU271" s="261"/>
      <c r="AV271" s="261"/>
      <c r="AW271" s="261"/>
      <c r="AX271" s="261"/>
      <c r="AY271" s="261"/>
      <c r="AZ271" s="261"/>
      <c r="BA271" s="262"/>
      <c r="BB271" s="242" t="str">
        <f t="shared" si="5"/>
        <v/>
      </c>
      <c r="BC271" s="243"/>
      <c r="BD271" s="243"/>
      <c r="BE271" s="243"/>
      <c r="BF271" s="249" t="str">
        <f t="shared" si="6"/>
        <v/>
      </c>
      <c r="BG271" s="249"/>
      <c r="BH271" s="249"/>
      <c r="BI271" s="250"/>
      <c r="BJ271" s="260"/>
      <c r="BK271" s="259"/>
      <c r="BL271" s="249" t="str">
        <f t="shared" si="7"/>
        <v/>
      </c>
      <c r="BM271" s="249"/>
      <c r="BN271" s="249"/>
      <c r="BO271" s="249"/>
      <c r="BP271" s="259"/>
      <c r="BQ271" s="259"/>
      <c r="BR271" s="249" t="str">
        <f t="shared" si="8"/>
        <v/>
      </c>
      <c r="BS271" s="249"/>
      <c r="BT271" s="249"/>
      <c r="BU271" s="249"/>
      <c r="BV271" s="259"/>
      <c r="BW271" s="259"/>
      <c r="BX271" s="249" t="str">
        <f t="shared" si="9"/>
        <v/>
      </c>
      <c r="BY271" s="249"/>
      <c r="BZ271" s="249"/>
      <c r="CA271" s="249"/>
      <c r="CB271" s="259"/>
      <c r="CC271" s="259"/>
      <c r="CD271" s="249" t="str">
        <f t="shared" si="10"/>
        <v/>
      </c>
      <c r="CE271" s="249"/>
      <c r="CF271" s="249"/>
      <c r="CG271" s="250"/>
      <c r="CH271" s="271" t="str">
        <f t="shared" si="11"/>
        <v/>
      </c>
      <c r="CI271" s="272"/>
      <c r="CJ271" s="272"/>
      <c r="CK271" s="272"/>
      <c r="CL271" s="272"/>
      <c r="CM271" s="272" t="str">
        <f t="shared" si="12"/>
        <v/>
      </c>
      <c r="CN271" s="272"/>
      <c r="CO271" s="272"/>
      <c r="CP271" s="272"/>
      <c r="CQ271" s="272"/>
      <c r="CR271" s="272" t="str">
        <f t="shared" si="13"/>
        <v/>
      </c>
      <c r="CS271" s="272"/>
      <c r="CT271" s="272"/>
      <c r="CU271" s="272"/>
      <c r="CV271" s="272"/>
      <c r="CW271" s="272" t="str">
        <f t="shared" si="14"/>
        <v/>
      </c>
      <c r="CX271" s="272"/>
      <c r="CY271" s="272"/>
      <c r="CZ271" s="272"/>
      <c r="DA271" s="272"/>
      <c r="DB271" s="272" t="str">
        <f t="shared" si="15"/>
        <v/>
      </c>
      <c r="DC271" s="272"/>
      <c r="DD271" s="272"/>
      <c r="DE271" s="272"/>
      <c r="DF271" s="272"/>
      <c r="DG271" s="272" t="str">
        <f t="shared" si="16"/>
        <v/>
      </c>
      <c r="DH271" s="272"/>
      <c r="DI271" s="272"/>
      <c r="DJ271" s="272"/>
      <c r="DK271" s="273"/>
      <c r="DL271" s="267" t="str">
        <f t="shared" si="17"/>
        <v/>
      </c>
      <c r="DM271" s="268"/>
      <c r="DN271" s="268"/>
      <c r="DO271" s="263" t="str">
        <f t="shared" si="24"/>
        <v/>
      </c>
      <c r="DP271" s="263" t="str">
        <f t="shared" si="25"/>
        <v/>
      </c>
      <c r="DQ271" s="263"/>
      <c r="DR271" s="263" t="str">
        <f t="shared" si="26"/>
        <v/>
      </c>
      <c r="DS271" s="263"/>
      <c r="DT271" s="263" t="str">
        <f t="shared" si="27"/>
        <v/>
      </c>
      <c r="DU271" s="198"/>
      <c r="DV271" s="198"/>
      <c r="DW271" s="198"/>
      <c r="DX271" s="198"/>
      <c r="DY271" s="198"/>
      <c r="DZ271" s="263" t="str">
        <f t="shared" si="18"/>
        <v/>
      </c>
      <c r="EA271" s="263"/>
      <c r="EB271" s="263"/>
      <c r="EC271" s="263" t="str">
        <f t="shared" si="19"/>
        <v/>
      </c>
      <c r="ED271" s="263"/>
      <c r="EE271" s="265"/>
    </row>
    <row r="272" spans="1:135" ht="12.75" customHeight="1" x14ac:dyDescent="0.2">
      <c r="A272" s="54"/>
      <c r="B272" s="54"/>
      <c r="C272" s="54"/>
      <c r="D272" s="274"/>
      <c r="E272" s="274"/>
      <c r="F272" s="274"/>
      <c r="G272" s="274"/>
      <c r="H272" s="274"/>
      <c r="I272" s="274"/>
      <c r="J272" s="274"/>
      <c r="K272" s="274"/>
      <c r="L272" s="274"/>
      <c r="M272" s="274"/>
      <c r="N272" s="274"/>
      <c r="O272" s="274"/>
      <c r="P272" s="275" t="str">
        <f t="shared" si="2"/>
        <v/>
      </c>
      <c r="Q272" s="275"/>
      <c r="R272" s="275"/>
      <c r="S272" s="275"/>
      <c r="T272" s="275" t="str">
        <f t="shared" si="3"/>
        <v/>
      </c>
      <c r="U272" s="275"/>
      <c r="V272" s="275"/>
      <c r="W272" s="275"/>
      <c r="X272" s="275" t="str">
        <f t="shared" si="4"/>
        <v/>
      </c>
      <c r="Y272" s="275"/>
      <c r="Z272" s="275"/>
      <c r="AA272" s="275"/>
      <c r="AB272" s="276" t="str">
        <f t="shared" si="23"/>
        <v/>
      </c>
      <c r="AC272" s="276"/>
      <c r="AD272" s="276"/>
      <c r="AE272" s="276"/>
      <c r="AJ272" s="169"/>
      <c r="AK272" s="96"/>
      <c r="AL272" s="260"/>
      <c r="AM272" s="259"/>
      <c r="AN272" s="259"/>
      <c r="AO272" s="259"/>
      <c r="AP272" s="259"/>
      <c r="AQ272" s="259"/>
      <c r="AR272" s="259"/>
      <c r="AS272" s="259"/>
      <c r="AT272" s="261"/>
      <c r="AU272" s="261"/>
      <c r="AV272" s="261"/>
      <c r="AW272" s="261"/>
      <c r="AX272" s="261"/>
      <c r="AY272" s="261"/>
      <c r="AZ272" s="261"/>
      <c r="BA272" s="262"/>
      <c r="BB272" s="242" t="str">
        <f t="shared" si="5"/>
        <v/>
      </c>
      <c r="BC272" s="243"/>
      <c r="BD272" s="243"/>
      <c r="BE272" s="243"/>
      <c r="BF272" s="249" t="str">
        <f t="shared" si="6"/>
        <v/>
      </c>
      <c r="BG272" s="249"/>
      <c r="BH272" s="249"/>
      <c r="BI272" s="250"/>
      <c r="BJ272" s="260"/>
      <c r="BK272" s="259"/>
      <c r="BL272" s="249" t="str">
        <f t="shared" si="7"/>
        <v/>
      </c>
      <c r="BM272" s="249"/>
      <c r="BN272" s="249"/>
      <c r="BO272" s="249"/>
      <c r="BP272" s="259"/>
      <c r="BQ272" s="259"/>
      <c r="BR272" s="249" t="str">
        <f t="shared" si="8"/>
        <v/>
      </c>
      <c r="BS272" s="249"/>
      <c r="BT272" s="249"/>
      <c r="BU272" s="249"/>
      <c r="BV272" s="259"/>
      <c r="BW272" s="259"/>
      <c r="BX272" s="249" t="str">
        <f t="shared" si="9"/>
        <v/>
      </c>
      <c r="BY272" s="249"/>
      <c r="BZ272" s="249"/>
      <c r="CA272" s="249"/>
      <c r="CB272" s="259"/>
      <c r="CC272" s="259"/>
      <c r="CD272" s="249" t="str">
        <f t="shared" si="10"/>
        <v/>
      </c>
      <c r="CE272" s="249"/>
      <c r="CF272" s="249"/>
      <c r="CG272" s="250"/>
      <c r="CH272" s="271" t="str">
        <f t="shared" si="11"/>
        <v/>
      </c>
      <c r="CI272" s="272"/>
      <c r="CJ272" s="272"/>
      <c r="CK272" s="272"/>
      <c r="CL272" s="272"/>
      <c r="CM272" s="272" t="str">
        <f t="shared" si="12"/>
        <v/>
      </c>
      <c r="CN272" s="272"/>
      <c r="CO272" s="272"/>
      <c r="CP272" s="272"/>
      <c r="CQ272" s="272"/>
      <c r="CR272" s="272" t="str">
        <f t="shared" si="13"/>
        <v/>
      </c>
      <c r="CS272" s="272"/>
      <c r="CT272" s="272"/>
      <c r="CU272" s="272"/>
      <c r="CV272" s="272"/>
      <c r="CW272" s="272" t="str">
        <f t="shared" si="14"/>
        <v/>
      </c>
      <c r="CX272" s="272"/>
      <c r="CY272" s="272"/>
      <c r="CZ272" s="272"/>
      <c r="DA272" s="272"/>
      <c r="DB272" s="272" t="str">
        <f t="shared" si="15"/>
        <v/>
      </c>
      <c r="DC272" s="272"/>
      <c r="DD272" s="272"/>
      <c r="DE272" s="272"/>
      <c r="DF272" s="272"/>
      <c r="DG272" s="272" t="str">
        <f t="shared" si="16"/>
        <v/>
      </c>
      <c r="DH272" s="272"/>
      <c r="DI272" s="272"/>
      <c r="DJ272" s="272"/>
      <c r="DK272" s="273"/>
      <c r="DL272" s="267" t="str">
        <f t="shared" si="17"/>
        <v/>
      </c>
      <c r="DM272" s="268"/>
      <c r="DN272" s="268"/>
      <c r="DO272" s="263" t="str">
        <f t="shared" si="24"/>
        <v/>
      </c>
      <c r="DP272" s="263" t="str">
        <f t="shared" si="25"/>
        <v/>
      </c>
      <c r="DQ272" s="263"/>
      <c r="DR272" s="263" t="str">
        <f t="shared" si="26"/>
        <v/>
      </c>
      <c r="DS272" s="263"/>
      <c r="DT272" s="263" t="str">
        <f t="shared" si="27"/>
        <v/>
      </c>
      <c r="DU272" s="198"/>
      <c r="DV272" s="198"/>
      <c r="DW272" s="198"/>
      <c r="DX272" s="198"/>
      <c r="DY272" s="198"/>
      <c r="DZ272" s="263" t="str">
        <f t="shared" si="18"/>
        <v/>
      </c>
      <c r="EA272" s="263"/>
      <c r="EB272" s="263"/>
      <c r="EC272" s="263" t="str">
        <f t="shared" si="19"/>
        <v/>
      </c>
      <c r="ED272" s="263"/>
      <c r="EE272" s="265"/>
    </row>
    <row r="273" spans="1:135" ht="12.75" customHeight="1" x14ac:dyDescent="0.2">
      <c r="A273" s="54"/>
      <c r="B273" s="54"/>
      <c r="C273" s="54"/>
      <c r="D273" s="274"/>
      <c r="E273" s="274"/>
      <c r="F273" s="274"/>
      <c r="G273" s="274"/>
      <c r="H273" s="274"/>
      <c r="I273" s="274"/>
      <c r="J273" s="274"/>
      <c r="K273" s="274"/>
      <c r="L273" s="274"/>
      <c r="M273" s="274"/>
      <c r="N273" s="274"/>
      <c r="O273" s="274"/>
      <c r="P273" s="275" t="str">
        <f t="shared" si="2"/>
        <v/>
      </c>
      <c r="Q273" s="275"/>
      <c r="R273" s="275"/>
      <c r="S273" s="275"/>
      <c r="T273" s="275" t="str">
        <f t="shared" si="3"/>
        <v/>
      </c>
      <c r="U273" s="275"/>
      <c r="V273" s="275"/>
      <c r="W273" s="275"/>
      <c r="X273" s="275" t="str">
        <f t="shared" si="4"/>
        <v/>
      </c>
      <c r="Y273" s="275"/>
      <c r="Z273" s="275"/>
      <c r="AA273" s="275"/>
      <c r="AB273" s="276" t="str">
        <f t="shared" si="23"/>
        <v/>
      </c>
      <c r="AC273" s="276"/>
      <c r="AD273" s="276"/>
      <c r="AE273" s="276"/>
      <c r="AJ273" s="169"/>
      <c r="AK273" s="96"/>
      <c r="AL273" s="260"/>
      <c r="AM273" s="259"/>
      <c r="AN273" s="259"/>
      <c r="AO273" s="259"/>
      <c r="AP273" s="259"/>
      <c r="AQ273" s="259"/>
      <c r="AR273" s="259"/>
      <c r="AS273" s="259"/>
      <c r="AT273" s="261"/>
      <c r="AU273" s="261"/>
      <c r="AV273" s="261"/>
      <c r="AW273" s="261"/>
      <c r="AX273" s="261"/>
      <c r="AY273" s="261"/>
      <c r="AZ273" s="261"/>
      <c r="BA273" s="262"/>
      <c r="BB273" s="242" t="str">
        <f t="shared" si="5"/>
        <v/>
      </c>
      <c r="BC273" s="243"/>
      <c r="BD273" s="243"/>
      <c r="BE273" s="243"/>
      <c r="BF273" s="249" t="str">
        <f t="shared" si="6"/>
        <v/>
      </c>
      <c r="BG273" s="249"/>
      <c r="BH273" s="249"/>
      <c r="BI273" s="250"/>
      <c r="BJ273" s="260"/>
      <c r="BK273" s="259"/>
      <c r="BL273" s="249" t="str">
        <f t="shared" si="7"/>
        <v/>
      </c>
      <c r="BM273" s="249"/>
      <c r="BN273" s="249"/>
      <c r="BO273" s="249"/>
      <c r="BP273" s="259"/>
      <c r="BQ273" s="259"/>
      <c r="BR273" s="249" t="str">
        <f t="shared" si="8"/>
        <v/>
      </c>
      <c r="BS273" s="249"/>
      <c r="BT273" s="249"/>
      <c r="BU273" s="249"/>
      <c r="BV273" s="259"/>
      <c r="BW273" s="259"/>
      <c r="BX273" s="249" t="str">
        <f t="shared" si="9"/>
        <v/>
      </c>
      <c r="BY273" s="249"/>
      <c r="BZ273" s="249"/>
      <c r="CA273" s="249"/>
      <c r="CB273" s="259"/>
      <c r="CC273" s="259"/>
      <c r="CD273" s="249" t="str">
        <f t="shared" si="10"/>
        <v/>
      </c>
      <c r="CE273" s="249"/>
      <c r="CF273" s="249"/>
      <c r="CG273" s="250"/>
      <c r="CH273" s="271" t="str">
        <f t="shared" si="11"/>
        <v/>
      </c>
      <c r="CI273" s="272"/>
      <c r="CJ273" s="272"/>
      <c r="CK273" s="272"/>
      <c r="CL273" s="272"/>
      <c r="CM273" s="272" t="str">
        <f t="shared" si="12"/>
        <v/>
      </c>
      <c r="CN273" s="272"/>
      <c r="CO273" s="272"/>
      <c r="CP273" s="272"/>
      <c r="CQ273" s="272"/>
      <c r="CR273" s="272" t="str">
        <f t="shared" si="13"/>
        <v/>
      </c>
      <c r="CS273" s="272"/>
      <c r="CT273" s="272"/>
      <c r="CU273" s="272"/>
      <c r="CV273" s="272"/>
      <c r="CW273" s="272" t="str">
        <f t="shared" si="14"/>
        <v/>
      </c>
      <c r="CX273" s="272"/>
      <c r="CY273" s="272"/>
      <c r="CZ273" s="272"/>
      <c r="DA273" s="272"/>
      <c r="DB273" s="272" t="str">
        <f t="shared" si="15"/>
        <v/>
      </c>
      <c r="DC273" s="272"/>
      <c r="DD273" s="272"/>
      <c r="DE273" s="272"/>
      <c r="DF273" s="272"/>
      <c r="DG273" s="272" t="str">
        <f t="shared" si="16"/>
        <v/>
      </c>
      <c r="DH273" s="272"/>
      <c r="DI273" s="272"/>
      <c r="DJ273" s="272"/>
      <c r="DK273" s="273"/>
      <c r="DL273" s="267" t="str">
        <f t="shared" si="17"/>
        <v/>
      </c>
      <c r="DM273" s="268"/>
      <c r="DN273" s="268"/>
      <c r="DO273" s="263" t="str">
        <f t="shared" si="24"/>
        <v/>
      </c>
      <c r="DP273" s="263" t="str">
        <f t="shared" si="25"/>
        <v/>
      </c>
      <c r="DQ273" s="263"/>
      <c r="DR273" s="263" t="str">
        <f t="shared" si="26"/>
        <v/>
      </c>
      <c r="DS273" s="263"/>
      <c r="DT273" s="263" t="str">
        <f t="shared" si="27"/>
        <v/>
      </c>
      <c r="DU273" s="198"/>
      <c r="DV273" s="198"/>
      <c r="DW273" s="198"/>
      <c r="DX273" s="198"/>
      <c r="DY273" s="198"/>
      <c r="DZ273" s="263" t="str">
        <f t="shared" si="18"/>
        <v/>
      </c>
      <c r="EA273" s="263"/>
      <c r="EB273" s="263"/>
      <c r="EC273" s="263" t="str">
        <f t="shared" si="19"/>
        <v/>
      </c>
      <c r="ED273" s="263"/>
      <c r="EE273" s="265"/>
    </row>
    <row r="274" spans="1:135" ht="12.75" customHeight="1" x14ac:dyDescent="0.2">
      <c r="A274" s="54"/>
      <c r="B274" s="54"/>
      <c r="C274" s="54"/>
      <c r="D274" s="274"/>
      <c r="E274" s="274"/>
      <c r="F274" s="274"/>
      <c r="G274" s="274"/>
      <c r="H274" s="274"/>
      <c r="I274" s="274"/>
      <c r="J274" s="274"/>
      <c r="K274" s="274"/>
      <c r="L274" s="274"/>
      <c r="M274" s="274"/>
      <c r="N274" s="274"/>
      <c r="O274" s="274"/>
      <c r="P274" s="275" t="str">
        <f t="shared" si="2"/>
        <v/>
      </c>
      <c r="Q274" s="275"/>
      <c r="R274" s="275"/>
      <c r="S274" s="275"/>
      <c r="T274" s="275" t="str">
        <f t="shared" si="3"/>
        <v/>
      </c>
      <c r="U274" s="275"/>
      <c r="V274" s="275"/>
      <c r="W274" s="275"/>
      <c r="X274" s="275" t="str">
        <f t="shared" si="4"/>
        <v/>
      </c>
      <c r="Y274" s="275"/>
      <c r="Z274" s="275"/>
      <c r="AA274" s="275"/>
      <c r="AB274" s="276" t="str">
        <f t="shared" si="23"/>
        <v/>
      </c>
      <c r="AC274" s="276"/>
      <c r="AD274" s="276"/>
      <c r="AE274" s="276"/>
      <c r="AJ274" s="169"/>
      <c r="AK274" s="96"/>
      <c r="AL274" s="260"/>
      <c r="AM274" s="259"/>
      <c r="AN274" s="259"/>
      <c r="AO274" s="259"/>
      <c r="AP274" s="259"/>
      <c r="AQ274" s="259"/>
      <c r="AR274" s="259"/>
      <c r="AS274" s="259"/>
      <c r="AT274" s="261"/>
      <c r="AU274" s="261"/>
      <c r="AV274" s="261"/>
      <c r="AW274" s="261"/>
      <c r="AX274" s="261"/>
      <c r="AY274" s="261"/>
      <c r="AZ274" s="261"/>
      <c r="BA274" s="262"/>
      <c r="BB274" s="242" t="str">
        <f t="shared" si="5"/>
        <v/>
      </c>
      <c r="BC274" s="243"/>
      <c r="BD274" s="243"/>
      <c r="BE274" s="243"/>
      <c r="BF274" s="249" t="str">
        <f t="shared" si="6"/>
        <v/>
      </c>
      <c r="BG274" s="249"/>
      <c r="BH274" s="249"/>
      <c r="BI274" s="250"/>
      <c r="BJ274" s="260"/>
      <c r="BK274" s="259"/>
      <c r="BL274" s="249" t="str">
        <f t="shared" si="7"/>
        <v/>
      </c>
      <c r="BM274" s="249"/>
      <c r="BN274" s="249"/>
      <c r="BO274" s="249"/>
      <c r="BP274" s="259"/>
      <c r="BQ274" s="259"/>
      <c r="BR274" s="249" t="str">
        <f t="shared" si="8"/>
        <v/>
      </c>
      <c r="BS274" s="249"/>
      <c r="BT274" s="249"/>
      <c r="BU274" s="249"/>
      <c r="BV274" s="259"/>
      <c r="BW274" s="259"/>
      <c r="BX274" s="249" t="str">
        <f t="shared" si="9"/>
        <v/>
      </c>
      <c r="BY274" s="249"/>
      <c r="BZ274" s="249"/>
      <c r="CA274" s="249"/>
      <c r="CB274" s="259"/>
      <c r="CC274" s="259"/>
      <c r="CD274" s="249" t="str">
        <f t="shared" si="10"/>
        <v/>
      </c>
      <c r="CE274" s="249"/>
      <c r="CF274" s="249"/>
      <c r="CG274" s="250"/>
      <c r="CH274" s="271" t="str">
        <f t="shared" si="11"/>
        <v/>
      </c>
      <c r="CI274" s="272"/>
      <c r="CJ274" s="272"/>
      <c r="CK274" s="272"/>
      <c r="CL274" s="272"/>
      <c r="CM274" s="272" t="str">
        <f t="shared" si="12"/>
        <v/>
      </c>
      <c r="CN274" s="272"/>
      <c r="CO274" s="272"/>
      <c r="CP274" s="272"/>
      <c r="CQ274" s="272"/>
      <c r="CR274" s="272" t="str">
        <f t="shared" si="13"/>
        <v/>
      </c>
      <c r="CS274" s="272"/>
      <c r="CT274" s="272"/>
      <c r="CU274" s="272"/>
      <c r="CV274" s="272"/>
      <c r="CW274" s="272" t="str">
        <f t="shared" si="14"/>
        <v/>
      </c>
      <c r="CX274" s="272"/>
      <c r="CY274" s="272"/>
      <c r="CZ274" s="272"/>
      <c r="DA274" s="272"/>
      <c r="DB274" s="272" t="str">
        <f t="shared" si="15"/>
        <v/>
      </c>
      <c r="DC274" s="272"/>
      <c r="DD274" s="272"/>
      <c r="DE274" s="272"/>
      <c r="DF274" s="272"/>
      <c r="DG274" s="272" t="str">
        <f t="shared" si="16"/>
        <v/>
      </c>
      <c r="DH274" s="272"/>
      <c r="DI274" s="272"/>
      <c r="DJ274" s="272"/>
      <c r="DK274" s="273"/>
      <c r="DL274" s="267" t="str">
        <f t="shared" si="17"/>
        <v/>
      </c>
      <c r="DM274" s="268"/>
      <c r="DN274" s="268"/>
      <c r="DO274" s="263" t="str">
        <f t="shared" si="24"/>
        <v/>
      </c>
      <c r="DP274" s="263" t="str">
        <f t="shared" si="25"/>
        <v/>
      </c>
      <c r="DQ274" s="263"/>
      <c r="DR274" s="263" t="str">
        <f t="shared" si="26"/>
        <v/>
      </c>
      <c r="DS274" s="263"/>
      <c r="DT274" s="263" t="str">
        <f t="shared" si="27"/>
        <v/>
      </c>
      <c r="DU274" s="198"/>
      <c r="DV274" s="198"/>
      <c r="DW274" s="198"/>
      <c r="DX274" s="198"/>
      <c r="DY274" s="198"/>
      <c r="DZ274" s="263" t="str">
        <f t="shared" si="18"/>
        <v/>
      </c>
      <c r="EA274" s="263"/>
      <c r="EB274" s="263"/>
      <c r="EC274" s="263" t="str">
        <f t="shared" si="19"/>
        <v/>
      </c>
      <c r="ED274" s="263"/>
      <c r="EE274" s="265"/>
    </row>
    <row r="275" spans="1:135" ht="12.75" customHeight="1" x14ac:dyDescent="0.2">
      <c r="A275" s="54"/>
      <c r="B275" s="54"/>
      <c r="C275" s="54"/>
      <c r="D275" s="274"/>
      <c r="E275" s="274"/>
      <c r="F275" s="274"/>
      <c r="G275" s="274"/>
      <c r="H275" s="274"/>
      <c r="I275" s="274"/>
      <c r="J275" s="274"/>
      <c r="K275" s="274"/>
      <c r="L275" s="274"/>
      <c r="M275" s="274"/>
      <c r="N275" s="274"/>
      <c r="O275" s="274"/>
      <c r="P275" s="275" t="str">
        <f t="shared" si="2"/>
        <v/>
      </c>
      <c r="Q275" s="275"/>
      <c r="R275" s="275"/>
      <c r="S275" s="275"/>
      <c r="T275" s="275" t="str">
        <f t="shared" si="3"/>
        <v/>
      </c>
      <c r="U275" s="275"/>
      <c r="V275" s="275"/>
      <c r="W275" s="275"/>
      <c r="X275" s="275" t="str">
        <f t="shared" si="4"/>
        <v/>
      </c>
      <c r="Y275" s="275"/>
      <c r="Z275" s="275"/>
      <c r="AA275" s="275"/>
      <c r="AB275" s="276" t="str">
        <f t="shared" si="23"/>
        <v/>
      </c>
      <c r="AC275" s="276"/>
      <c r="AD275" s="276"/>
      <c r="AE275" s="276"/>
      <c r="AJ275" s="169"/>
      <c r="AK275" s="96"/>
      <c r="AL275" s="260"/>
      <c r="AM275" s="259"/>
      <c r="AN275" s="259"/>
      <c r="AO275" s="259"/>
      <c r="AP275" s="259"/>
      <c r="AQ275" s="259"/>
      <c r="AR275" s="259"/>
      <c r="AS275" s="259"/>
      <c r="AT275" s="261"/>
      <c r="AU275" s="261"/>
      <c r="AV275" s="261"/>
      <c r="AW275" s="261"/>
      <c r="AX275" s="261"/>
      <c r="AY275" s="261"/>
      <c r="AZ275" s="261"/>
      <c r="BA275" s="262"/>
      <c r="BB275" s="242" t="str">
        <f t="shared" si="5"/>
        <v/>
      </c>
      <c r="BC275" s="243"/>
      <c r="BD275" s="243"/>
      <c r="BE275" s="243"/>
      <c r="BF275" s="249" t="str">
        <f t="shared" si="6"/>
        <v/>
      </c>
      <c r="BG275" s="249"/>
      <c r="BH275" s="249"/>
      <c r="BI275" s="250"/>
      <c r="BJ275" s="260"/>
      <c r="BK275" s="259"/>
      <c r="BL275" s="249" t="str">
        <f t="shared" si="7"/>
        <v/>
      </c>
      <c r="BM275" s="249"/>
      <c r="BN275" s="249"/>
      <c r="BO275" s="249"/>
      <c r="BP275" s="259"/>
      <c r="BQ275" s="259"/>
      <c r="BR275" s="249" t="str">
        <f t="shared" si="8"/>
        <v/>
      </c>
      <c r="BS275" s="249"/>
      <c r="BT275" s="249"/>
      <c r="BU275" s="249"/>
      <c r="BV275" s="259"/>
      <c r="BW275" s="259"/>
      <c r="BX275" s="249" t="str">
        <f t="shared" si="9"/>
        <v/>
      </c>
      <c r="BY275" s="249"/>
      <c r="BZ275" s="249"/>
      <c r="CA275" s="249"/>
      <c r="CB275" s="259"/>
      <c r="CC275" s="259"/>
      <c r="CD275" s="249" t="str">
        <f t="shared" si="10"/>
        <v/>
      </c>
      <c r="CE275" s="249"/>
      <c r="CF275" s="249"/>
      <c r="CG275" s="250"/>
      <c r="CH275" s="271" t="str">
        <f t="shared" si="11"/>
        <v/>
      </c>
      <c r="CI275" s="272"/>
      <c r="CJ275" s="272"/>
      <c r="CK275" s="272"/>
      <c r="CL275" s="272"/>
      <c r="CM275" s="272" t="str">
        <f t="shared" si="12"/>
        <v/>
      </c>
      <c r="CN275" s="272"/>
      <c r="CO275" s="272"/>
      <c r="CP275" s="272"/>
      <c r="CQ275" s="272"/>
      <c r="CR275" s="272" t="str">
        <f t="shared" si="13"/>
        <v/>
      </c>
      <c r="CS275" s="272"/>
      <c r="CT275" s="272"/>
      <c r="CU275" s="272"/>
      <c r="CV275" s="272"/>
      <c r="CW275" s="272" t="str">
        <f t="shared" si="14"/>
        <v/>
      </c>
      <c r="CX275" s="272"/>
      <c r="CY275" s="272"/>
      <c r="CZ275" s="272"/>
      <c r="DA275" s="272"/>
      <c r="DB275" s="272" t="str">
        <f t="shared" si="15"/>
        <v/>
      </c>
      <c r="DC275" s="272"/>
      <c r="DD275" s="272"/>
      <c r="DE275" s="272"/>
      <c r="DF275" s="272"/>
      <c r="DG275" s="272" t="str">
        <f t="shared" si="16"/>
        <v/>
      </c>
      <c r="DH275" s="272"/>
      <c r="DI275" s="272"/>
      <c r="DJ275" s="272"/>
      <c r="DK275" s="273"/>
      <c r="DL275" s="267" t="str">
        <f t="shared" si="17"/>
        <v/>
      </c>
      <c r="DM275" s="268"/>
      <c r="DN275" s="268"/>
      <c r="DO275" s="263" t="str">
        <f t="shared" si="24"/>
        <v/>
      </c>
      <c r="DP275" s="263" t="str">
        <f t="shared" si="25"/>
        <v/>
      </c>
      <c r="DQ275" s="263"/>
      <c r="DR275" s="263" t="str">
        <f t="shared" si="26"/>
        <v/>
      </c>
      <c r="DS275" s="263"/>
      <c r="DT275" s="263" t="str">
        <f t="shared" si="27"/>
        <v/>
      </c>
      <c r="DU275" s="198"/>
      <c r="DV275" s="198"/>
      <c r="DW275" s="198"/>
      <c r="DX275" s="198"/>
      <c r="DY275" s="198"/>
      <c r="DZ275" s="263" t="str">
        <f t="shared" si="18"/>
        <v/>
      </c>
      <c r="EA275" s="263"/>
      <c r="EB275" s="263"/>
      <c r="EC275" s="263" t="str">
        <f t="shared" si="19"/>
        <v/>
      </c>
      <c r="ED275" s="263"/>
      <c r="EE275" s="265"/>
    </row>
    <row r="276" spans="1:135" ht="12.75" customHeight="1" x14ac:dyDescent="0.2">
      <c r="A276" s="54"/>
      <c r="B276" s="54"/>
      <c r="C276" s="54"/>
      <c r="D276" s="274"/>
      <c r="E276" s="274"/>
      <c r="F276" s="274"/>
      <c r="G276" s="274"/>
      <c r="H276" s="274"/>
      <c r="I276" s="274"/>
      <c r="J276" s="274"/>
      <c r="K276" s="274"/>
      <c r="L276" s="274"/>
      <c r="M276" s="274"/>
      <c r="N276" s="274"/>
      <c r="O276" s="274"/>
      <c r="P276" s="275" t="str">
        <f t="shared" si="2"/>
        <v/>
      </c>
      <c r="Q276" s="275"/>
      <c r="R276" s="275"/>
      <c r="S276" s="275"/>
      <c r="T276" s="275" t="str">
        <f t="shared" si="3"/>
        <v/>
      </c>
      <c r="U276" s="275"/>
      <c r="V276" s="275"/>
      <c r="W276" s="275"/>
      <c r="X276" s="275" t="str">
        <f t="shared" si="4"/>
        <v/>
      </c>
      <c r="Y276" s="275"/>
      <c r="Z276" s="275"/>
      <c r="AA276" s="275"/>
      <c r="AB276" s="276" t="str">
        <f t="shared" si="23"/>
        <v/>
      </c>
      <c r="AC276" s="276"/>
      <c r="AD276" s="276"/>
      <c r="AE276" s="276"/>
      <c r="AJ276" s="169"/>
      <c r="AK276" s="96"/>
      <c r="AL276" s="260"/>
      <c r="AM276" s="259"/>
      <c r="AN276" s="259"/>
      <c r="AO276" s="259"/>
      <c r="AP276" s="259"/>
      <c r="AQ276" s="259"/>
      <c r="AR276" s="259"/>
      <c r="AS276" s="259"/>
      <c r="AT276" s="261"/>
      <c r="AU276" s="261"/>
      <c r="AV276" s="261"/>
      <c r="AW276" s="261"/>
      <c r="AX276" s="261"/>
      <c r="AY276" s="261"/>
      <c r="AZ276" s="261"/>
      <c r="BA276" s="262"/>
      <c r="BB276" s="242" t="str">
        <f t="shared" si="5"/>
        <v/>
      </c>
      <c r="BC276" s="243"/>
      <c r="BD276" s="243"/>
      <c r="BE276" s="243"/>
      <c r="BF276" s="249" t="str">
        <f t="shared" si="6"/>
        <v/>
      </c>
      <c r="BG276" s="249"/>
      <c r="BH276" s="249"/>
      <c r="BI276" s="250"/>
      <c r="BJ276" s="260"/>
      <c r="BK276" s="259"/>
      <c r="BL276" s="249" t="str">
        <f t="shared" si="7"/>
        <v/>
      </c>
      <c r="BM276" s="249"/>
      <c r="BN276" s="249"/>
      <c r="BO276" s="249"/>
      <c r="BP276" s="259"/>
      <c r="BQ276" s="259"/>
      <c r="BR276" s="249" t="str">
        <f t="shared" si="8"/>
        <v/>
      </c>
      <c r="BS276" s="249"/>
      <c r="BT276" s="249"/>
      <c r="BU276" s="249"/>
      <c r="BV276" s="259"/>
      <c r="BW276" s="259"/>
      <c r="BX276" s="249" t="str">
        <f t="shared" si="9"/>
        <v/>
      </c>
      <c r="BY276" s="249"/>
      <c r="BZ276" s="249"/>
      <c r="CA276" s="249"/>
      <c r="CB276" s="259"/>
      <c r="CC276" s="259"/>
      <c r="CD276" s="249" t="str">
        <f t="shared" si="10"/>
        <v/>
      </c>
      <c r="CE276" s="249"/>
      <c r="CF276" s="249"/>
      <c r="CG276" s="250"/>
      <c r="CH276" s="271" t="str">
        <f t="shared" si="11"/>
        <v/>
      </c>
      <c r="CI276" s="272"/>
      <c r="CJ276" s="272"/>
      <c r="CK276" s="272"/>
      <c r="CL276" s="272"/>
      <c r="CM276" s="272" t="str">
        <f t="shared" si="12"/>
        <v/>
      </c>
      <c r="CN276" s="272"/>
      <c r="CO276" s="272"/>
      <c r="CP276" s="272"/>
      <c r="CQ276" s="272"/>
      <c r="CR276" s="272" t="str">
        <f t="shared" si="13"/>
        <v/>
      </c>
      <c r="CS276" s="272"/>
      <c r="CT276" s="272"/>
      <c r="CU276" s="272"/>
      <c r="CV276" s="272"/>
      <c r="CW276" s="272" t="str">
        <f t="shared" si="14"/>
        <v/>
      </c>
      <c r="CX276" s="272"/>
      <c r="CY276" s="272"/>
      <c r="CZ276" s="272"/>
      <c r="DA276" s="272"/>
      <c r="DB276" s="272" t="str">
        <f t="shared" si="15"/>
        <v/>
      </c>
      <c r="DC276" s="272"/>
      <c r="DD276" s="272"/>
      <c r="DE276" s="272"/>
      <c r="DF276" s="272"/>
      <c r="DG276" s="272" t="str">
        <f t="shared" si="16"/>
        <v/>
      </c>
      <c r="DH276" s="272"/>
      <c r="DI276" s="272"/>
      <c r="DJ276" s="272"/>
      <c r="DK276" s="273"/>
      <c r="DL276" s="267" t="str">
        <f t="shared" si="17"/>
        <v/>
      </c>
      <c r="DM276" s="268"/>
      <c r="DN276" s="268"/>
      <c r="DO276" s="263" t="str">
        <f t="shared" si="24"/>
        <v/>
      </c>
      <c r="DP276" s="263" t="str">
        <f t="shared" si="25"/>
        <v/>
      </c>
      <c r="DQ276" s="263"/>
      <c r="DR276" s="263" t="str">
        <f t="shared" si="26"/>
        <v/>
      </c>
      <c r="DS276" s="263"/>
      <c r="DT276" s="263" t="str">
        <f t="shared" si="27"/>
        <v/>
      </c>
      <c r="DU276" s="198"/>
      <c r="DV276" s="198"/>
      <c r="DW276" s="198"/>
      <c r="DX276" s="198"/>
      <c r="DY276" s="198"/>
      <c r="DZ276" s="263" t="str">
        <f t="shared" si="18"/>
        <v/>
      </c>
      <c r="EA276" s="263"/>
      <c r="EB276" s="263"/>
      <c r="EC276" s="263" t="str">
        <f t="shared" si="19"/>
        <v/>
      </c>
      <c r="ED276" s="263"/>
      <c r="EE276" s="265"/>
    </row>
    <row r="277" spans="1:135" ht="12.75" customHeight="1" x14ac:dyDescent="0.2">
      <c r="A277" s="54"/>
      <c r="B277" s="54"/>
      <c r="C277" s="54"/>
      <c r="D277" s="274"/>
      <c r="E277" s="274"/>
      <c r="F277" s="274"/>
      <c r="G277" s="274"/>
      <c r="H277" s="274"/>
      <c r="I277" s="274"/>
      <c r="J277" s="274"/>
      <c r="K277" s="274"/>
      <c r="L277" s="274"/>
      <c r="M277" s="274"/>
      <c r="N277" s="274"/>
      <c r="O277" s="274"/>
      <c r="P277" s="275" t="str">
        <f t="shared" si="2"/>
        <v/>
      </c>
      <c r="Q277" s="275"/>
      <c r="R277" s="275"/>
      <c r="S277" s="275"/>
      <c r="T277" s="275" t="str">
        <f t="shared" si="3"/>
        <v/>
      </c>
      <c r="U277" s="275"/>
      <c r="V277" s="275"/>
      <c r="W277" s="275"/>
      <c r="X277" s="275" t="str">
        <f t="shared" si="4"/>
        <v/>
      </c>
      <c r="Y277" s="275"/>
      <c r="Z277" s="275"/>
      <c r="AA277" s="275"/>
      <c r="AB277" s="276" t="str">
        <f t="shared" ref="AB277:AB282" si="28">IF($D277="","",IFERROR((($T277^2)+($X277^2))^(0.5),""))</f>
        <v/>
      </c>
      <c r="AC277" s="276"/>
      <c r="AD277" s="276"/>
      <c r="AE277" s="276"/>
      <c r="AJ277" s="169"/>
      <c r="AK277" s="96"/>
      <c r="AL277" s="260"/>
      <c r="AM277" s="259"/>
      <c r="AN277" s="259"/>
      <c r="AO277" s="259"/>
      <c r="AP277" s="259"/>
      <c r="AQ277" s="259"/>
      <c r="AR277" s="259"/>
      <c r="AS277" s="259"/>
      <c r="AT277" s="261"/>
      <c r="AU277" s="261"/>
      <c r="AV277" s="261"/>
      <c r="AW277" s="261"/>
      <c r="AX277" s="261"/>
      <c r="AY277" s="261"/>
      <c r="AZ277" s="261"/>
      <c r="BA277" s="262"/>
      <c r="BB277" s="242" t="str">
        <f t="shared" si="5"/>
        <v/>
      </c>
      <c r="BC277" s="243"/>
      <c r="BD277" s="243"/>
      <c r="BE277" s="243"/>
      <c r="BF277" s="249" t="str">
        <f t="shared" si="6"/>
        <v/>
      </c>
      <c r="BG277" s="249"/>
      <c r="BH277" s="249"/>
      <c r="BI277" s="250"/>
      <c r="BJ277" s="260"/>
      <c r="BK277" s="259"/>
      <c r="BL277" s="249" t="str">
        <f t="shared" si="7"/>
        <v/>
      </c>
      <c r="BM277" s="249"/>
      <c r="BN277" s="249"/>
      <c r="BO277" s="249"/>
      <c r="BP277" s="259"/>
      <c r="BQ277" s="259"/>
      <c r="BR277" s="249" t="str">
        <f t="shared" si="8"/>
        <v/>
      </c>
      <c r="BS277" s="249"/>
      <c r="BT277" s="249"/>
      <c r="BU277" s="249"/>
      <c r="BV277" s="259"/>
      <c r="BW277" s="259"/>
      <c r="BX277" s="249" t="str">
        <f t="shared" si="9"/>
        <v/>
      </c>
      <c r="BY277" s="249"/>
      <c r="BZ277" s="249"/>
      <c r="CA277" s="249"/>
      <c r="CB277" s="259"/>
      <c r="CC277" s="259"/>
      <c r="CD277" s="249" t="str">
        <f t="shared" si="10"/>
        <v/>
      </c>
      <c r="CE277" s="249"/>
      <c r="CF277" s="249"/>
      <c r="CG277" s="250"/>
      <c r="CH277" s="271" t="str">
        <f t="shared" si="11"/>
        <v/>
      </c>
      <c r="CI277" s="272"/>
      <c r="CJ277" s="272"/>
      <c r="CK277" s="272"/>
      <c r="CL277" s="272"/>
      <c r="CM277" s="272" t="str">
        <f t="shared" si="12"/>
        <v/>
      </c>
      <c r="CN277" s="272"/>
      <c r="CO277" s="272"/>
      <c r="CP277" s="272"/>
      <c r="CQ277" s="272"/>
      <c r="CR277" s="272" t="str">
        <f t="shared" si="13"/>
        <v/>
      </c>
      <c r="CS277" s="272"/>
      <c r="CT277" s="272"/>
      <c r="CU277" s="272"/>
      <c r="CV277" s="272"/>
      <c r="CW277" s="272" t="str">
        <f t="shared" si="14"/>
        <v/>
      </c>
      <c r="CX277" s="272"/>
      <c r="CY277" s="272"/>
      <c r="CZ277" s="272"/>
      <c r="DA277" s="272"/>
      <c r="DB277" s="272" t="str">
        <f t="shared" si="15"/>
        <v/>
      </c>
      <c r="DC277" s="272"/>
      <c r="DD277" s="272"/>
      <c r="DE277" s="272"/>
      <c r="DF277" s="272"/>
      <c r="DG277" s="272" t="str">
        <f t="shared" si="16"/>
        <v/>
      </c>
      <c r="DH277" s="272"/>
      <c r="DI277" s="272"/>
      <c r="DJ277" s="272"/>
      <c r="DK277" s="273"/>
      <c r="DL277" s="267" t="str">
        <f t="shared" si="17"/>
        <v/>
      </c>
      <c r="DM277" s="268"/>
      <c r="DN277" s="268"/>
      <c r="DO277" s="263" t="str">
        <f t="shared" ref="DO277:DO282" si="29">IFERROR(H277*P277,"")</f>
        <v/>
      </c>
      <c r="DP277" s="263" t="str">
        <f t="shared" si="25"/>
        <v/>
      </c>
      <c r="DQ277" s="263"/>
      <c r="DR277" s="263" t="str">
        <f t="shared" si="26"/>
        <v/>
      </c>
      <c r="DS277" s="263"/>
      <c r="DT277" s="263" t="str">
        <f t="shared" si="27"/>
        <v/>
      </c>
      <c r="DU277" s="198"/>
      <c r="DV277" s="198"/>
      <c r="DW277" s="198"/>
      <c r="DX277" s="198"/>
      <c r="DY277" s="198"/>
      <c r="DZ277" s="263" t="str">
        <f t="shared" si="18"/>
        <v/>
      </c>
      <c r="EA277" s="263"/>
      <c r="EB277" s="263"/>
      <c r="EC277" s="263" t="str">
        <f t="shared" si="19"/>
        <v/>
      </c>
      <c r="ED277" s="263"/>
      <c r="EE277" s="265"/>
    </row>
    <row r="278" spans="1:135" ht="12.75" customHeight="1" x14ac:dyDescent="0.2">
      <c r="A278" s="54"/>
      <c r="B278" s="54"/>
      <c r="C278" s="54"/>
      <c r="D278" s="274"/>
      <c r="E278" s="274"/>
      <c r="F278" s="274"/>
      <c r="G278" s="274"/>
      <c r="H278" s="274"/>
      <c r="I278" s="274"/>
      <c r="J278" s="274"/>
      <c r="K278" s="274"/>
      <c r="L278" s="274"/>
      <c r="M278" s="274"/>
      <c r="N278" s="274"/>
      <c r="O278" s="274"/>
      <c r="P278" s="275" t="str">
        <f>IF($D278="",
       "",
       IFERROR(
           ($T$174/COUNT($D$213:$G$282))  +
           IFERROR($X$174/((COUNTIF($L$213:$L$282,$L278)*($L278/1000))),0)  +
           IFERROR($AB$174/((COUNTIF($H$213:$H$282,$H278)*($H278/1000))),0),
       "")
)</f>
        <v/>
      </c>
      <c r="Q278" s="275"/>
      <c r="R278" s="275"/>
      <c r="S278" s="275"/>
      <c r="T278" s="275" t="str">
        <f t="shared" ref="T278:T282" si="30">IF($D278="",
       "",
       IFERROR(
           (($L$174/COUNT($D$213:$G$282))  +
           ((($AF$174/($DL278/1000))/
             COUNTIF($DL$213:$DL$282,$DL278)) * COS(ABS(ATAN($L278/$H278))+ (IF( AND($H278&gt;0,$L278&gt;0),
                                                                                                                                                    1,
                                                                                                                                                    IF( AND($H278&lt;0,$L278&gt;0),
                                                                                                                                                         2,
                                                                                                                                                         IF( AND($H278&lt;0,$L278&lt;0),
                                                                                                                                                              3,
                                                                                                                                                              IF( AND($H278&lt;0,$L278&gt;0),
                                                                                                                                                                   4,
                                                                                                                                               ))))*(PI()/2))))
           ),
      0)
  )</f>
        <v/>
      </c>
      <c r="U278" s="275"/>
      <c r="V278" s="275"/>
      <c r="W278" s="275"/>
      <c r="X278" s="275" t="str">
        <f t="shared" ref="X278:X282" si="31">IF($D278="",
       "",
       IFERROR(
           (($P$174/COUNT($D$213:$G$282))  +
           ((($AF$174/($DL278/1000))/
             COUNTIF($DL$213:$DL$282,$DL278)) * SIN(ABS(ATAN($L278/$H278))+ (IF( AND($H278&gt;0,$L278&gt;0),
                                                                                                                                                    1,
                                                                                                                                                    IF( AND($H278&lt;0,$L278&gt;0),
                                                                                                                                                         2,
                                                                                                                                                         IF( AND($H278&lt;0,$L278&lt;0),
                                                                                                                                                              3,
                                                                                                                                                              IF( AND($H278&lt;0,$L278&gt;0),
                                                                                                                                                                   4,
                                                                                                                                               ))))*(PI()/2))))),
      0)
  )</f>
        <v/>
      </c>
      <c r="Y278" s="275"/>
      <c r="Z278" s="275"/>
      <c r="AA278" s="275"/>
      <c r="AB278" s="276" t="str">
        <f t="shared" si="28"/>
        <v/>
      </c>
      <c r="AC278" s="276"/>
      <c r="AD278" s="276"/>
      <c r="AE278" s="276"/>
      <c r="AJ278" s="169"/>
      <c r="AK278" s="96"/>
      <c r="AL278" s="260"/>
      <c r="AM278" s="259"/>
      <c r="AN278" s="259"/>
      <c r="AO278" s="259"/>
      <c r="AP278" s="259"/>
      <c r="AQ278" s="259"/>
      <c r="AR278" s="259"/>
      <c r="AS278" s="259"/>
      <c r="AT278" s="261"/>
      <c r="AU278" s="261"/>
      <c r="AV278" s="261"/>
      <c r="AW278" s="261"/>
      <c r="AX278" s="261"/>
      <c r="AY278" s="261"/>
      <c r="AZ278" s="261"/>
      <c r="BA278" s="262"/>
      <c r="BB278" s="242" t="str">
        <f t="shared" ref="BB278:BB282" si="32">IF($D278="", "",
       MAX(
                   IF(AL278&lt;1.5*$Z$68,AL278,0),
                   IF(AP278&lt;1.5*$Z$68,AP278,0),
                   IF(AT278&lt;1.5*$Z$68,AT278,0),
                   IF(AX278&lt;1.5*$Z$68,AX278,0))
   )</f>
        <v/>
      </c>
      <c r="BC278" s="243"/>
      <c r="BD278" s="243"/>
      <c r="BE278" s="243"/>
      <c r="BF278" s="249" t="str">
        <f t="shared" ref="BF278:BF282" si="33">IF($D278="", "",
       COUNTIF(AL278:BA278,"&lt;"&amp;$Z$68*1.5)
   )</f>
        <v/>
      </c>
      <c r="BG278" s="249"/>
      <c r="BH278" s="249"/>
      <c r="BI278" s="250"/>
      <c r="BJ278" s="260"/>
      <c r="BK278" s="259"/>
      <c r="BL278" s="249" t="str">
        <f>IF($D278="", "",
       IFERROR(
                          ABS($H278-LOOKUP(
                                                                    BJ278,
                                                                    $D$213:$D$259,
                                                                    $H$213:$H$259)),
       "-"))</f>
        <v/>
      </c>
      <c r="BM278" s="249"/>
      <c r="BN278" s="249"/>
      <c r="BO278" s="249"/>
      <c r="BP278" s="259"/>
      <c r="BQ278" s="259"/>
      <c r="BR278" s="249" t="str">
        <f>IF($D278="", "",
       IFERROR(
                          ABS($H278-LOOKUP(
                                                                    BP278,
                                                                    $D$213:$D$259,
                                                                    $H$213:$H$259)),
       "-"))</f>
        <v/>
      </c>
      <c r="BS278" s="249"/>
      <c r="BT278" s="249"/>
      <c r="BU278" s="249"/>
      <c r="BV278" s="259"/>
      <c r="BW278" s="259"/>
      <c r="BX278" s="249" t="str">
        <f>IF($D278="", "",
       IFERROR(
                          ABS($L278-LOOKUP(
                                                                    BV278,
                                                                    $D$213:$D$259,
                                                                    $L$213:$L$259)),
       "-"))</f>
        <v/>
      </c>
      <c r="BY278" s="249"/>
      <c r="BZ278" s="249"/>
      <c r="CA278" s="249"/>
      <c r="CB278" s="259"/>
      <c r="CC278" s="259"/>
      <c r="CD278" s="249" t="str">
        <f>IF($D278="", "",
       IFERROR(
                          ABS($L278-LOOKUP(
                                                                    CB278,
                                                                    $D$213:$D$259,
                                                                    $L$213:$L$259)),
       "-"))</f>
        <v/>
      </c>
      <c r="CE278" s="249"/>
      <c r="CF278" s="249"/>
      <c r="CG278" s="250"/>
      <c r="CH278" s="271" t="str">
        <f t="shared" ref="CH278:CH282" si="34">IF($D278="", "",
       IFERROR(
                          (MIN($AL278,IFERROR($BL278/2,1.5*$AL278),1.5*$Z$68)     +     MIN($AP278,IFERROR($BR278/2,1.5*$AL278),1.5*$Z$68))*
                          (MIN($AT278,IFERROR($BX278/2,1.5*$AL278),1.5*$Z$68)     +     MIN($AX278,IFERROR($CD278/2,1.5*$AL278),1.5*$Z$68))/
                          1000000,
       "-"))</f>
        <v/>
      </c>
      <c r="CI278" s="272"/>
      <c r="CJ278" s="272"/>
      <c r="CK278" s="272"/>
      <c r="CL278" s="272"/>
      <c r="CM278" s="272" t="str">
        <f t="shared" ref="CM278:CM282" si="35">IF($D278="", "",
        IFERROR(
                          (MIN($AL278,IFERROR($BL278/2,1.5*$Z$113),$Z$113)     +     MIN($AP278,IFERROR($BR278/2,1.5*$Z$113),$Z$113))*
                          (MIN($AT278,IFERROR($BX278/2,1.5*$Z$113),$Z$113)     +     MIN($AX278,IFERROR($CD278/2,1.5*$Z$113),$Z$113))/
                          1000000,
      "-"))</f>
        <v/>
      </c>
      <c r="CN278" s="272"/>
      <c r="CO278" s="272"/>
      <c r="CP278" s="272"/>
      <c r="CQ278" s="272"/>
      <c r="CR278" s="272" t="str">
        <f t="shared" ref="CR278:CR282" si="36">IF($D278="", "",
        IFERROR((
                 IF($Q$594=2,
                      IF($AL278&gt;=MEDIAN($AL$213:$AO$282),1,0),
                      IF($AL278&lt;=MEDIAN($AL$213:$AO$282),1,0)
                 ))
                        *(MIN($AT278,  IFERROR($BX278/2,1.5*$Z$68),  1.5*IFERROR($AL278,$Z$68)  )     +
                         MIN($AX278,  IFERROR($CD278/2,1.5*$Z$68),  1.5*IFERROR($AL278,$Z$68)  ))     *
                         MIN(1.5*IFERROR($AL278,1.5*$Z$68),$Z$104)/1000000,
        "-"))</f>
        <v/>
      </c>
      <c r="CS278" s="272"/>
      <c r="CT278" s="272"/>
      <c r="CU278" s="272"/>
      <c r="CV278" s="272"/>
      <c r="CW278" s="272" t="str">
        <f t="shared" ref="CW278:CW282" si="37">IF($D278="", "",
        IFERROR((
                 IF($Q$594=2,
                      IF($AP278&gt;=MEDIAN($AP$213:$AS$282),1,0),
                      IF($AP278&lt;=MEDIAN($AP$213:$AS$282),1,0)
                 ))
                        *(MIN($AT278,  IFERROR($BX278/2,1.5*$Z$68),  1.5*IFERROR($AP278,$Z$68)  )     +
                         MIN($AX278,  IFERROR($CD278/2,1.5*$Z$68),  1.5*IFERROR($AP278,$Z$68)  ))     *
                         MIN(1.5*IFERROR($AP278,1.5*$Z$68),$Z$104)/1000000,
        "-"))</f>
        <v/>
      </c>
      <c r="CX278" s="272"/>
      <c r="CY278" s="272"/>
      <c r="CZ278" s="272"/>
      <c r="DA278" s="272"/>
      <c r="DB278" s="272" t="str">
        <f t="shared" ref="DB278:DB282" si="38">IF($D278="", "",
        IFERROR((
                 IF($Q$594=2,
                      IF($AT278&gt;=MEDIAN($AT$213:$AW$282),1,0),
                      IF($AT278&lt;=MEDIAN($AT$213:$AW$282),1,0)
                 ))
                        *(MIN($AL278,  IFERROR($BL278/2,1.5*$Z$68),  1.5*IFERROR($AT278,$Z$68)  )     +
                         MIN($AP278,  IFERROR($BR278/2,1.5*$Z$68),  1.5*IFERROR($AT278,$Z$68)  ))     *
                         MIN(1.5*IFERROR($AT278,1.5*$Z$68),$Z$104)/1000000,
        "-"))</f>
        <v/>
      </c>
      <c r="DC278" s="272"/>
      <c r="DD278" s="272"/>
      <c r="DE278" s="272"/>
      <c r="DF278" s="272"/>
      <c r="DG278" s="272" t="str">
        <f t="shared" ref="DG278:DG282" si="39">IF($D278="", "",
        IFERROR((
                 IF($Q$594=2,
                      IF($AX278&gt;=MEDIAN($AX$213:$BA$282),1,0),
                      IF($AX278&lt;=MEDIAN($AX$213:$BA$282),1,0)
                 ))
                        *(MIN($AL278,  IFERROR($BL278/2,1.5*$Z$68),  1.5*IFERROR($AX278,$Z$68)  )     +
                         MIN($AP278,  IFERROR($BR278/2,1.5*$Z$68),  1.5*IFERROR($AX278,$Z$68)  ))     *
                         MIN(1.5*IFERROR($AX278,1.5*$Z$68),$Z$104)/1000000,
        "-"))</f>
        <v/>
      </c>
      <c r="DH278" s="272"/>
      <c r="DI278" s="272"/>
      <c r="DJ278" s="272"/>
      <c r="DK278" s="273"/>
      <c r="DL278" s="267" t="str">
        <f t="shared" ref="DL278:DL282" si="40">IF($D278="", "", IFERROR( (($H278^2)+($L278^2))^0.5,""))</f>
        <v/>
      </c>
      <c r="DM278" s="268"/>
      <c r="DN278" s="268"/>
      <c r="DO278" s="263" t="str">
        <f t="shared" si="29"/>
        <v/>
      </c>
      <c r="DP278" s="263" t="str">
        <f t="shared" si="25"/>
        <v/>
      </c>
      <c r="DQ278" s="263"/>
      <c r="DR278" s="263" t="str">
        <f t="shared" si="26"/>
        <v/>
      </c>
      <c r="DS278" s="263"/>
      <c r="DT278" s="263" t="str">
        <f t="shared" si="27"/>
        <v/>
      </c>
      <c r="DU278" s="198"/>
      <c r="DV278" s="198"/>
      <c r="DW278" s="198"/>
      <c r="DX278" s="198"/>
      <c r="DY278" s="198"/>
      <c r="DZ278" s="263" t="str">
        <f t="shared" ref="DZ278:DZ282" si="41">IFERROR(L278*T278,"")</f>
        <v/>
      </c>
      <c r="EA278" s="263"/>
      <c r="EB278" s="263"/>
      <c r="EC278" s="263" t="str">
        <f t="shared" ref="EC278:EC282" si="42">IFERROR(H278*X278,"")</f>
        <v/>
      </c>
      <c r="ED278" s="263"/>
      <c r="EE278" s="265"/>
    </row>
    <row r="279" spans="1:135" ht="12.75" customHeight="1" x14ac:dyDescent="0.2">
      <c r="A279" s="54"/>
      <c r="B279" s="54"/>
      <c r="C279" s="54"/>
      <c r="D279" s="274"/>
      <c r="E279" s="274"/>
      <c r="F279" s="274"/>
      <c r="G279" s="274"/>
      <c r="H279" s="274"/>
      <c r="I279" s="274"/>
      <c r="J279" s="274"/>
      <c r="K279" s="274"/>
      <c r="L279" s="274"/>
      <c r="M279" s="274"/>
      <c r="N279" s="274"/>
      <c r="O279" s="274"/>
      <c r="P279" s="275" t="str">
        <f>IF($D279="",
       "",
       IFERROR(
           ($T$174/COUNT($D$213:$G$282))  +
           IFERROR($X$174/((COUNTIF($L$213:$L$282,$L279)*($L279/1000))),0)  +
           IFERROR($AB$174/((COUNTIF($H$213:$H$282,$H279)*($H279/1000))),0),
       "")
)</f>
        <v/>
      </c>
      <c r="Q279" s="275"/>
      <c r="R279" s="275"/>
      <c r="S279" s="275"/>
      <c r="T279" s="275" t="str">
        <f t="shared" si="30"/>
        <v/>
      </c>
      <c r="U279" s="275"/>
      <c r="V279" s="275"/>
      <c r="W279" s="275"/>
      <c r="X279" s="275" t="str">
        <f t="shared" si="31"/>
        <v/>
      </c>
      <c r="Y279" s="275"/>
      <c r="Z279" s="275"/>
      <c r="AA279" s="275"/>
      <c r="AB279" s="276" t="str">
        <f t="shared" si="28"/>
        <v/>
      </c>
      <c r="AC279" s="276"/>
      <c r="AD279" s="276"/>
      <c r="AE279" s="276"/>
      <c r="AJ279" s="169"/>
      <c r="AK279" s="96"/>
      <c r="AL279" s="260"/>
      <c r="AM279" s="259"/>
      <c r="AN279" s="259"/>
      <c r="AO279" s="259"/>
      <c r="AP279" s="259"/>
      <c r="AQ279" s="259"/>
      <c r="AR279" s="259"/>
      <c r="AS279" s="259"/>
      <c r="AT279" s="261"/>
      <c r="AU279" s="261"/>
      <c r="AV279" s="261"/>
      <c r="AW279" s="261"/>
      <c r="AX279" s="261"/>
      <c r="AY279" s="261"/>
      <c r="AZ279" s="261"/>
      <c r="BA279" s="262"/>
      <c r="BB279" s="242" t="str">
        <f t="shared" si="32"/>
        <v/>
      </c>
      <c r="BC279" s="243"/>
      <c r="BD279" s="243"/>
      <c r="BE279" s="243"/>
      <c r="BF279" s="249" t="str">
        <f t="shared" si="33"/>
        <v/>
      </c>
      <c r="BG279" s="249"/>
      <c r="BH279" s="249"/>
      <c r="BI279" s="250"/>
      <c r="BJ279" s="260"/>
      <c r="BK279" s="259"/>
      <c r="BL279" s="249" t="str">
        <f>IF($D279="", "",
       IFERROR(
                          ABS($H279-LOOKUP(
                                                                    BJ279,
                                                                    $D$213:$D$259,
                                                                    $H$213:$H$259)),
       "-"))</f>
        <v/>
      </c>
      <c r="BM279" s="249"/>
      <c r="BN279" s="249"/>
      <c r="BO279" s="249"/>
      <c r="BP279" s="259"/>
      <c r="BQ279" s="259"/>
      <c r="BR279" s="249" t="str">
        <f>IF($D279="", "",
       IFERROR(
                          ABS($H279-LOOKUP(
                                                                    BP279,
                                                                    $D$213:$D$259,
                                                                    $H$213:$H$259)),
       "-"))</f>
        <v/>
      </c>
      <c r="BS279" s="249"/>
      <c r="BT279" s="249"/>
      <c r="BU279" s="249"/>
      <c r="BV279" s="259"/>
      <c r="BW279" s="259"/>
      <c r="BX279" s="249" t="str">
        <f>IF($D279="", "",
       IFERROR(
                          ABS($L279-LOOKUP(
                                                                    BV279,
                                                                    $D$213:$D$259,
                                                                    $L$213:$L$259)),
       "-"))</f>
        <v/>
      </c>
      <c r="BY279" s="249"/>
      <c r="BZ279" s="249"/>
      <c r="CA279" s="249"/>
      <c r="CB279" s="259"/>
      <c r="CC279" s="259"/>
      <c r="CD279" s="249" t="str">
        <f>IF($D279="", "",
       IFERROR(
                          ABS($L279-LOOKUP(
                                                                    CB279,
                                                                    $D$213:$D$259,
                                                                    $L$213:$L$259)),
       "-"))</f>
        <v/>
      </c>
      <c r="CE279" s="249"/>
      <c r="CF279" s="249"/>
      <c r="CG279" s="250"/>
      <c r="CH279" s="271" t="str">
        <f t="shared" si="34"/>
        <v/>
      </c>
      <c r="CI279" s="272"/>
      <c r="CJ279" s="272"/>
      <c r="CK279" s="272"/>
      <c r="CL279" s="272"/>
      <c r="CM279" s="272" t="str">
        <f t="shared" si="35"/>
        <v/>
      </c>
      <c r="CN279" s="272"/>
      <c r="CO279" s="272"/>
      <c r="CP279" s="272"/>
      <c r="CQ279" s="272"/>
      <c r="CR279" s="272" t="str">
        <f t="shared" si="36"/>
        <v/>
      </c>
      <c r="CS279" s="272"/>
      <c r="CT279" s="272"/>
      <c r="CU279" s="272"/>
      <c r="CV279" s="272"/>
      <c r="CW279" s="272" t="str">
        <f t="shared" si="37"/>
        <v/>
      </c>
      <c r="CX279" s="272"/>
      <c r="CY279" s="272"/>
      <c r="CZ279" s="272"/>
      <c r="DA279" s="272"/>
      <c r="DB279" s="272" t="str">
        <f t="shared" si="38"/>
        <v/>
      </c>
      <c r="DC279" s="272"/>
      <c r="DD279" s="272"/>
      <c r="DE279" s="272"/>
      <c r="DF279" s="272"/>
      <c r="DG279" s="272" t="str">
        <f t="shared" si="39"/>
        <v/>
      </c>
      <c r="DH279" s="272"/>
      <c r="DI279" s="272"/>
      <c r="DJ279" s="272"/>
      <c r="DK279" s="273"/>
      <c r="DL279" s="267" t="str">
        <f t="shared" si="40"/>
        <v/>
      </c>
      <c r="DM279" s="268"/>
      <c r="DN279" s="268"/>
      <c r="DO279" s="263" t="str">
        <f t="shared" si="29"/>
        <v/>
      </c>
      <c r="DP279" s="263" t="str">
        <f t="shared" si="25"/>
        <v/>
      </c>
      <c r="DQ279" s="263"/>
      <c r="DR279" s="263" t="str">
        <f t="shared" si="26"/>
        <v/>
      </c>
      <c r="DS279" s="263"/>
      <c r="DT279" s="263" t="str">
        <f t="shared" si="27"/>
        <v/>
      </c>
      <c r="DU279" s="198"/>
      <c r="DV279" s="198"/>
      <c r="DW279" s="198"/>
      <c r="DX279" s="198"/>
      <c r="DY279" s="198"/>
      <c r="DZ279" s="263" t="str">
        <f t="shared" si="41"/>
        <v/>
      </c>
      <c r="EA279" s="263"/>
      <c r="EB279" s="263"/>
      <c r="EC279" s="263" t="str">
        <f t="shared" si="42"/>
        <v/>
      </c>
      <c r="ED279" s="263"/>
      <c r="EE279" s="265"/>
    </row>
    <row r="280" spans="1:135" ht="12.75" customHeight="1" x14ac:dyDescent="0.2">
      <c r="A280" s="54"/>
      <c r="B280" s="54"/>
      <c r="C280" s="54"/>
      <c r="D280" s="274"/>
      <c r="E280" s="274"/>
      <c r="F280" s="274"/>
      <c r="G280" s="274"/>
      <c r="H280" s="274"/>
      <c r="I280" s="274"/>
      <c r="J280" s="274"/>
      <c r="K280" s="274"/>
      <c r="L280" s="274"/>
      <c r="M280" s="274"/>
      <c r="N280" s="274"/>
      <c r="O280" s="274"/>
      <c r="P280" s="275" t="str">
        <f>IF($D280="",
       "",
       IFERROR(
           ($T$174/COUNT($D$213:$G$282))  +
           IFERROR($X$174/((COUNTIF($L$213:$L$282,$L280)*($L280/1000))),0)  +
           IFERROR($AB$174/((COUNTIF($H$213:$H$282,$H280)*($H280/1000))),0),
       "")
)</f>
        <v/>
      </c>
      <c r="Q280" s="275"/>
      <c r="R280" s="275"/>
      <c r="S280" s="275"/>
      <c r="T280" s="275" t="str">
        <f t="shared" si="30"/>
        <v/>
      </c>
      <c r="U280" s="275"/>
      <c r="V280" s="275"/>
      <c r="W280" s="275"/>
      <c r="X280" s="275" t="str">
        <f t="shared" si="31"/>
        <v/>
      </c>
      <c r="Y280" s="275"/>
      <c r="Z280" s="275"/>
      <c r="AA280" s="275"/>
      <c r="AB280" s="276" t="str">
        <f t="shared" si="28"/>
        <v/>
      </c>
      <c r="AC280" s="276"/>
      <c r="AD280" s="276"/>
      <c r="AE280" s="276"/>
      <c r="AJ280" s="169"/>
      <c r="AK280" s="96"/>
      <c r="AL280" s="260"/>
      <c r="AM280" s="259"/>
      <c r="AN280" s="259"/>
      <c r="AO280" s="259"/>
      <c r="AP280" s="259"/>
      <c r="AQ280" s="259"/>
      <c r="AR280" s="259"/>
      <c r="AS280" s="259"/>
      <c r="AT280" s="261"/>
      <c r="AU280" s="261"/>
      <c r="AV280" s="261"/>
      <c r="AW280" s="261"/>
      <c r="AX280" s="261"/>
      <c r="AY280" s="261"/>
      <c r="AZ280" s="261"/>
      <c r="BA280" s="262"/>
      <c r="BB280" s="242" t="str">
        <f t="shared" si="32"/>
        <v/>
      </c>
      <c r="BC280" s="243"/>
      <c r="BD280" s="243"/>
      <c r="BE280" s="243"/>
      <c r="BF280" s="249" t="str">
        <f t="shared" si="33"/>
        <v/>
      </c>
      <c r="BG280" s="249"/>
      <c r="BH280" s="249"/>
      <c r="BI280" s="250"/>
      <c r="BJ280" s="260"/>
      <c r="BK280" s="259"/>
      <c r="BL280" s="249" t="str">
        <f>IF($D280="", "",
       IFERROR(
                          ABS($H280-LOOKUP(
                                                                    BJ280,
                                                                    $D$213:$D$259,
                                                                    $H$213:$H$259)),
       "-"))</f>
        <v/>
      </c>
      <c r="BM280" s="249"/>
      <c r="BN280" s="249"/>
      <c r="BO280" s="249"/>
      <c r="BP280" s="259"/>
      <c r="BQ280" s="259"/>
      <c r="BR280" s="249" t="str">
        <f>IF($D280="", "",
       IFERROR(
                          ABS($H280-LOOKUP(
                                                                    BP280,
                                                                    $D$213:$D$259,
                                                                    $H$213:$H$259)),
       "-"))</f>
        <v/>
      </c>
      <c r="BS280" s="249"/>
      <c r="BT280" s="249"/>
      <c r="BU280" s="249"/>
      <c r="BV280" s="259"/>
      <c r="BW280" s="259"/>
      <c r="BX280" s="249" t="str">
        <f>IF($D280="", "",
       IFERROR(
                          ABS($L280-LOOKUP(
                                                                    BV280,
                                                                    $D$213:$D$259,
                                                                    $L$213:$L$259)),
       "-"))</f>
        <v/>
      </c>
      <c r="BY280" s="249"/>
      <c r="BZ280" s="249"/>
      <c r="CA280" s="249"/>
      <c r="CB280" s="259"/>
      <c r="CC280" s="259"/>
      <c r="CD280" s="249" t="str">
        <f>IF($D280="", "",
       IFERROR(
                          ABS($L280-LOOKUP(
                                                                    CB280,
                                                                    $D$213:$D$259,
                                                                    $L$213:$L$259)),
       "-"))</f>
        <v/>
      </c>
      <c r="CE280" s="249"/>
      <c r="CF280" s="249"/>
      <c r="CG280" s="250"/>
      <c r="CH280" s="271" t="str">
        <f t="shared" si="34"/>
        <v/>
      </c>
      <c r="CI280" s="272"/>
      <c r="CJ280" s="272"/>
      <c r="CK280" s="272"/>
      <c r="CL280" s="272"/>
      <c r="CM280" s="272" t="str">
        <f t="shared" si="35"/>
        <v/>
      </c>
      <c r="CN280" s="272"/>
      <c r="CO280" s="272"/>
      <c r="CP280" s="272"/>
      <c r="CQ280" s="272"/>
      <c r="CR280" s="272" t="str">
        <f t="shared" si="36"/>
        <v/>
      </c>
      <c r="CS280" s="272"/>
      <c r="CT280" s="272"/>
      <c r="CU280" s="272"/>
      <c r="CV280" s="272"/>
      <c r="CW280" s="272" t="str">
        <f t="shared" si="37"/>
        <v/>
      </c>
      <c r="CX280" s="272"/>
      <c r="CY280" s="272"/>
      <c r="CZ280" s="272"/>
      <c r="DA280" s="272"/>
      <c r="DB280" s="272" t="str">
        <f t="shared" si="38"/>
        <v/>
      </c>
      <c r="DC280" s="272"/>
      <c r="DD280" s="272"/>
      <c r="DE280" s="272"/>
      <c r="DF280" s="272"/>
      <c r="DG280" s="272" t="str">
        <f t="shared" si="39"/>
        <v/>
      </c>
      <c r="DH280" s="272"/>
      <c r="DI280" s="272"/>
      <c r="DJ280" s="272"/>
      <c r="DK280" s="273"/>
      <c r="DL280" s="267" t="str">
        <f t="shared" si="40"/>
        <v/>
      </c>
      <c r="DM280" s="268"/>
      <c r="DN280" s="268"/>
      <c r="DO280" s="263" t="str">
        <f t="shared" si="29"/>
        <v/>
      </c>
      <c r="DP280" s="263" t="str">
        <f t="shared" si="25"/>
        <v/>
      </c>
      <c r="DQ280" s="263"/>
      <c r="DR280" s="263" t="str">
        <f t="shared" si="26"/>
        <v/>
      </c>
      <c r="DS280" s="263"/>
      <c r="DT280" s="263" t="str">
        <f t="shared" si="27"/>
        <v/>
      </c>
      <c r="DU280" s="198"/>
      <c r="DV280" s="198"/>
      <c r="DW280" s="198"/>
      <c r="DX280" s="198"/>
      <c r="DY280" s="198"/>
      <c r="DZ280" s="263" t="str">
        <f t="shared" si="41"/>
        <v/>
      </c>
      <c r="EA280" s="263"/>
      <c r="EB280" s="263"/>
      <c r="EC280" s="263" t="str">
        <f t="shared" si="42"/>
        <v/>
      </c>
      <c r="ED280" s="263"/>
      <c r="EE280" s="265"/>
    </row>
    <row r="281" spans="1:135" ht="12.75" customHeight="1" x14ac:dyDescent="0.2">
      <c r="A281" s="54"/>
      <c r="B281" s="54"/>
      <c r="C281" s="54"/>
      <c r="D281" s="274"/>
      <c r="E281" s="274"/>
      <c r="F281" s="274"/>
      <c r="G281" s="274"/>
      <c r="H281" s="274"/>
      <c r="I281" s="274"/>
      <c r="J281" s="274"/>
      <c r="K281" s="274"/>
      <c r="L281" s="274"/>
      <c r="M281" s="274"/>
      <c r="N281" s="274"/>
      <c r="O281" s="274"/>
      <c r="P281" s="275" t="str">
        <f>IF($D281="",
       "",
       IFERROR(
           ($T$174/COUNT($D$213:$G$282))  +
           IFERROR($X$174/((COUNTIF($L$213:$L$282,$L281)*($L281/1000))),0)  +
           IFERROR($AB$174/((COUNTIF($H$213:$H$282,$H281)*($H281/1000))),0),
       "")
)</f>
        <v/>
      </c>
      <c r="Q281" s="275"/>
      <c r="R281" s="275"/>
      <c r="S281" s="275"/>
      <c r="T281" s="275" t="str">
        <f t="shared" si="30"/>
        <v/>
      </c>
      <c r="U281" s="275"/>
      <c r="V281" s="275"/>
      <c r="W281" s="275"/>
      <c r="X281" s="275" t="str">
        <f t="shared" si="31"/>
        <v/>
      </c>
      <c r="Y281" s="275"/>
      <c r="Z281" s="275"/>
      <c r="AA281" s="275"/>
      <c r="AB281" s="276" t="str">
        <f t="shared" si="28"/>
        <v/>
      </c>
      <c r="AC281" s="276"/>
      <c r="AD281" s="276"/>
      <c r="AE281" s="276"/>
      <c r="AJ281" s="169"/>
      <c r="AK281" s="96"/>
      <c r="AL281" s="260"/>
      <c r="AM281" s="259"/>
      <c r="AN281" s="259"/>
      <c r="AO281" s="259"/>
      <c r="AP281" s="259"/>
      <c r="AQ281" s="259"/>
      <c r="AR281" s="259"/>
      <c r="AS281" s="259"/>
      <c r="AT281" s="261"/>
      <c r="AU281" s="261"/>
      <c r="AV281" s="261"/>
      <c r="AW281" s="261"/>
      <c r="AX281" s="261"/>
      <c r="AY281" s="261"/>
      <c r="AZ281" s="261"/>
      <c r="BA281" s="262"/>
      <c r="BB281" s="242" t="str">
        <f t="shared" si="32"/>
        <v/>
      </c>
      <c r="BC281" s="243"/>
      <c r="BD281" s="243"/>
      <c r="BE281" s="243"/>
      <c r="BF281" s="249" t="str">
        <f t="shared" si="33"/>
        <v/>
      </c>
      <c r="BG281" s="249"/>
      <c r="BH281" s="249"/>
      <c r="BI281" s="250"/>
      <c r="BJ281" s="260"/>
      <c r="BK281" s="259"/>
      <c r="BL281" s="249" t="str">
        <f>IF($D281="", "",
       IFERROR(
                          ABS($H281-LOOKUP(
                                                                    BJ281,
                                                                    $D$213:$D$259,
                                                                    $H$213:$H$259)),
       "-"))</f>
        <v/>
      </c>
      <c r="BM281" s="249"/>
      <c r="BN281" s="249"/>
      <c r="BO281" s="249"/>
      <c r="BP281" s="259"/>
      <c r="BQ281" s="259"/>
      <c r="BR281" s="249" t="str">
        <f>IF($D281="", "",
       IFERROR(
                          ABS($H281-LOOKUP(
                                                                    BP281,
                                                                    $D$213:$D$259,
                                                                    $H$213:$H$259)),
       "-"))</f>
        <v/>
      </c>
      <c r="BS281" s="249"/>
      <c r="BT281" s="249"/>
      <c r="BU281" s="249"/>
      <c r="BV281" s="259"/>
      <c r="BW281" s="259"/>
      <c r="BX281" s="249" t="str">
        <f>IF($D281="", "",
       IFERROR(
                          ABS($L281-LOOKUP(
                                                                    BV281,
                                                                    $D$213:$D$259,
                                                                    $L$213:$L$259)),
       "-"))</f>
        <v/>
      </c>
      <c r="BY281" s="249"/>
      <c r="BZ281" s="249"/>
      <c r="CA281" s="249"/>
      <c r="CB281" s="259"/>
      <c r="CC281" s="259"/>
      <c r="CD281" s="249" t="str">
        <f>IF($D281="", "",
       IFERROR(
                          ABS($L281-LOOKUP(
                                                                    CB281,
                                                                    $D$213:$D$259,
                                                                    $L$213:$L$259)),
       "-"))</f>
        <v/>
      </c>
      <c r="CE281" s="249"/>
      <c r="CF281" s="249"/>
      <c r="CG281" s="250"/>
      <c r="CH281" s="271" t="str">
        <f t="shared" si="34"/>
        <v/>
      </c>
      <c r="CI281" s="272"/>
      <c r="CJ281" s="272"/>
      <c r="CK281" s="272"/>
      <c r="CL281" s="272"/>
      <c r="CM281" s="272" t="str">
        <f t="shared" si="35"/>
        <v/>
      </c>
      <c r="CN281" s="272"/>
      <c r="CO281" s="272"/>
      <c r="CP281" s="272"/>
      <c r="CQ281" s="272"/>
      <c r="CR281" s="272" t="str">
        <f t="shared" si="36"/>
        <v/>
      </c>
      <c r="CS281" s="272"/>
      <c r="CT281" s="272"/>
      <c r="CU281" s="272"/>
      <c r="CV281" s="272"/>
      <c r="CW281" s="272" t="str">
        <f t="shared" si="37"/>
        <v/>
      </c>
      <c r="CX281" s="272"/>
      <c r="CY281" s="272"/>
      <c r="CZ281" s="272"/>
      <c r="DA281" s="272"/>
      <c r="DB281" s="272" t="str">
        <f t="shared" si="38"/>
        <v/>
      </c>
      <c r="DC281" s="272"/>
      <c r="DD281" s="272"/>
      <c r="DE281" s="272"/>
      <c r="DF281" s="272"/>
      <c r="DG281" s="272" t="str">
        <f t="shared" si="39"/>
        <v/>
      </c>
      <c r="DH281" s="272"/>
      <c r="DI281" s="272"/>
      <c r="DJ281" s="272"/>
      <c r="DK281" s="273"/>
      <c r="DL281" s="267" t="str">
        <f t="shared" si="40"/>
        <v/>
      </c>
      <c r="DM281" s="268"/>
      <c r="DN281" s="268"/>
      <c r="DO281" s="263" t="str">
        <f t="shared" si="29"/>
        <v/>
      </c>
      <c r="DP281" s="263" t="str">
        <f t="shared" si="25"/>
        <v/>
      </c>
      <c r="DQ281" s="263"/>
      <c r="DR281" s="263" t="str">
        <f t="shared" si="26"/>
        <v/>
      </c>
      <c r="DS281" s="263"/>
      <c r="DT281" s="263" t="str">
        <f t="shared" si="27"/>
        <v/>
      </c>
      <c r="DU281" s="198"/>
      <c r="DV281" s="198"/>
      <c r="DW281" s="198"/>
      <c r="DX281" s="198"/>
      <c r="DY281" s="198"/>
      <c r="DZ281" s="263" t="str">
        <f t="shared" si="41"/>
        <v/>
      </c>
      <c r="EA281" s="263"/>
      <c r="EB281" s="263"/>
      <c r="EC281" s="263" t="str">
        <f t="shared" si="42"/>
        <v/>
      </c>
      <c r="ED281" s="263"/>
      <c r="EE281" s="265"/>
    </row>
    <row r="282" spans="1:135" ht="12.75" customHeight="1" x14ac:dyDescent="0.2">
      <c r="A282" s="54"/>
      <c r="B282" s="54"/>
      <c r="C282" s="54"/>
      <c r="D282" s="522"/>
      <c r="E282" s="522"/>
      <c r="F282" s="522"/>
      <c r="G282" s="522"/>
      <c r="H282" s="522"/>
      <c r="I282" s="522"/>
      <c r="J282" s="522"/>
      <c r="K282" s="522"/>
      <c r="L282" s="522"/>
      <c r="M282" s="522"/>
      <c r="N282" s="522"/>
      <c r="O282" s="522"/>
      <c r="P282" s="523" t="str">
        <f>IF($D282="",
       "",
       IFERROR(
           ($T$174/COUNT($D$213:$G$282))  +
           IFERROR($X$174/((COUNTIF($L$213:$L$282,$L282)*($L282/1000))),0)  +
           IFERROR($AB$174/((COUNTIF($H$213:$H$282,$H282)*($H282/1000))),0),
       "")
)</f>
        <v/>
      </c>
      <c r="Q282" s="523"/>
      <c r="R282" s="523"/>
      <c r="S282" s="523"/>
      <c r="T282" s="523" t="str">
        <f t="shared" si="30"/>
        <v/>
      </c>
      <c r="U282" s="523"/>
      <c r="V282" s="523"/>
      <c r="W282" s="523"/>
      <c r="X282" s="523" t="str">
        <f t="shared" si="31"/>
        <v/>
      </c>
      <c r="Y282" s="523"/>
      <c r="Z282" s="523"/>
      <c r="AA282" s="523"/>
      <c r="AB282" s="524" t="str">
        <f t="shared" si="28"/>
        <v/>
      </c>
      <c r="AC282" s="524"/>
      <c r="AD282" s="524"/>
      <c r="AE282" s="524"/>
      <c r="AJ282" s="169"/>
      <c r="AK282" s="96"/>
      <c r="AL282" s="525"/>
      <c r="AM282" s="526"/>
      <c r="AN282" s="526"/>
      <c r="AO282" s="526"/>
      <c r="AP282" s="526"/>
      <c r="AQ282" s="526"/>
      <c r="AR282" s="526"/>
      <c r="AS282" s="526"/>
      <c r="AT282" s="527"/>
      <c r="AU282" s="527"/>
      <c r="AV282" s="527"/>
      <c r="AW282" s="527"/>
      <c r="AX282" s="527"/>
      <c r="AY282" s="527"/>
      <c r="AZ282" s="527"/>
      <c r="BA282" s="528"/>
      <c r="BB282" s="244" t="str">
        <f t="shared" si="32"/>
        <v/>
      </c>
      <c r="BC282" s="245"/>
      <c r="BD282" s="245"/>
      <c r="BE282" s="245"/>
      <c r="BF282" s="251" t="str">
        <f t="shared" si="33"/>
        <v/>
      </c>
      <c r="BG282" s="251"/>
      <c r="BH282" s="251"/>
      <c r="BI282" s="252"/>
      <c r="BJ282" s="525"/>
      <c r="BK282" s="526"/>
      <c r="BL282" s="251" t="str">
        <f>IF($D282="", "",
       IFERROR(
                          ABS($H282-LOOKUP(
                                                                    BJ282,
                                                                    $D$213:$D$259,
                                                                    $H$213:$H$259)),
       "-"))</f>
        <v/>
      </c>
      <c r="BM282" s="251"/>
      <c r="BN282" s="251"/>
      <c r="BO282" s="251"/>
      <c r="BP282" s="526"/>
      <c r="BQ282" s="526"/>
      <c r="BR282" s="251" t="str">
        <f>IF($D282="", "",
       IFERROR(
                          ABS($H282-LOOKUP(
                                                                    BP282,
                                                                    $D$213:$D$259,
                                                                    $H$213:$H$259)),
       "-"))</f>
        <v/>
      </c>
      <c r="BS282" s="251"/>
      <c r="BT282" s="251"/>
      <c r="BU282" s="251"/>
      <c r="BV282" s="526"/>
      <c r="BW282" s="526"/>
      <c r="BX282" s="251" t="str">
        <f>IF($D282="", "",
       IFERROR(
                          ABS($L282-LOOKUP(
                                                                    BV282,
                                                                    $D$213:$D$259,
                                                                    $L$213:$L$259)),
       "-"))</f>
        <v/>
      </c>
      <c r="BY282" s="251"/>
      <c r="BZ282" s="251"/>
      <c r="CA282" s="251"/>
      <c r="CB282" s="526"/>
      <c r="CC282" s="526"/>
      <c r="CD282" s="251" t="str">
        <f>IF($D282="", "",
       IFERROR(
                          ABS($L282-LOOKUP(
                                                                    CB282,
                                                                    $D$213:$D$259,
                                                                    $L$213:$L$259)),
       "-"))</f>
        <v/>
      </c>
      <c r="CE282" s="251"/>
      <c r="CF282" s="251"/>
      <c r="CG282" s="252"/>
      <c r="CH282" s="529" t="str">
        <f t="shared" si="34"/>
        <v/>
      </c>
      <c r="CI282" s="520"/>
      <c r="CJ282" s="520"/>
      <c r="CK282" s="520"/>
      <c r="CL282" s="520"/>
      <c r="CM282" s="520" t="str">
        <f t="shared" si="35"/>
        <v/>
      </c>
      <c r="CN282" s="520"/>
      <c r="CO282" s="520"/>
      <c r="CP282" s="520"/>
      <c r="CQ282" s="520"/>
      <c r="CR282" s="520" t="str">
        <f t="shared" si="36"/>
        <v/>
      </c>
      <c r="CS282" s="520"/>
      <c r="CT282" s="520"/>
      <c r="CU282" s="520"/>
      <c r="CV282" s="520"/>
      <c r="CW282" s="520" t="str">
        <f t="shared" si="37"/>
        <v/>
      </c>
      <c r="CX282" s="520"/>
      <c r="CY282" s="520"/>
      <c r="CZ282" s="520"/>
      <c r="DA282" s="520"/>
      <c r="DB282" s="520" t="str">
        <f t="shared" si="38"/>
        <v/>
      </c>
      <c r="DC282" s="520"/>
      <c r="DD282" s="520"/>
      <c r="DE282" s="520"/>
      <c r="DF282" s="520"/>
      <c r="DG282" s="520" t="str">
        <f t="shared" si="39"/>
        <v/>
      </c>
      <c r="DH282" s="520"/>
      <c r="DI282" s="520"/>
      <c r="DJ282" s="520"/>
      <c r="DK282" s="521"/>
      <c r="DL282" s="269" t="str">
        <f t="shared" si="40"/>
        <v/>
      </c>
      <c r="DM282" s="270"/>
      <c r="DN282" s="270"/>
      <c r="DO282" s="264" t="str">
        <f t="shared" si="29"/>
        <v/>
      </c>
      <c r="DP282" s="264" t="str">
        <f t="shared" si="25"/>
        <v/>
      </c>
      <c r="DQ282" s="264"/>
      <c r="DR282" s="264" t="str">
        <f t="shared" si="26"/>
        <v/>
      </c>
      <c r="DS282" s="264"/>
      <c r="DT282" s="264" t="str">
        <f t="shared" si="27"/>
        <v/>
      </c>
      <c r="DU282" s="197"/>
      <c r="DV282" s="197"/>
      <c r="DW282" s="197"/>
      <c r="DX282" s="197"/>
      <c r="DY282" s="197"/>
      <c r="DZ282" s="264" t="str">
        <f t="shared" si="41"/>
        <v/>
      </c>
      <c r="EA282" s="264"/>
      <c r="EB282" s="264"/>
      <c r="EC282" s="264" t="str">
        <f t="shared" si="42"/>
        <v/>
      </c>
      <c r="ED282" s="264"/>
      <c r="EE282" s="266"/>
    </row>
    <row r="283" spans="1:135" x14ac:dyDescent="0.2">
      <c r="A283" s="54"/>
      <c r="B283" s="54"/>
      <c r="C283" s="54"/>
      <c r="D283" s="54"/>
      <c r="E283" s="54"/>
      <c r="F283" s="54"/>
      <c r="G283" s="54"/>
      <c r="H283" s="54"/>
      <c r="I283" s="54"/>
      <c r="J283" s="54"/>
      <c r="K283" s="54"/>
      <c r="L283" s="54"/>
      <c r="M283" s="54"/>
      <c r="N283" s="54"/>
      <c r="O283" s="54"/>
      <c r="P283" s="54"/>
      <c r="Q283" s="54"/>
      <c r="R283" s="54"/>
      <c r="S283" s="54"/>
      <c r="T283" s="54"/>
      <c r="U283" s="54"/>
      <c r="V283" s="54"/>
      <c r="W283" s="54"/>
      <c r="X283" s="54"/>
      <c r="Y283" s="54"/>
      <c r="Z283" s="54"/>
      <c r="AK283" s="55"/>
      <c r="AY283" s="55"/>
      <c r="AZ283" s="55"/>
      <c r="BA283" s="55"/>
      <c r="BB283" s="55"/>
      <c r="BC283" s="55"/>
      <c r="BD283" s="55"/>
      <c r="BE283" s="55"/>
      <c r="BF283" s="55"/>
      <c r="BG283" s="55"/>
      <c r="BH283" s="55"/>
      <c r="BI283" s="55"/>
      <c r="BJ283" s="55"/>
      <c r="BK283" s="55"/>
      <c r="BL283" s="55"/>
      <c r="BM283" s="55"/>
      <c r="BN283" s="55"/>
      <c r="BO283" s="55"/>
      <c r="BP283" s="55"/>
      <c r="BQ283" s="55"/>
      <c r="BR283" s="55"/>
      <c r="BS283" s="55"/>
      <c r="BT283" s="55"/>
      <c r="BU283" s="55"/>
      <c r="BV283" s="55"/>
      <c r="BW283" s="55"/>
      <c r="BY283" s="55"/>
      <c r="BZ283" s="55"/>
      <c r="CI283" s="62"/>
      <c r="CJ283" s="62"/>
      <c r="CK283" s="62"/>
      <c r="CL283" s="62"/>
      <c r="CM283" s="62"/>
      <c r="CN283" s="62"/>
      <c r="CO283" s="62"/>
      <c r="CP283" s="62"/>
      <c r="CQ283" s="62"/>
      <c r="CR283" s="62"/>
      <c r="CS283" s="62"/>
      <c r="CT283" s="62"/>
      <c r="CU283" s="62"/>
      <c r="CV283" s="62"/>
      <c r="CW283" s="62"/>
      <c r="CX283" s="62"/>
      <c r="CY283" s="62"/>
      <c r="CZ283" s="62"/>
      <c r="DA283" s="62"/>
      <c r="DB283" s="62"/>
      <c r="DC283" s="62"/>
      <c r="DD283" s="62"/>
      <c r="DE283" s="62"/>
      <c r="DF283" s="62"/>
      <c r="DG283" s="62"/>
      <c r="DJ283" s="55"/>
      <c r="DK283" s="55"/>
      <c r="DL283" s="55"/>
      <c r="DM283" s="55"/>
      <c r="DN283" s="55"/>
      <c r="DO283" s="55"/>
      <c r="DP283" s="55"/>
      <c r="DQ283" s="55"/>
      <c r="DR283" s="55"/>
      <c r="DS283" s="55"/>
      <c r="DT283" s="55"/>
      <c r="DU283" s="55"/>
      <c r="DV283" s="55"/>
    </row>
    <row r="284" spans="1:135" x14ac:dyDescent="0.2">
      <c r="A284" s="54"/>
      <c r="B284" s="54"/>
      <c r="C284" s="287" t="s">
        <v>966</v>
      </c>
      <c r="D284" s="288"/>
      <c r="E284" s="288"/>
      <c r="F284" s="288"/>
      <c r="G284" s="288"/>
      <c r="H284" s="288"/>
      <c r="I284" s="288"/>
      <c r="J284" s="288"/>
      <c r="K284" s="288"/>
      <c r="L284" s="288"/>
      <c r="M284" s="288"/>
      <c r="N284" s="288"/>
      <c r="O284" s="288"/>
      <c r="P284" s="288"/>
      <c r="Q284" s="288"/>
      <c r="R284" s="288"/>
      <c r="S284" s="288"/>
      <c r="T284" s="288"/>
      <c r="U284" s="288"/>
      <c r="V284" s="288"/>
      <c r="W284" s="288"/>
      <c r="X284" s="288"/>
      <c r="Y284" s="288"/>
      <c r="Z284" s="288"/>
      <c r="AA284" s="288"/>
      <c r="AB284" s="288"/>
      <c r="AC284" s="288"/>
      <c r="AD284" s="288"/>
      <c r="AE284" s="288"/>
      <c r="AF284" s="288"/>
      <c r="AG284" s="288"/>
      <c r="AH284" s="288"/>
      <c r="AI284" s="288"/>
      <c r="AJ284" s="288"/>
      <c r="AK284" s="55"/>
      <c r="AY284" s="55"/>
      <c r="AZ284" s="55"/>
      <c r="BA284" s="55"/>
      <c r="BB284" s="55"/>
      <c r="BC284" s="55"/>
      <c r="BD284" s="55"/>
      <c r="BE284" s="55"/>
      <c r="BF284" s="62"/>
      <c r="BG284" s="62"/>
      <c r="BH284" s="62"/>
      <c r="BI284" s="62"/>
      <c r="BJ284" s="62"/>
      <c r="BK284" s="62"/>
      <c r="BL284" s="62"/>
      <c r="BM284" s="62"/>
      <c r="BN284" s="62"/>
      <c r="BO284" s="62"/>
      <c r="BP284" s="62"/>
      <c r="BQ284" s="62"/>
      <c r="BR284" s="62"/>
      <c r="BS284" s="62"/>
      <c r="BT284" s="55"/>
      <c r="BU284" s="55"/>
      <c r="BV284" s="55"/>
      <c r="BW284" s="55"/>
      <c r="BX284" s="55"/>
      <c r="BY284" s="55"/>
      <c r="BZ284" s="55"/>
      <c r="CI284" s="55"/>
      <c r="CJ284" s="55"/>
      <c r="CK284" s="55"/>
      <c r="CL284" s="55"/>
      <c r="CM284" s="55"/>
      <c r="CN284" s="55"/>
      <c r="CO284" s="55"/>
      <c r="CP284" s="55"/>
      <c r="CQ284" s="55"/>
      <c r="DJ284" s="55"/>
      <c r="DK284" s="55"/>
      <c r="DL284" s="55"/>
      <c r="DM284" s="55"/>
      <c r="DN284" s="55"/>
      <c r="DO284" s="55"/>
      <c r="DP284" s="55"/>
      <c r="DQ284" s="55"/>
      <c r="DR284" s="55"/>
      <c r="DS284" s="55"/>
      <c r="DT284" s="55"/>
      <c r="DU284" s="55"/>
      <c r="DV284" s="55"/>
    </row>
    <row r="285" spans="1:135" x14ac:dyDescent="0.2">
      <c r="A285" s="54"/>
      <c r="B285" s="54"/>
      <c r="C285" s="288"/>
      <c r="D285" s="288"/>
      <c r="E285" s="288"/>
      <c r="F285" s="288"/>
      <c r="G285" s="288"/>
      <c r="H285" s="288"/>
      <c r="I285" s="288"/>
      <c r="J285" s="288"/>
      <c r="K285" s="288"/>
      <c r="L285" s="288"/>
      <c r="M285" s="288"/>
      <c r="N285" s="288"/>
      <c r="O285" s="288"/>
      <c r="P285" s="288"/>
      <c r="Q285" s="288"/>
      <c r="R285" s="288"/>
      <c r="S285" s="288"/>
      <c r="T285" s="288"/>
      <c r="U285" s="288"/>
      <c r="V285" s="288"/>
      <c r="W285" s="288"/>
      <c r="X285" s="288"/>
      <c r="Y285" s="288"/>
      <c r="Z285" s="288"/>
      <c r="AA285" s="288"/>
      <c r="AB285" s="288"/>
      <c r="AC285" s="288"/>
      <c r="AD285" s="288"/>
      <c r="AE285" s="288"/>
      <c r="AF285" s="288"/>
      <c r="AG285" s="288"/>
      <c r="AH285" s="288"/>
      <c r="AI285" s="288"/>
      <c r="AJ285" s="288"/>
      <c r="AK285" s="55"/>
      <c r="AY285" s="55"/>
      <c r="AZ285" s="55"/>
      <c r="BA285" s="55"/>
      <c r="BB285" s="55"/>
      <c r="BC285" s="55"/>
      <c r="BD285" s="55"/>
      <c r="BE285" s="55"/>
      <c r="BF285" s="55"/>
      <c r="BG285" s="55"/>
      <c r="BH285" s="55"/>
      <c r="BI285" s="55"/>
      <c r="BJ285" s="55"/>
      <c r="BK285" s="55"/>
      <c r="BL285" s="62"/>
      <c r="BM285" s="62"/>
      <c r="BN285" s="62"/>
      <c r="BO285" s="62"/>
      <c r="BP285" s="62"/>
      <c r="BQ285" s="62"/>
      <c r="BR285" s="62"/>
      <c r="BS285" s="62"/>
      <c r="BT285" s="62"/>
      <c r="BU285" s="62"/>
      <c r="BV285" s="62"/>
      <c r="BW285" s="62"/>
      <c r="BX285" s="62"/>
      <c r="BY285" s="62"/>
      <c r="BZ285" s="62"/>
      <c r="CI285" s="55"/>
      <c r="CJ285" s="55"/>
      <c r="CK285" s="55"/>
      <c r="CL285" s="55"/>
      <c r="CM285" s="55"/>
      <c r="CN285" s="55"/>
      <c r="CO285" s="55"/>
      <c r="CP285" s="55"/>
      <c r="CQ285" s="55"/>
      <c r="DJ285" s="55"/>
      <c r="DK285" s="55"/>
      <c r="DL285" s="55"/>
      <c r="DM285" s="55"/>
      <c r="DN285" s="55"/>
      <c r="DO285" s="55"/>
      <c r="DP285" s="55"/>
      <c r="DQ285" s="55"/>
      <c r="DR285" s="55"/>
      <c r="DS285" s="55"/>
      <c r="DT285" s="55"/>
      <c r="DU285" s="55"/>
      <c r="DV285" s="55"/>
    </row>
    <row r="286" spans="1:135" x14ac:dyDescent="0.2">
      <c r="A286" s="54"/>
      <c r="B286" s="54"/>
      <c r="C286" s="288"/>
      <c r="D286" s="288"/>
      <c r="E286" s="288"/>
      <c r="F286" s="288"/>
      <c r="G286" s="288"/>
      <c r="H286" s="288"/>
      <c r="I286" s="288"/>
      <c r="J286" s="288"/>
      <c r="K286" s="288"/>
      <c r="L286" s="288"/>
      <c r="M286" s="288"/>
      <c r="N286" s="288"/>
      <c r="O286" s="288"/>
      <c r="P286" s="288"/>
      <c r="Q286" s="288"/>
      <c r="R286" s="288"/>
      <c r="S286" s="288"/>
      <c r="T286" s="288"/>
      <c r="U286" s="288"/>
      <c r="V286" s="288"/>
      <c r="W286" s="288"/>
      <c r="X286" s="288"/>
      <c r="Y286" s="288"/>
      <c r="Z286" s="288"/>
      <c r="AA286" s="288"/>
      <c r="AB286" s="288"/>
      <c r="AC286" s="288"/>
      <c r="AD286" s="288"/>
      <c r="AE286" s="288"/>
      <c r="AF286" s="288"/>
      <c r="AG286" s="288"/>
      <c r="AH286" s="288"/>
      <c r="AI286" s="288"/>
      <c r="AJ286" s="288"/>
      <c r="AK286" s="55"/>
      <c r="AY286" s="55"/>
      <c r="AZ286" s="55"/>
      <c r="BA286" s="55"/>
      <c r="BB286" s="55"/>
      <c r="BC286" s="55"/>
      <c r="BD286" s="55"/>
      <c r="BE286" s="55"/>
      <c r="BF286" s="55"/>
      <c r="BG286" s="55"/>
      <c r="BH286" s="55"/>
      <c r="BI286" s="55"/>
      <c r="BJ286" s="55"/>
      <c r="BK286" s="55"/>
      <c r="BL286" s="62"/>
      <c r="BM286" s="62"/>
      <c r="BN286" s="62"/>
      <c r="BO286" s="62"/>
      <c r="BP286" s="62"/>
      <c r="BQ286" s="62"/>
      <c r="BR286" s="62"/>
      <c r="BS286" s="62"/>
      <c r="BT286" s="62"/>
      <c r="BU286" s="62"/>
      <c r="BV286" s="62"/>
      <c r="BW286" s="62"/>
      <c r="BX286" s="62"/>
      <c r="BY286" s="62"/>
      <c r="BZ286" s="62"/>
      <c r="CI286" s="55"/>
      <c r="CJ286" s="55"/>
      <c r="CK286" s="55"/>
      <c r="CL286" s="55"/>
      <c r="CM286" s="55"/>
      <c r="CN286" s="55"/>
      <c r="CO286" s="55"/>
      <c r="CP286" s="55"/>
      <c r="CQ286" s="55"/>
      <c r="DJ286" s="55"/>
      <c r="DK286" s="55"/>
      <c r="DL286" s="55"/>
      <c r="DM286" s="55"/>
      <c r="DN286" s="55"/>
      <c r="DO286" s="55"/>
      <c r="DP286" s="55"/>
      <c r="DQ286" s="55"/>
      <c r="DR286" s="55"/>
      <c r="DS286" s="55"/>
      <c r="DT286" s="55"/>
      <c r="DU286" s="55"/>
      <c r="DV286" s="55"/>
    </row>
    <row r="287" spans="1:135" x14ac:dyDescent="0.2">
      <c r="A287" s="54"/>
      <c r="B287" s="54"/>
      <c r="C287" s="288"/>
      <c r="D287" s="288"/>
      <c r="E287" s="288"/>
      <c r="F287" s="288"/>
      <c r="G287" s="288"/>
      <c r="H287" s="288"/>
      <c r="I287" s="288"/>
      <c r="J287" s="288"/>
      <c r="K287" s="288"/>
      <c r="L287" s="288"/>
      <c r="M287" s="288"/>
      <c r="N287" s="288"/>
      <c r="O287" s="288"/>
      <c r="P287" s="288"/>
      <c r="Q287" s="288"/>
      <c r="R287" s="288"/>
      <c r="S287" s="288"/>
      <c r="T287" s="288"/>
      <c r="U287" s="288"/>
      <c r="V287" s="288"/>
      <c r="W287" s="288"/>
      <c r="X287" s="288"/>
      <c r="Y287" s="288"/>
      <c r="Z287" s="288"/>
      <c r="AA287" s="288"/>
      <c r="AB287" s="288"/>
      <c r="AC287" s="288"/>
      <c r="AD287" s="288"/>
      <c r="AE287" s="288"/>
      <c r="AF287" s="288"/>
      <c r="AG287" s="288"/>
      <c r="AH287" s="288"/>
      <c r="AI287" s="288"/>
      <c r="AJ287" s="288"/>
      <c r="AK287" s="55"/>
      <c r="AY287" s="55"/>
      <c r="AZ287" s="55"/>
      <c r="BA287" s="55"/>
      <c r="BB287" s="55"/>
      <c r="BC287" s="55"/>
      <c r="BD287" s="55"/>
      <c r="BE287" s="55"/>
      <c r="BF287" s="55"/>
      <c r="BG287" s="55"/>
      <c r="BH287" s="55"/>
      <c r="BI287" s="55"/>
      <c r="BJ287" s="55"/>
      <c r="BK287" s="55"/>
      <c r="BL287" s="55"/>
      <c r="BM287" s="55"/>
      <c r="BN287" s="55"/>
      <c r="BO287" s="55"/>
      <c r="BP287" s="55"/>
      <c r="BQ287" s="55"/>
      <c r="BR287" s="55"/>
      <c r="BS287" s="55"/>
      <c r="BT287" s="55"/>
      <c r="BU287" s="55"/>
      <c r="BV287" s="55"/>
      <c r="BW287" s="55"/>
      <c r="BX287" s="55"/>
      <c r="BY287" s="55"/>
      <c r="BZ287" s="55"/>
      <c r="CF287" s="62"/>
      <c r="CG287" s="62"/>
      <c r="CH287" s="62"/>
      <c r="CI287" s="62"/>
      <c r="CJ287" s="62"/>
      <c r="CK287" s="62"/>
      <c r="CL287" s="62"/>
      <c r="CM287" s="62"/>
      <c r="CN287" s="62"/>
      <c r="CO287" s="62"/>
      <c r="CP287" s="62"/>
      <c r="CQ287" s="62"/>
      <c r="CR287" s="62"/>
      <c r="CS287" s="62"/>
      <c r="CT287" s="62"/>
      <c r="CW287" s="62"/>
      <c r="CX287" s="62"/>
      <c r="CY287" s="62"/>
      <c r="DB287" s="62"/>
      <c r="DC287" s="62"/>
      <c r="DD287" s="62"/>
      <c r="DJ287" s="55"/>
      <c r="DK287" s="55"/>
      <c r="DL287" s="55"/>
      <c r="DM287" s="55"/>
      <c r="DN287" s="55"/>
      <c r="DO287" s="55"/>
      <c r="DP287" s="55"/>
      <c r="DQ287" s="55"/>
      <c r="DR287" s="55"/>
      <c r="DS287" s="55"/>
      <c r="DT287" s="55"/>
      <c r="DU287" s="55"/>
      <c r="DV287" s="55"/>
    </row>
    <row r="288" spans="1:135" x14ac:dyDescent="0.2">
      <c r="A288" s="54"/>
      <c r="B288" s="54"/>
      <c r="C288" s="288"/>
      <c r="D288" s="288"/>
      <c r="E288" s="288"/>
      <c r="F288" s="288"/>
      <c r="G288" s="288"/>
      <c r="H288" s="288"/>
      <c r="I288" s="288"/>
      <c r="J288" s="288"/>
      <c r="K288" s="288"/>
      <c r="L288" s="288"/>
      <c r="M288" s="288"/>
      <c r="N288" s="288"/>
      <c r="O288" s="288"/>
      <c r="P288" s="288"/>
      <c r="Q288" s="288"/>
      <c r="R288" s="288"/>
      <c r="S288" s="288"/>
      <c r="T288" s="288"/>
      <c r="U288" s="288"/>
      <c r="V288" s="288"/>
      <c r="W288" s="288"/>
      <c r="X288" s="288"/>
      <c r="Y288" s="288"/>
      <c r="Z288" s="288"/>
      <c r="AA288" s="288"/>
      <c r="AB288" s="288"/>
      <c r="AC288" s="288"/>
      <c r="AD288" s="288"/>
      <c r="AE288" s="288"/>
      <c r="AF288" s="288"/>
      <c r="AG288" s="288"/>
      <c r="AH288" s="288"/>
      <c r="AI288" s="288"/>
      <c r="AJ288" s="288"/>
      <c r="AK288" s="179"/>
      <c r="AL288" s="192"/>
      <c r="AM288" s="192"/>
      <c r="AY288" s="55"/>
      <c r="AZ288" s="55"/>
      <c r="BA288" s="55"/>
      <c r="BB288" s="55"/>
      <c r="BC288" s="55"/>
      <c r="BD288" s="55"/>
      <c r="BE288" s="55"/>
      <c r="BF288" s="55"/>
      <c r="BG288" s="55"/>
      <c r="BH288" s="55"/>
      <c r="BI288" s="55"/>
      <c r="BJ288" s="55"/>
      <c r="BK288" s="55"/>
      <c r="BL288" s="55"/>
      <c r="BM288" s="55"/>
      <c r="BN288" s="55"/>
      <c r="BO288" s="55"/>
      <c r="BP288" s="55"/>
      <c r="BQ288" s="55"/>
      <c r="BR288" s="55"/>
      <c r="BS288" s="55"/>
      <c r="BT288" s="55"/>
      <c r="BU288" s="55"/>
      <c r="BV288" s="55"/>
      <c r="BW288" s="55"/>
      <c r="BX288" s="55"/>
      <c r="BY288" s="55"/>
      <c r="BZ288" s="55"/>
      <c r="CD288" s="62"/>
      <c r="CE288" s="62"/>
      <c r="CF288" s="62"/>
      <c r="CG288" s="62"/>
      <c r="CH288" s="62"/>
      <c r="CI288" s="62"/>
      <c r="CJ288" s="62"/>
      <c r="CK288" s="62"/>
      <c r="CL288" s="62"/>
      <c r="CM288" s="62"/>
      <c r="CN288" s="62"/>
      <c r="CO288" s="62"/>
      <c r="CP288" s="62"/>
      <c r="CQ288" s="62"/>
      <c r="CR288" s="62"/>
      <c r="CW288" s="62"/>
      <c r="DB288" s="62"/>
      <c r="DJ288" s="55"/>
      <c r="DK288" s="55"/>
      <c r="DL288" s="55"/>
      <c r="DM288" s="55"/>
      <c r="DN288" s="55"/>
      <c r="DO288" s="55"/>
      <c r="DP288" s="55"/>
      <c r="DQ288" s="55"/>
      <c r="DR288" s="55"/>
      <c r="DS288" s="55"/>
      <c r="DT288" s="55"/>
      <c r="DU288" s="55"/>
      <c r="DV288" s="55"/>
    </row>
    <row r="289" spans="1:126" ht="12.75" customHeight="1" x14ac:dyDescent="0.2">
      <c r="A289" s="54"/>
      <c r="B289" s="54"/>
      <c r="C289" s="54"/>
      <c r="D289" s="54"/>
      <c r="E289" s="54"/>
      <c r="F289" s="54"/>
      <c r="G289" s="54"/>
      <c r="H289" s="54"/>
      <c r="I289" s="54"/>
      <c r="J289" s="54"/>
      <c r="K289" s="54"/>
      <c r="L289" s="54"/>
      <c r="M289" s="54"/>
      <c r="N289" s="54"/>
      <c r="O289" s="54"/>
      <c r="P289" s="54"/>
      <c r="Q289" s="54"/>
      <c r="R289" s="54"/>
      <c r="S289" s="54"/>
      <c r="T289" s="54"/>
      <c r="U289" s="54"/>
      <c r="V289" s="54"/>
      <c r="W289" s="54"/>
      <c r="X289" s="54"/>
      <c r="Y289" s="54"/>
      <c r="Z289" s="54"/>
      <c r="AY289" s="62"/>
      <c r="AZ289" s="62"/>
      <c r="BA289" s="62"/>
      <c r="BB289" s="63"/>
      <c r="BC289" s="62"/>
      <c r="BD289" s="62"/>
      <c r="BE289" s="63"/>
      <c r="BF289" s="62"/>
      <c r="BG289" s="62"/>
      <c r="BH289" s="62"/>
      <c r="BI289" s="62"/>
      <c r="BJ289" s="62"/>
      <c r="BK289" s="62"/>
      <c r="BL289" s="62"/>
      <c r="BM289" s="62"/>
      <c r="BN289" s="62"/>
      <c r="BO289" s="62"/>
      <c r="BP289" s="62"/>
      <c r="BQ289" s="63"/>
      <c r="BR289" s="62"/>
      <c r="BS289" s="62"/>
      <c r="BT289" s="62"/>
      <c r="BU289" s="62"/>
      <c r="BV289" s="62"/>
      <c r="BW289" s="62"/>
      <c r="BX289" s="62"/>
      <c r="BY289" s="62"/>
      <c r="BZ289" s="62"/>
      <c r="CB289" s="62"/>
      <c r="CC289" s="62"/>
      <c r="CD289" s="62"/>
      <c r="CE289" s="62"/>
      <c r="CF289" s="62"/>
      <c r="CG289" s="62"/>
      <c r="CH289" s="62"/>
      <c r="CI289" s="62"/>
      <c r="CJ289" s="62"/>
      <c r="CK289" s="62"/>
      <c r="CL289" s="62"/>
      <c r="CM289" s="62"/>
      <c r="CN289" s="62"/>
      <c r="CO289" s="62"/>
      <c r="CP289" s="62"/>
      <c r="CQ289" s="62"/>
      <c r="DJ289" s="62"/>
      <c r="DK289" s="62"/>
      <c r="DL289" s="62"/>
      <c r="DM289" s="63"/>
      <c r="DN289" s="63"/>
      <c r="DO289" s="63"/>
      <c r="DP289" s="62"/>
      <c r="DQ289" s="62"/>
      <c r="DR289" s="62"/>
      <c r="DS289" s="62"/>
      <c r="DT289" s="62"/>
      <c r="DU289" s="62"/>
      <c r="DV289" s="62"/>
    </row>
    <row r="290" spans="1:126" ht="15" x14ac:dyDescent="0.2">
      <c r="A290" s="54"/>
      <c r="B290" s="248" t="s">
        <v>993</v>
      </c>
      <c r="C290" s="248"/>
      <c r="D290" s="248"/>
      <c r="E290" s="248"/>
      <c r="F290" s="248"/>
      <c r="G290" s="248"/>
      <c r="H290" s="248"/>
      <c r="I290" s="248"/>
      <c r="J290" s="248"/>
      <c r="K290" s="248"/>
      <c r="L290" s="248"/>
      <c r="M290" s="248"/>
      <c r="N290" s="248"/>
      <c r="O290" s="248"/>
      <c r="P290" s="248"/>
      <c r="Q290" s="248"/>
      <c r="R290" s="248"/>
      <c r="S290" s="248"/>
      <c r="T290" s="248"/>
      <c r="U290" s="248"/>
      <c r="V290" s="248"/>
      <c r="W290" s="248"/>
      <c r="X290" s="248"/>
      <c r="Y290" s="248"/>
      <c r="Z290" s="248"/>
      <c r="AA290" s="248"/>
      <c r="AB290" s="248"/>
      <c r="AC290" s="248"/>
      <c r="AD290" s="248"/>
      <c r="AE290" s="248"/>
      <c r="AF290" s="248"/>
      <c r="AG290" s="248"/>
      <c r="AH290" s="248"/>
      <c r="AI290" s="248"/>
      <c r="AJ290" s="248"/>
      <c r="AK290" s="176"/>
      <c r="BC290" s="62"/>
      <c r="BD290" s="62"/>
      <c r="BF290" s="62"/>
      <c r="BG290" s="62"/>
      <c r="BH290" s="62"/>
      <c r="BI290" s="62"/>
      <c r="BJ290" s="62"/>
      <c r="BK290" s="62"/>
      <c r="BL290" s="62"/>
      <c r="BM290" s="62"/>
      <c r="BN290" s="62"/>
      <c r="BO290" s="62"/>
      <c r="BP290" s="62"/>
      <c r="BR290" s="62"/>
      <c r="BS290" s="62"/>
      <c r="BT290" s="62"/>
      <c r="BU290" s="62"/>
      <c r="BV290" s="62"/>
      <c r="BW290" s="62"/>
      <c r="BX290" s="62"/>
      <c r="BY290" s="62"/>
      <c r="BZ290" s="62"/>
      <c r="CB290" s="62"/>
      <c r="CC290" s="62"/>
      <c r="CD290" s="62"/>
      <c r="CE290" s="62"/>
      <c r="CF290" s="62"/>
      <c r="CG290" s="62"/>
      <c r="CH290" s="62"/>
      <c r="CI290" s="62"/>
      <c r="CJ290" s="62"/>
      <c r="CK290" s="62"/>
      <c r="CL290" s="62"/>
      <c r="CM290" s="62"/>
      <c r="CN290" s="62"/>
      <c r="CO290" s="62"/>
      <c r="CP290" s="62"/>
      <c r="CQ290" s="62"/>
      <c r="DP290" s="62"/>
      <c r="DQ290" s="62"/>
      <c r="DR290" s="62"/>
      <c r="DS290" s="62"/>
      <c r="DT290" s="62"/>
      <c r="DU290" s="62"/>
      <c r="DV290" s="62"/>
    </row>
    <row r="291" spans="1:126" x14ac:dyDescent="0.2">
      <c r="A291" s="54"/>
      <c r="B291" s="54"/>
      <c r="C291" s="54"/>
      <c r="D291" s="54"/>
      <c r="E291" s="54"/>
      <c r="F291" s="54"/>
      <c r="G291" s="54"/>
      <c r="H291" s="54"/>
      <c r="I291" s="54"/>
      <c r="J291" s="54"/>
      <c r="K291" s="54"/>
      <c r="L291" s="54"/>
      <c r="M291" s="54"/>
      <c r="N291" s="54"/>
      <c r="O291" s="54"/>
      <c r="P291" s="54"/>
      <c r="Q291" s="54"/>
      <c r="R291" s="54"/>
      <c r="S291" s="54"/>
      <c r="T291" s="54"/>
      <c r="U291" s="54"/>
      <c r="V291" s="54"/>
      <c r="W291" s="54"/>
      <c r="X291" s="54"/>
      <c r="Y291" s="54"/>
      <c r="Z291" s="54"/>
      <c r="AY291" s="62"/>
      <c r="AZ291" s="62"/>
      <c r="BA291" s="62"/>
      <c r="BC291" s="62"/>
      <c r="BD291" s="62"/>
      <c r="BF291" s="62"/>
      <c r="BG291" s="62"/>
      <c r="BH291" s="62"/>
      <c r="BI291" s="62"/>
      <c r="BJ291" s="62"/>
      <c r="BK291" s="62"/>
      <c r="BL291" s="62"/>
      <c r="BM291" s="62"/>
      <c r="BN291" s="62"/>
      <c r="BO291" s="62"/>
      <c r="BP291" s="62"/>
      <c r="BR291" s="62"/>
      <c r="BS291" s="62"/>
      <c r="BT291" s="62"/>
      <c r="BU291" s="62"/>
      <c r="BV291" s="62"/>
      <c r="BW291" s="62"/>
      <c r="BX291" s="62"/>
      <c r="BY291" s="62"/>
      <c r="BZ291" s="62"/>
      <c r="CB291" s="62"/>
      <c r="CC291" s="62"/>
      <c r="CD291" s="62"/>
      <c r="CE291" s="62"/>
      <c r="CF291" s="62"/>
      <c r="CG291" s="62"/>
      <c r="CH291" s="62"/>
      <c r="CI291" s="62"/>
      <c r="CJ291" s="62"/>
      <c r="CK291" s="62"/>
      <c r="CL291" s="62"/>
      <c r="CM291" s="62"/>
      <c r="CN291" s="62"/>
      <c r="CO291" s="62"/>
      <c r="CP291" s="62"/>
      <c r="CQ291" s="62"/>
      <c r="DJ291" s="62"/>
      <c r="DK291" s="62"/>
      <c r="DL291" s="62"/>
      <c r="DP291" s="62"/>
      <c r="DQ291" s="62"/>
      <c r="DR291" s="62"/>
      <c r="DS291" s="62"/>
      <c r="DT291" s="62"/>
      <c r="DU291" s="62"/>
      <c r="DV291" s="62"/>
    </row>
    <row r="292" spans="1:126" ht="14.25" customHeight="1" x14ac:dyDescent="0.2">
      <c r="A292" s="54"/>
      <c r="B292" s="54"/>
      <c r="C292" s="324" t="s">
        <v>867</v>
      </c>
      <c r="D292" s="324"/>
      <c r="E292" s="324"/>
      <c r="F292" s="324"/>
      <c r="G292" s="324"/>
      <c r="H292" s="324"/>
      <c r="I292" s="324"/>
      <c r="J292" s="324"/>
      <c r="K292" s="324"/>
      <c r="L292" s="324"/>
      <c r="M292" s="324"/>
      <c r="N292" s="324"/>
      <c r="O292" s="324"/>
      <c r="P292" s="324"/>
      <c r="Q292" s="324"/>
      <c r="R292" s="324"/>
      <c r="S292" s="324"/>
      <c r="T292" s="324"/>
      <c r="U292" s="324"/>
      <c r="V292" s="324"/>
      <c r="W292" s="324"/>
      <c r="X292" s="324"/>
      <c r="Y292" s="324"/>
      <c r="Z292" s="324"/>
      <c r="AA292" s="324"/>
      <c r="AB292" s="324"/>
      <c r="AC292" s="324"/>
      <c r="AD292" s="324"/>
      <c r="AE292" s="324"/>
      <c r="AF292" s="324"/>
      <c r="AG292" s="324"/>
      <c r="AH292" s="324"/>
      <c r="AI292" s="324"/>
      <c r="AJ292" s="324"/>
      <c r="AK292" s="173"/>
      <c r="AY292" s="62"/>
      <c r="AZ292" s="62"/>
      <c r="BA292" s="62"/>
      <c r="CB292" s="62"/>
      <c r="CC292" s="62"/>
      <c r="CD292" s="62"/>
      <c r="CE292" s="62"/>
      <c r="CF292" s="62"/>
      <c r="CG292" s="62"/>
      <c r="CH292" s="62"/>
      <c r="CI292" s="62"/>
      <c r="CJ292" s="62"/>
      <c r="CK292" s="62"/>
      <c r="CL292" s="62"/>
      <c r="CM292" s="62"/>
      <c r="CN292" s="62"/>
      <c r="CO292" s="62"/>
      <c r="CP292" s="62"/>
      <c r="DJ292" s="62"/>
      <c r="DK292" s="62"/>
      <c r="DL292" s="62"/>
    </row>
    <row r="293" spans="1:126" ht="14.25" customHeight="1" x14ac:dyDescent="0.2">
      <c r="A293" s="54"/>
      <c r="B293" s="54"/>
      <c r="C293" s="324"/>
      <c r="D293" s="324"/>
      <c r="E293" s="324"/>
      <c r="F293" s="324"/>
      <c r="G293" s="324"/>
      <c r="H293" s="324"/>
      <c r="I293" s="324"/>
      <c r="J293" s="324"/>
      <c r="K293" s="324"/>
      <c r="L293" s="324"/>
      <c r="M293" s="324"/>
      <c r="N293" s="324"/>
      <c r="O293" s="324"/>
      <c r="P293" s="324"/>
      <c r="Q293" s="324"/>
      <c r="R293" s="324"/>
      <c r="S293" s="324"/>
      <c r="T293" s="324"/>
      <c r="U293" s="324"/>
      <c r="V293" s="324"/>
      <c r="W293" s="324"/>
      <c r="X293" s="324"/>
      <c r="Y293" s="324"/>
      <c r="Z293" s="324"/>
      <c r="AA293" s="324"/>
      <c r="AB293" s="324"/>
      <c r="AC293" s="324"/>
      <c r="AD293" s="324"/>
      <c r="AE293" s="324"/>
      <c r="AF293" s="324"/>
      <c r="AG293" s="324"/>
      <c r="AH293" s="324"/>
      <c r="AI293" s="324"/>
      <c r="AJ293" s="324"/>
      <c r="AK293" s="173"/>
      <c r="AY293" s="62"/>
      <c r="AZ293" s="62"/>
      <c r="BA293" s="62"/>
      <c r="CB293" s="62"/>
      <c r="CC293" s="62"/>
      <c r="CD293" s="62"/>
      <c r="CE293" s="62"/>
      <c r="CF293" s="62"/>
      <c r="CG293" s="62"/>
      <c r="CH293" s="62"/>
      <c r="CI293" s="62"/>
      <c r="CJ293" s="62"/>
      <c r="CK293" s="62"/>
      <c r="CL293" s="62"/>
      <c r="CM293" s="62"/>
      <c r="CN293" s="62"/>
      <c r="CO293" s="62"/>
      <c r="CP293" s="62"/>
      <c r="DJ293" s="62"/>
      <c r="DK293" s="62"/>
      <c r="DL293" s="62"/>
    </row>
    <row r="294" spans="1:126" x14ac:dyDescent="0.2">
      <c r="A294" s="54"/>
      <c r="B294" s="54"/>
      <c r="C294" s="324"/>
      <c r="D294" s="324"/>
      <c r="E294" s="324"/>
      <c r="F294" s="324"/>
      <c r="G294" s="324"/>
      <c r="H294" s="324"/>
      <c r="I294" s="324"/>
      <c r="J294" s="324"/>
      <c r="K294" s="324"/>
      <c r="L294" s="324"/>
      <c r="M294" s="324"/>
      <c r="N294" s="324"/>
      <c r="O294" s="324"/>
      <c r="P294" s="324"/>
      <c r="Q294" s="324"/>
      <c r="R294" s="324"/>
      <c r="S294" s="324"/>
      <c r="T294" s="324"/>
      <c r="U294" s="324"/>
      <c r="V294" s="324"/>
      <c r="W294" s="324"/>
      <c r="X294" s="324"/>
      <c r="Y294" s="324"/>
      <c r="Z294" s="324"/>
      <c r="AA294" s="324"/>
      <c r="AB294" s="324"/>
      <c r="AC294" s="324"/>
      <c r="AD294" s="324"/>
      <c r="AE294" s="324"/>
      <c r="AF294" s="324"/>
      <c r="AG294" s="324"/>
      <c r="AH294" s="324"/>
      <c r="AI294" s="324"/>
      <c r="AJ294" s="324"/>
      <c r="AK294" s="173"/>
      <c r="AY294" s="62"/>
      <c r="AZ294" s="62"/>
      <c r="BA294" s="62"/>
      <c r="CB294" s="62"/>
      <c r="CC294" s="62"/>
      <c r="CD294" s="62"/>
      <c r="CE294" s="62"/>
      <c r="CF294" s="62"/>
      <c r="CG294" s="62"/>
      <c r="CH294" s="62"/>
      <c r="CI294" s="62"/>
      <c r="CJ294" s="62"/>
      <c r="CK294" s="62"/>
      <c r="CL294" s="62"/>
      <c r="CM294" s="62"/>
      <c r="CN294" s="62"/>
      <c r="CO294" s="62"/>
      <c r="CP294" s="62"/>
      <c r="DJ294" s="62"/>
      <c r="DK294" s="62"/>
      <c r="DL294" s="62"/>
    </row>
    <row r="295" spans="1:126" x14ac:dyDescent="0.2">
      <c r="A295" s="54"/>
      <c r="B295" s="54"/>
      <c r="C295" s="73"/>
      <c r="D295" s="74"/>
      <c r="E295" s="74"/>
      <c r="F295" s="74"/>
      <c r="G295" s="74"/>
      <c r="H295" s="74"/>
      <c r="I295" s="74"/>
      <c r="J295" s="74"/>
      <c r="K295" s="74"/>
      <c r="L295" s="74"/>
      <c r="M295" s="74"/>
      <c r="N295" s="74"/>
      <c r="O295" s="74"/>
      <c r="P295" s="74"/>
      <c r="Q295" s="74"/>
      <c r="R295" s="74"/>
      <c r="S295" s="74"/>
      <c r="T295" s="74"/>
      <c r="U295" s="74"/>
      <c r="V295" s="74"/>
      <c r="W295" s="74"/>
      <c r="X295" s="74"/>
      <c r="Y295" s="74"/>
      <c r="Z295" s="74"/>
      <c r="AA295" s="74"/>
      <c r="AB295" s="74"/>
      <c r="AC295" s="74"/>
      <c r="AD295" s="74"/>
      <c r="AE295" s="74"/>
      <c r="AF295" s="74"/>
      <c r="AG295" s="74"/>
      <c r="AH295" s="74"/>
      <c r="AI295" s="74"/>
      <c r="AJ295" s="91"/>
      <c r="AK295" s="182"/>
      <c r="AY295" s="62"/>
      <c r="AZ295" s="62"/>
      <c r="BA295" s="62"/>
      <c r="CB295" s="62"/>
      <c r="CC295" s="62"/>
      <c r="CD295" s="62"/>
      <c r="CE295" s="62"/>
      <c r="CF295" s="62"/>
      <c r="CG295" s="62"/>
      <c r="CH295" s="62"/>
      <c r="CI295" s="62"/>
      <c r="CJ295" s="62"/>
      <c r="CK295" s="62"/>
      <c r="CL295" s="62"/>
      <c r="CM295" s="62"/>
      <c r="CN295" s="62"/>
      <c r="CO295" s="62"/>
      <c r="CP295" s="62"/>
      <c r="DJ295" s="62"/>
      <c r="DK295" s="62"/>
      <c r="DL295" s="62"/>
    </row>
    <row r="296" spans="1:126" x14ac:dyDescent="0.2">
      <c r="A296" s="54"/>
      <c r="B296" s="54"/>
      <c r="C296" s="142"/>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91"/>
      <c r="AK296" s="182"/>
      <c r="AY296" s="62"/>
      <c r="AZ296" s="62"/>
      <c r="BA296" s="62"/>
      <c r="CB296" s="62"/>
      <c r="CC296" s="62"/>
      <c r="CD296" s="62"/>
      <c r="CE296" s="62"/>
      <c r="CF296" s="62"/>
      <c r="CG296" s="62"/>
      <c r="CH296" s="62"/>
      <c r="CI296" s="62"/>
      <c r="CJ296" s="62"/>
      <c r="CK296" s="62"/>
      <c r="CL296" s="62"/>
      <c r="CM296" s="62"/>
      <c r="CN296" s="62"/>
      <c r="CO296" s="62"/>
      <c r="CP296" s="62"/>
      <c r="DJ296" s="62"/>
      <c r="DK296" s="62"/>
      <c r="DL296" s="62"/>
    </row>
    <row r="297" spans="1:126" ht="14.25" customHeight="1" x14ac:dyDescent="0.2">
      <c r="A297" s="54"/>
      <c r="B297" s="54"/>
      <c r="C297" s="70" t="str">
        <f>IF(D297="","","A.")</f>
        <v>A.</v>
      </c>
      <c r="D297" s="379" t="s">
        <v>629</v>
      </c>
      <c r="E297" s="379"/>
      <c r="F297" s="379"/>
      <c r="G297" s="379"/>
      <c r="H297" s="379"/>
      <c r="I297" s="379"/>
      <c r="J297" s="379"/>
      <c r="K297" s="379"/>
      <c r="L297" s="379"/>
      <c r="M297" s="379"/>
      <c r="N297" s="379"/>
      <c r="O297" s="379"/>
      <c r="P297" s="379"/>
      <c r="Q297" s="379"/>
      <c r="R297" s="379"/>
      <c r="S297" s="379"/>
      <c r="T297" s="379"/>
      <c r="U297" s="379"/>
      <c r="V297" s="379"/>
      <c r="W297" s="379"/>
      <c r="X297" s="379"/>
      <c r="Y297" s="379"/>
      <c r="Z297" s="379"/>
      <c r="AA297" s="379"/>
      <c r="AB297" s="379"/>
      <c r="AC297" s="379"/>
      <c r="AD297" s="379"/>
      <c r="AE297" s="379"/>
      <c r="AF297" s="379"/>
      <c r="AG297" s="379"/>
      <c r="AH297" s="379"/>
      <c r="AI297" s="379"/>
      <c r="AJ297" s="379"/>
      <c r="AK297" s="146"/>
      <c r="CB297" s="62"/>
      <c r="CC297" s="62"/>
      <c r="CD297" s="62"/>
      <c r="CE297" s="62"/>
      <c r="CF297" s="62"/>
      <c r="CG297" s="62"/>
      <c r="CH297" s="62"/>
      <c r="CI297" s="62"/>
      <c r="CJ297" s="62"/>
      <c r="CK297" s="62"/>
      <c r="CL297" s="62"/>
      <c r="CM297" s="62"/>
      <c r="CN297" s="62"/>
      <c r="CO297" s="62"/>
      <c r="CP297" s="62"/>
    </row>
    <row r="298" spans="1:126" x14ac:dyDescent="0.2">
      <c r="A298" s="56"/>
      <c r="B298" s="54"/>
      <c r="C298" s="54"/>
      <c r="D298" s="54"/>
      <c r="F298" s="54"/>
      <c r="G298" s="54"/>
      <c r="H298" s="54"/>
      <c r="I298" s="54"/>
      <c r="J298" s="54"/>
      <c r="K298" s="54"/>
      <c r="L298" s="54"/>
      <c r="M298" s="54"/>
      <c r="N298" s="54"/>
      <c r="O298" s="54"/>
      <c r="P298" s="54"/>
      <c r="Q298" s="54"/>
      <c r="R298" s="54"/>
      <c r="S298" s="54"/>
      <c r="T298" s="54"/>
      <c r="U298" s="54"/>
      <c r="V298" s="54"/>
      <c r="W298" s="54"/>
      <c r="X298" s="54"/>
      <c r="Y298" s="54"/>
      <c r="Z298" s="54"/>
      <c r="CB298" s="62"/>
      <c r="CC298" s="62"/>
      <c r="CD298" s="62"/>
      <c r="CE298" s="62"/>
      <c r="CF298" s="62"/>
      <c r="CG298" s="62"/>
      <c r="CH298" s="62"/>
      <c r="CI298" s="62"/>
      <c r="CJ298" s="62"/>
      <c r="CK298" s="62"/>
      <c r="CL298" s="62"/>
      <c r="CM298" s="62"/>
      <c r="CN298" s="62"/>
      <c r="CO298" s="62"/>
      <c r="CP298" s="62"/>
    </row>
    <row r="299" spans="1:126" ht="14.25" customHeight="1" thickBot="1" x14ac:dyDescent="0.25">
      <c r="A299" s="54"/>
      <c r="B299" s="362"/>
      <c r="C299" s="362"/>
      <c r="D299" s="362"/>
      <c r="E299" s="362"/>
      <c r="F299" s="362"/>
      <c r="G299" s="362"/>
      <c r="H299" s="362"/>
      <c r="I299" s="362"/>
      <c r="J299" s="362"/>
      <c r="K299" s="362"/>
      <c r="L299" s="362"/>
      <c r="M299" s="362"/>
      <c r="N299" s="362"/>
      <c r="O299" s="364" t="s">
        <v>865</v>
      </c>
      <c r="P299" s="364"/>
      <c r="Q299" s="364"/>
      <c r="R299" s="364"/>
      <c r="S299" s="364"/>
      <c r="T299" s="364"/>
      <c r="U299" s="364" t="s">
        <v>866</v>
      </c>
      <c r="V299" s="364"/>
      <c r="W299" s="364"/>
      <c r="X299" s="364"/>
      <c r="Y299" s="364"/>
      <c r="Z299" s="364"/>
      <c r="AA299" s="364" t="s">
        <v>387</v>
      </c>
      <c r="AB299" s="364"/>
      <c r="AC299" s="364"/>
      <c r="AD299" s="364"/>
      <c r="AE299" s="364"/>
      <c r="AF299" s="364" t="s">
        <v>850</v>
      </c>
      <c r="AG299" s="364"/>
      <c r="AH299" s="364"/>
      <c r="AI299" s="364"/>
      <c r="AJ299" s="91"/>
      <c r="AK299" s="182"/>
      <c r="AY299" s="55"/>
      <c r="AZ299" s="55"/>
      <c r="BA299" s="55"/>
      <c r="BB299" s="55"/>
      <c r="BC299" s="55"/>
      <c r="BD299" s="55"/>
      <c r="BE299" s="55"/>
      <c r="BF299" s="55"/>
      <c r="BG299" s="55"/>
      <c r="BH299" s="55"/>
      <c r="BQ299" s="63"/>
      <c r="CB299" s="62"/>
      <c r="CC299" s="62"/>
      <c r="CD299" s="62"/>
      <c r="CE299" s="62"/>
      <c r="CF299" s="62"/>
      <c r="CG299" s="62"/>
      <c r="CH299" s="62"/>
      <c r="CI299" s="62"/>
      <c r="CJ299" s="62"/>
      <c r="CK299" s="62"/>
      <c r="CL299" s="62"/>
      <c r="CM299" s="62"/>
      <c r="CN299" s="62"/>
      <c r="CO299" s="62"/>
      <c r="CP299" s="62"/>
      <c r="DJ299" s="62"/>
      <c r="DK299" s="62"/>
      <c r="DL299" s="62"/>
      <c r="DM299" s="63"/>
      <c r="DN299" s="63"/>
      <c r="DO299" s="63"/>
    </row>
    <row r="300" spans="1:126" ht="15" thickBot="1" x14ac:dyDescent="0.25">
      <c r="A300" s="54"/>
      <c r="B300" s="363"/>
      <c r="C300" s="363"/>
      <c r="D300" s="363"/>
      <c r="E300" s="363"/>
      <c r="F300" s="363"/>
      <c r="G300" s="363"/>
      <c r="H300" s="363"/>
      <c r="I300" s="363"/>
      <c r="J300" s="363"/>
      <c r="K300" s="363"/>
      <c r="L300" s="363"/>
      <c r="M300" s="363"/>
      <c r="N300" s="363"/>
      <c r="O300" s="365"/>
      <c r="P300" s="365"/>
      <c r="Q300" s="365"/>
      <c r="R300" s="365"/>
      <c r="S300" s="365"/>
      <c r="T300" s="365"/>
      <c r="U300" s="365"/>
      <c r="V300" s="365"/>
      <c r="W300" s="365"/>
      <c r="X300" s="365"/>
      <c r="Y300" s="365"/>
      <c r="Z300" s="365"/>
      <c r="AA300" s="365"/>
      <c r="AB300" s="365"/>
      <c r="AC300" s="365"/>
      <c r="AD300" s="365"/>
      <c r="AE300" s="365"/>
      <c r="AF300" s="365"/>
      <c r="AG300" s="365"/>
      <c r="AH300" s="365"/>
      <c r="AI300" s="365"/>
      <c r="AJ300" s="91"/>
      <c r="AK300" s="182"/>
      <c r="AY300" s="55"/>
      <c r="AZ300" s="55"/>
      <c r="BA300" s="55"/>
      <c r="BB300" s="55"/>
      <c r="BC300" s="55"/>
      <c r="BD300" s="55"/>
      <c r="BE300" s="55"/>
      <c r="BF300" s="55"/>
      <c r="BG300" s="55"/>
      <c r="BH300" s="55"/>
      <c r="BI300" s="62"/>
      <c r="BJ300" s="62"/>
      <c r="BK300" s="62"/>
      <c r="BL300" s="62"/>
      <c r="BM300" s="62"/>
      <c r="BN300" s="62"/>
      <c r="BO300" s="62"/>
      <c r="BP300" s="62"/>
      <c r="BR300" s="62"/>
      <c r="BS300" s="62"/>
      <c r="BT300" s="62"/>
      <c r="BU300" s="62"/>
      <c r="BV300" s="62"/>
      <c r="BW300" s="62"/>
      <c r="BX300" s="62"/>
      <c r="BY300" s="62"/>
      <c r="BZ300" s="62"/>
      <c r="CB300" s="62"/>
      <c r="CC300" s="62"/>
      <c r="CD300" s="62"/>
      <c r="CE300" s="62"/>
      <c r="CF300" s="62"/>
      <c r="CG300" s="62"/>
      <c r="CH300" s="62"/>
      <c r="CI300" s="62"/>
      <c r="CJ300" s="62"/>
      <c r="CK300" s="62"/>
      <c r="CL300" s="62"/>
      <c r="CM300" s="62"/>
      <c r="CN300" s="62"/>
      <c r="CO300" s="62"/>
      <c r="CP300" s="62"/>
      <c r="CQ300" s="62"/>
      <c r="DJ300" s="62"/>
      <c r="DK300" s="62"/>
      <c r="DL300" s="62"/>
      <c r="DP300" s="62"/>
      <c r="DQ300" s="62"/>
      <c r="DR300" s="62"/>
      <c r="DS300" s="62"/>
      <c r="DT300" s="62"/>
      <c r="DU300" s="62"/>
      <c r="DV300" s="62"/>
    </row>
    <row r="301" spans="1:126" ht="14.25" customHeight="1" x14ac:dyDescent="0.2">
      <c r="A301" s="54"/>
      <c r="B301" s="366" t="s">
        <v>395</v>
      </c>
      <c r="C301" s="367"/>
      <c r="D301" s="367"/>
      <c r="E301" s="367"/>
      <c r="F301" s="367"/>
      <c r="G301" s="367"/>
      <c r="H301" s="367"/>
      <c r="I301" s="367"/>
      <c r="J301" s="367"/>
      <c r="K301" s="367"/>
      <c r="L301" s="367"/>
      <c r="M301" s="367"/>
      <c r="N301" s="367"/>
      <c r="O301" s="368">
        <f>IF(D297="Diseño estático",INDEX($M$385:$M$389,MATCH(AA301,$Y$385:$Y$389,0),1),
   IF(D297="Diseño sísmico", ,
   IF(D297="Diseño dinámico a fatiga/impacto", ,
   IF(D297="Diseño a largo plazo (cargas permanentes)", ,
   IF(D297="Diseño a prueba de fuego", ,
)))))</f>
        <v>41.5</v>
      </c>
      <c r="P301" s="368"/>
      <c r="Q301" s="368"/>
      <c r="R301" s="368"/>
      <c r="S301" s="368"/>
      <c r="T301" s="368"/>
      <c r="U301" s="368">
        <f>IF(D297="Diseño estático",INDEX($S$385:$S$389,MATCH(AA301,$Y$385:$Y$389,0),1),
   IF(D297="Diseño sísmico", ,
   IF(D297="Diseño dinámico a fatiga/impacto", ,
   IF(D297="Diseño a largo plazo (cargas permanentes)", ,
   IF(D297="Diseño a prueba de fuego", ,
)))))</f>
        <v>65.547043082374373</v>
      </c>
      <c r="V301" s="368"/>
      <c r="W301" s="368"/>
      <c r="X301" s="368"/>
      <c r="Y301" s="368"/>
      <c r="Z301" s="368"/>
      <c r="AA301" s="369">
        <f>IF(D297="Diseño estático",MAX($Y$385:$AE$389),
   IF(D297="Diseño sísmico", ,
   IF(D297="Diseño dinámico a fatiga/impacto", ,
   IF(D297="Diseño a largo plazo (cargas permanentes)", ,
   IF(D297="Diseño a prueba de fuego", ,
)))))</f>
        <v>63.313306059963772</v>
      </c>
      <c r="AB301" s="369"/>
      <c r="AC301" s="369"/>
      <c r="AD301" s="369"/>
      <c r="AE301" s="369"/>
      <c r="AF301" s="360" t="str">
        <f>IFERROR(IF(AA301&lt;=100,"OK","N/A"),"-")</f>
        <v>OK</v>
      </c>
      <c r="AG301" s="361"/>
      <c r="AH301" s="361"/>
      <c r="AI301" s="361"/>
      <c r="AY301" s="55"/>
      <c r="AZ301" s="55"/>
      <c r="BA301" s="55"/>
      <c r="BB301" s="55"/>
      <c r="BC301" s="55"/>
      <c r="BD301" s="55"/>
      <c r="BE301" s="55"/>
      <c r="BF301" s="55"/>
      <c r="BG301" s="55"/>
      <c r="BH301" s="55"/>
      <c r="BI301" s="63"/>
      <c r="BJ301" s="63"/>
      <c r="BK301" s="63"/>
      <c r="BL301" s="63"/>
      <c r="BM301" s="63"/>
      <c r="BN301" s="63"/>
      <c r="BO301" s="63"/>
      <c r="BP301" s="63"/>
      <c r="BR301" s="63"/>
      <c r="BS301" s="63"/>
      <c r="BT301" s="63"/>
      <c r="BU301" s="63"/>
      <c r="BV301" s="63"/>
      <c r="BW301" s="63"/>
      <c r="BX301" s="63"/>
      <c r="BY301" s="63"/>
      <c r="BZ301" s="63"/>
      <c r="CB301" s="62"/>
      <c r="CC301" s="62"/>
      <c r="CD301" s="62"/>
      <c r="CE301" s="62"/>
      <c r="CF301" s="62"/>
      <c r="CG301" s="62"/>
      <c r="CH301" s="62"/>
      <c r="CI301" s="62"/>
      <c r="CJ301" s="62"/>
      <c r="CK301" s="62"/>
      <c r="CL301" s="62"/>
      <c r="CM301" s="62"/>
      <c r="CN301" s="62"/>
      <c r="CO301" s="62"/>
      <c r="CP301" s="62"/>
      <c r="CQ301" s="63"/>
      <c r="DJ301" s="62"/>
      <c r="DK301" s="62"/>
      <c r="DL301" s="62"/>
      <c r="DP301" s="63"/>
      <c r="DQ301" s="63"/>
      <c r="DR301" s="63"/>
      <c r="DS301" s="63"/>
      <c r="DT301" s="63"/>
      <c r="DU301" s="63"/>
      <c r="DV301" s="63"/>
    </row>
    <row r="302" spans="1:126" ht="12.75" customHeight="1" x14ac:dyDescent="0.2">
      <c r="A302" s="54"/>
      <c r="B302" s="296" t="s">
        <v>600</v>
      </c>
      <c r="C302" s="354"/>
      <c r="D302" s="354"/>
      <c r="E302" s="354"/>
      <c r="F302" s="354"/>
      <c r="G302" s="354"/>
      <c r="H302" s="354"/>
      <c r="I302" s="354"/>
      <c r="J302" s="354"/>
      <c r="K302" s="354"/>
      <c r="L302" s="354"/>
      <c r="M302" s="354"/>
      <c r="N302" s="354"/>
      <c r="O302" s="355">
        <f>IF(D297="Diseño estático",INDEX($M$522:$M$525,MATCH(AA302,$Y$522:$Y$525,0),1),
   IF(D297="Diseño sísmico", ,
   IF(D297="Diseño dinámico a fatiga/impacto", ,
   IF(D297="Diseño a largo plazo (cargas permanentes)", ,
   IF(D297="Diseño a prueba de fuego", ,
)))))</f>
        <v>9.017344398435716</v>
      </c>
      <c r="P302" s="355"/>
      <c r="Q302" s="355"/>
      <c r="R302" s="355"/>
      <c r="S302" s="355"/>
      <c r="T302" s="355"/>
      <c r="U302" s="355">
        <f>IF(D297="Diseño estático",INDEX($S$522:$S$525,MATCH(AA302,$Y$522:$Y$525,0),1),
   IF(D297="Diseño sísmico", ,
   IF(D297="Diseño dinámico a fatiga/impacto", ,
   IF(D297="Diseño a largo plazo (cargas permanentes)", ,
   IF(D297="Diseño a prueba de fuego", ,
)))))</f>
        <v>131.09408616474875</v>
      </c>
      <c r="V302" s="355"/>
      <c r="W302" s="355"/>
      <c r="X302" s="355"/>
      <c r="Y302" s="355"/>
      <c r="Z302" s="355"/>
      <c r="AA302" s="356">
        <f>IF(D297="Diseño estático",MAX($Y$522:$AE$525),
   IF(D297="Diseño sísmico", ,
   IF(D297="Diseño dinámico a fatiga/impacto", ,
   IF(D297="Diseño a largo plazo (cargas permanentes)", ,
   IF(D297="Diseño a prueba de fuego", ,
)))))</f>
        <v>6.8785287439308487</v>
      </c>
      <c r="AB302" s="356"/>
      <c r="AC302" s="356"/>
      <c r="AD302" s="356"/>
      <c r="AE302" s="356"/>
      <c r="AF302" s="357" t="str">
        <f>IFERROR(IF(AA302&lt;=100,"OK","N/A"),"-")</f>
        <v>OK</v>
      </c>
      <c r="AG302" s="358"/>
      <c r="AH302" s="358"/>
      <c r="AI302" s="358"/>
      <c r="AY302" s="55"/>
      <c r="AZ302" s="55"/>
      <c r="BA302" s="55"/>
      <c r="BB302" s="55"/>
      <c r="BC302" s="55"/>
      <c r="BD302" s="55"/>
      <c r="BE302" s="55"/>
      <c r="BF302" s="55"/>
      <c r="BG302" s="55"/>
      <c r="BH302" s="55"/>
      <c r="CB302" s="62"/>
      <c r="CC302" s="62"/>
      <c r="CD302" s="62"/>
      <c r="CE302" s="62"/>
      <c r="CF302" s="62"/>
      <c r="CG302" s="62"/>
      <c r="CH302" s="62"/>
      <c r="CI302" s="62"/>
      <c r="CJ302" s="62"/>
      <c r="CK302" s="62"/>
      <c r="CL302" s="62"/>
      <c r="CM302" s="62"/>
      <c r="CN302" s="62"/>
      <c r="CO302" s="62"/>
      <c r="CP302" s="62"/>
      <c r="DJ302" s="62"/>
      <c r="DK302" s="62"/>
      <c r="DL302" s="62"/>
    </row>
    <row r="303" spans="1:126" ht="14.25" customHeight="1" x14ac:dyDescent="0.2">
      <c r="A303" s="54"/>
      <c r="B303" s="296" t="s">
        <v>658</v>
      </c>
      <c r="C303" s="296"/>
      <c r="D303" s="296"/>
      <c r="E303" s="296"/>
      <c r="F303" s="296"/>
      <c r="G303" s="296"/>
      <c r="H303" s="296"/>
      <c r="I303" s="296"/>
      <c r="J303" s="296"/>
      <c r="K303" s="296"/>
      <c r="L303" s="296"/>
      <c r="M303" s="296"/>
      <c r="N303" s="296"/>
      <c r="O303" s="296"/>
      <c r="P303" s="296"/>
      <c r="Q303" s="296"/>
      <c r="R303" s="296"/>
      <c r="S303" s="296"/>
      <c r="T303" s="296"/>
      <c r="U303" s="296"/>
      <c r="V303" s="296"/>
      <c r="W303" s="296"/>
      <c r="X303" s="296"/>
      <c r="Y303" s="296"/>
      <c r="Z303" s="296"/>
      <c r="AA303" s="356">
        <f>IF(D297="Diseño estático",$B$647,
   IF(D297="Diseño sísmico", ,
   IF(D297="Diseño dinámico a fatiga/impacto", ,
   IF(D297="Diseño a largo plazo (cargas permanentes)", ,
   IF(D297="Diseño a prueba de fuego", ,
)))))</f>
        <v>47.83771524862162</v>
      </c>
      <c r="AB303" s="356"/>
      <c r="AC303" s="356"/>
      <c r="AD303" s="356"/>
      <c r="AE303" s="356"/>
      <c r="AF303" s="357" t="str">
        <f>IFERROR(IF(AA303&lt;=100,"OK","N/A"),"-")</f>
        <v>OK</v>
      </c>
      <c r="AG303" s="358"/>
      <c r="AH303" s="358"/>
      <c r="AI303" s="358"/>
      <c r="AY303" s="55"/>
      <c r="AZ303" s="55"/>
      <c r="BA303" s="55"/>
      <c r="BB303" s="55"/>
      <c r="BC303" s="55"/>
      <c r="BD303" s="55"/>
      <c r="BE303" s="55"/>
      <c r="BF303" s="55"/>
      <c r="BG303" s="55"/>
      <c r="BH303" s="55"/>
      <c r="CB303" s="62"/>
      <c r="CC303" s="62"/>
      <c r="CD303" s="62"/>
      <c r="CE303" s="62"/>
      <c r="CF303" s="62"/>
      <c r="CG303" s="62"/>
      <c r="CH303" s="62"/>
      <c r="CI303" s="62"/>
      <c r="CJ303" s="62"/>
      <c r="CK303" s="62"/>
      <c r="CL303" s="62"/>
      <c r="CM303" s="62"/>
      <c r="CN303" s="62"/>
      <c r="CO303" s="62"/>
      <c r="CP303" s="62"/>
      <c r="DJ303" s="62"/>
      <c r="DK303" s="62"/>
      <c r="DL303" s="62"/>
    </row>
    <row r="304" spans="1:126" ht="14.25" customHeight="1" x14ac:dyDescent="0.2">
      <c r="A304" s="54"/>
      <c r="B304" s="359"/>
      <c r="C304" s="359"/>
      <c r="D304" s="359"/>
      <c r="E304" s="359"/>
      <c r="F304" s="359"/>
      <c r="G304" s="359"/>
      <c r="H304" s="359"/>
      <c r="I304" s="359"/>
      <c r="J304" s="359"/>
      <c r="K304" s="359"/>
      <c r="L304" s="359"/>
      <c r="M304" s="359"/>
      <c r="N304" s="359"/>
      <c r="O304" s="359"/>
      <c r="P304" s="359"/>
      <c r="Q304" s="359"/>
      <c r="R304" s="359"/>
      <c r="S304" s="359"/>
      <c r="T304" s="359"/>
      <c r="U304" s="359"/>
      <c r="V304" s="359"/>
      <c r="W304" s="359"/>
      <c r="X304" s="359"/>
      <c r="Y304" s="359"/>
      <c r="Z304" s="359"/>
      <c r="AA304" s="359"/>
      <c r="AB304" s="359"/>
      <c r="AC304" s="359"/>
      <c r="AD304" s="359"/>
      <c r="AE304" s="359"/>
      <c r="AF304" s="359"/>
      <c r="AG304" s="359"/>
      <c r="AH304" s="359"/>
      <c r="AI304" s="359"/>
      <c r="AY304" s="55"/>
      <c r="AZ304" s="55"/>
      <c r="BA304" s="55"/>
      <c r="BB304" s="55"/>
      <c r="BC304" s="55"/>
      <c r="BD304" s="55"/>
      <c r="BE304" s="55"/>
      <c r="BF304" s="55"/>
      <c r="BG304" s="55"/>
      <c r="BH304" s="55"/>
      <c r="CB304" s="62"/>
      <c r="CC304" s="62"/>
      <c r="CD304" s="62"/>
      <c r="CE304" s="62"/>
      <c r="CF304" s="62"/>
      <c r="CG304" s="62"/>
      <c r="CH304" s="62"/>
      <c r="CI304" s="62"/>
      <c r="CJ304" s="62"/>
      <c r="CK304" s="62"/>
      <c r="CL304" s="62"/>
      <c r="CM304" s="62"/>
      <c r="CN304" s="62"/>
      <c r="CO304" s="62"/>
      <c r="CP304" s="62"/>
      <c r="DJ304" s="62"/>
      <c r="DK304" s="62"/>
      <c r="DL304" s="62"/>
    </row>
    <row r="305" spans="1:126" ht="12.75" customHeight="1" x14ac:dyDescent="0.2">
      <c r="A305" s="54"/>
      <c r="B305" s="54"/>
      <c r="C305" s="54"/>
      <c r="D305" s="73"/>
      <c r="E305" s="74"/>
      <c r="F305" s="74"/>
      <c r="G305" s="74"/>
      <c r="H305" s="74"/>
      <c r="I305" s="74"/>
      <c r="J305" s="74"/>
      <c r="K305" s="74"/>
      <c r="L305" s="74"/>
      <c r="M305" s="74"/>
      <c r="N305" s="74"/>
      <c r="O305" s="74"/>
      <c r="P305" s="74"/>
      <c r="Q305" s="74"/>
      <c r="R305" s="74"/>
      <c r="S305" s="74"/>
      <c r="T305" s="74"/>
      <c r="U305" s="74"/>
      <c r="V305" s="74"/>
      <c r="W305" s="74"/>
      <c r="X305" s="74"/>
      <c r="Y305" s="74"/>
      <c r="Z305" s="74"/>
      <c r="AA305" s="74"/>
      <c r="AB305" s="74"/>
      <c r="AC305" s="74"/>
      <c r="AD305" s="74"/>
      <c r="AE305" s="74"/>
      <c r="AF305" s="74"/>
      <c r="AG305" s="74"/>
      <c r="AH305" s="74"/>
      <c r="AI305" s="74"/>
      <c r="AJ305" s="91"/>
      <c r="AK305" s="182"/>
      <c r="AY305" s="55"/>
      <c r="AZ305" s="55"/>
      <c r="BA305" s="55"/>
      <c r="BB305" s="55"/>
      <c r="BC305" s="55"/>
      <c r="BD305" s="55"/>
      <c r="BE305" s="55"/>
      <c r="BF305" s="55"/>
      <c r="BG305" s="55"/>
      <c r="BH305" s="55"/>
      <c r="CB305" s="62"/>
      <c r="CC305" s="62"/>
      <c r="CD305" s="62"/>
      <c r="CE305" s="62"/>
      <c r="CF305" s="62"/>
      <c r="CG305" s="62"/>
      <c r="CH305" s="62"/>
      <c r="CI305" s="62"/>
      <c r="CJ305" s="62"/>
      <c r="CK305" s="62"/>
      <c r="CL305" s="62"/>
      <c r="CM305" s="62"/>
      <c r="CN305" s="62"/>
      <c r="CO305" s="62"/>
      <c r="CP305" s="62"/>
      <c r="DJ305" s="62"/>
      <c r="DK305" s="62"/>
      <c r="DL305" s="62"/>
    </row>
    <row r="306" spans="1:126" ht="12.75" customHeight="1" x14ac:dyDescent="0.2">
      <c r="A306" s="54"/>
      <c r="B306" s="54"/>
      <c r="C306" s="54"/>
      <c r="D306" s="142"/>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91"/>
      <c r="AK306" s="182"/>
      <c r="AY306" s="55"/>
      <c r="AZ306" s="55"/>
      <c r="BA306" s="55"/>
      <c r="BB306" s="55"/>
      <c r="BC306" s="55"/>
      <c r="BD306" s="55"/>
      <c r="BE306" s="55"/>
      <c r="BF306" s="55"/>
      <c r="BG306" s="55"/>
      <c r="BH306" s="55"/>
      <c r="CB306" s="62"/>
      <c r="CC306" s="62"/>
      <c r="CD306" s="62"/>
      <c r="CE306" s="62"/>
      <c r="CF306" s="62"/>
      <c r="CG306" s="62"/>
      <c r="CH306" s="62"/>
      <c r="CI306" s="62"/>
      <c r="CJ306" s="62"/>
      <c r="CK306" s="62"/>
      <c r="CL306" s="62"/>
      <c r="CM306" s="62"/>
      <c r="CN306" s="62"/>
      <c r="CO306" s="62"/>
      <c r="CP306" s="62"/>
      <c r="DJ306" s="62"/>
      <c r="DK306" s="62"/>
      <c r="DL306" s="62"/>
    </row>
    <row r="307" spans="1:126" ht="14.25" customHeight="1" x14ac:dyDescent="0.2">
      <c r="A307" s="54"/>
      <c r="B307" s="54"/>
      <c r="C307" s="70" t="str">
        <f>IF(D307="","","B.")</f>
        <v>B.</v>
      </c>
      <c r="D307" s="379" t="s">
        <v>546</v>
      </c>
      <c r="E307" s="379"/>
      <c r="F307" s="379"/>
      <c r="G307" s="379"/>
      <c r="H307" s="379"/>
      <c r="I307" s="379"/>
      <c r="J307" s="379"/>
      <c r="K307" s="379"/>
      <c r="L307" s="379"/>
      <c r="M307" s="379"/>
      <c r="N307" s="379"/>
      <c r="O307" s="379"/>
      <c r="P307" s="379"/>
      <c r="Q307" s="379"/>
      <c r="R307" s="379"/>
      <c r="S307" s="379"/>
      <c r="T307" s="379"/>
      <c r="U307" s="379"/>
      <c r="V307" s="379"/>
      <c r="W307" s="379"/>
      <c r="X307" s="379"/>
      <c r="Y307" s="379"/>
      <c r="Z307" s="379"/>
      <c r="AA307" s="379"/>
      <c r="AB307" s="379"/>
      <c r="AC307" s="379"/>
      <c r="AD307" s="379"/>
      <c r="AE307" s="379"/>
      <c r="AF307" s="379"/>
      <c r="AG307" s="379"/>
      <c r="AH307" s="379"/>
      <c r="AI307" s="379"/>
      <c r="AJ307" s="379"/>
      <c r="AK307" s="146"/>
      <c r="CB307" s="62"/>
      <c r="CC307" s="62"/>
      <c r="CD307" s="62"/>
      <c r="CE307" s="62"/>
      <c r="CF307" s="62"/>
      <c r="CG307" s="62"/>
      <c r="CH307" s="62"/>
      <c r="CI307" s="62"/>
      <c r="CJ307" s="62"/>
      <c r="CK307" s="62"/>
      <c r="CL307" s="62"/>
      <c r="CM307" s="62"/>
      <c r="CN307" s="62"/>
      <c r="CO307" s="62"/>
      <c r="CP307" s="62"/>
    </row>
    <row r="308" spans="1:126" x14ac:dyDescent="0.2">
      <c r="A308" s="56"/>
      <c r="B308" s="54"/>
      <c r="C308" s="54"/>
      <c r="D308" s="54"/>
      <c r="F308" s="54"/>
      <c r="G308" s="54"/>
      <c r="H308" s="54"/>
      <c r="I308" s="54"/>
      <c r="J308" s="54"/>
      <c r="K308" s="54"/>
      <c r="L308" s="54"/>
      <c r="M308" s="54"/>
      <c r="N308" s="54"/>
      <c r="O308" s="54"/>
      <c r="P308" s="54"/>
      <c r="Q308" s="54"/>
      <c r="R308" s="54"/>
      <c r="S308" s="54"/>
      <c r="T308" s="54"/>
      <c r="U308" s="54"/>
      <c r="V308" s="54"/>
      <c r="W308" s="54"/>
      <c r="X308" s="54"/>
      <c r="Y308" s="54"/>
      <c r="Z308" s="54"/>
      <c r="CB308" s="62"/>
      <c r="CC308" s="62"/>
      <c r="CD308" s="62"/>
      <c r="CE308" s="62"/>
      <c r="CF308" s="62"/>
      <c r="CG308" s="62"/>
      <c r="CH308" s="62"/>
      <c r="CI308" s="62"/>
      <c r="CJ308" s="62"/>
      <c r="CK308" s="62"/>
      <c r="CL308" s="62"/>
      <c r="CM308" s="62"/>
      <c r="CN308" s="62"/>
      <c r="CO308" s="62"/>
      <c r="CP308" s="62"/>
    </row>
    <row r="309" spans="1:126" ht="14.25" customHeight="1" thickBot="1" x14ac:dyDescent="0.25">
      <c r="A309" s="54"/>
      <c r="B309" s="362"/>
      <c r="C309" s="362"/>
      <c r="D309" s="362"/>
      <c r="E309" s="362"/>
      <c r="F309" s="362"/>
      <c r="G309" s="362"/>
      <c r="H309" s="362"/>
      <c r="I309" s="362"/>
      <c r="J309" s="362"/>
      <c r="K309" s="362"/>
      <c r="L309" s="362"/>
      <c r="M309" s="362"/>
      <c r="N309" s="362"/>
      <c r="O309" s="364" t="s">
        <v>865</v>
      </c>
      <c r="P309" s="364"/>
      <c r="Q309" s="364"/>
      <c r="R309" s="364"/>
      <c r="S309" s="364"/>
      <c r="T309" s="364"/>
      <c r="U309" s="364" t="s">
        <v>866</v>
      </c>
      <c r="V309" s="364"/>
      <c r="W309" s="364"/>
      <c r="X309" s="364"/>
      <c r="Y309" s="364"/>
      <c r="Z309" s="364"/>
      <c r="AA309" s="364" t="s">
        <v>387</v>
      </c>
      <c r="AB309" s="364"/>
      <c r="AC309" s="364"/>
      <c r="AD309" s="364"/>
      <c r="AE309" s="364"/>
      <c r="AF309" s="364" t="s">
        <v>850</v>
      </c>
      <c r="AG309" s="364"/>
      <c r="AH309" s="364"/>
      <c r="AI309" s="364"/>
      <c r="AJ309" s="91"/>
      <c r="AK309" s="182"/>
      <c r="AY309" s="62"/>
      <c r="AZ309" s="62"/>
      <c r="BA309" s="62"/>
      <c r="BB309" s="63"/>
      <c r="BE309" s="63"/>
      <c r="BQ309" s="63"/>
      <c r="CB309" s="62"/>
      <c r="CC309" s="62"/>
      <c r="CD309" s="62"/>
      <c r="CE309" s="62"/>
      <c r="CF309" s="62"/>
      <c r="CG309" s="62"/>
      <c r="CH309" s="62"/>
      <c r="CI309" s="62"/>
      <c r="CJ309" s="62"/>
      <c r="CK309" s="62"/>
      <c r="CL309" s="62"/>
      <c r="CM309" s="62"/>
      <c r="CN309" s="62"/>
      <c r="CO309" s="62"/>
      <c r="CP309" s="62"/>
      <c r="DJ309" s="62"/>
      <c r="DK309" s="62"/>
      <c r="DL309" s="62"/>
      <c r="DM309" s="63"/>
      <c r="DN309" s="63"/>
      <c r="DO309" s="63"/>
    </row>
    <row r="310" spans="1:126" ht="15" thickBot="1" x14ac:dyDescent="0.25">
      <c r="A310" s="54"/>
      <c r="B310" s="363"/>
      <c r="C310" s="363"/>
      <c r="D310" s="363"/>
      <c r="E310" s="363"/>
      <c r="F310" s="363"/>
      <c r="G310" s="363"/>
      <c r="H310" s="363"/>
      <c r="I310" s="363"/>
      <c r="J310" s="363"/>
      <c r="K310" s="363"/>
      <c r="L310" s="363"/>
      <c r="M310" s="363"/>
      <c r="N310" s="363"/>
      <c r="O310" s="365"/>
      <c r="P310" s="365"/>
      <c r="Q310" s="365"/>
      <c r="R310" s="365"/>
      <c r="S310" s="365"/>
      <c r="T310" s="365"/>
      <c r="U310" s="365"/>
      <c r="V310" s="365"/>
      <c r="W310" s="365"/>
      <c r="X310" s="365"/>
      <c r="Y310" s="365"/>
      <c r="Z310" s="365"/>
      <c r="AA310" s="365"/>
      <c r="AB310" s="365"/>
      <c r="AC310" s="365"/>
      <c r="AD310" s="365"/>
      <c r="AE310" s="365"/>
      <c r="AF310" s="365"/>
      <c r="AG310" s="365"/>
      <c r="AH310" s="365"/>
      <c r="AI310" s="365"/>
      <c r="AJ310" s="91"/>
      <c r="AK310" s="182"/>
      <c r="AY310" s="62"/>
      <c r="AZ310" s="62"/>
      <c r="BA310" s="62"/>
      <c r="BC310" s="62"/>
      <c r="BD310" s="62"/>
      <c r="BF310" s="62"/>
      <c r="BG310" s="62"/>
      <c r="BH310" s="62"/>
      <c r="BI310" s="62"/>
      <c r="BJ310" s="62"/>
      <c r="BK310" s="62"/>
      <c r="BL310" s="62"/>
      <c r="BM310" s="62"/>
      <c r="BN310" s="62"/>
      <c r="BO310" s="62"/>
      <c r="BP310" s="62"/>
      <c r="BR310" s="62"/>
      <c r="BS310" s="62"/>
      <c r="BT310" s="62"/>
      <c r="BU310" s="62"/>
      <c r="BV310" s="62"/>
      <c r="BW310" s="62"/>
      <c r="BX310" s="62"/>
      <c r="BY310" s="62"/>
      <c r="BZ310" s="62"/>
      <c r="CB310" s="62"/>
      <c r="CC310" s="62"/>
      <c r="CD310" s="62"/>
      <c r="CE310" s="62"/>
      <c r="CF310" s="62"/>
      <c r="CG310" s="62"/>
      <c r="CH310" s="62"/>
      <c r="CI310" s="62"/>
      <c r="CJ310" s="62"/>
      <c r="CK310" s="62"/>
      <c r="CL310" s="62"/>
      <c r="CM310" s="62"/>
      <c r="CN310" s="62"/>
      <c r="CO310" s="62"/>
      <c r="CP310" s="62"/>
      <c r="CQ310" s="62"/>
      <c r="DJ310" s="62"/>
      <c r="DK310" s="62"/>
      <c r="DL310" s="62"/>
      <c r="DP310" s="62"/>
      <c r="DQ310" s="62"/>
      <c r="DR310" s="62"/>
      <c r="DS310" s="62"/>
      <c r="DT310" s="62"/>
      <c r="DU310" s="62"/>
      <c r="DV310" s="62"/>
    </row>
    <row r="311" spans="1:126" ht="14.25" customHeight="1" x14ac:dyDescent="0.2">
      <c r="A311" s="54"/>
      <c r="B311" s="366" t="s">
        <v>395</v>
      </c>
      <c r="C311" s="367"/>
      <c r="D311" s="367"/>
      <c r="E311" s="367"/>
      <c r="F311" s="367"/>
      <c r="G311" s="367"/>
      <c r="H311" s="367"/>
      <c r="I311" s="367"/>
      <c r="J311" s="367"/>
      <c r="K311" s="367"/>
      <c r="L311" s="367"/>
      <c r="M311" s="367"/>
      <c r="N311" s="367"/>
      <c r="O311" s="368">
        <f>IF(D307="Diseño estático",INDEX($M$385:$M$389,MATCH(AA311,$Y$385:$Y$389,0),1),
   IF(D307="Diseño sísmico", ,
   IF(D307="Diseño dinámico a fatiga/impacto", ,
   IF(D307="Diseño a largo plazo (cargas permanentes)", ,
   IF(D307="Diseño a prueba de fuego", ,
)))))</f>
        <v>0</v>
      </c>
      <c r="P311" s="368"/>
      <c r="Q311" s="368"/>
      <c r="R311" s="368"/>
      <c r="S311" s="368"/>
      <c r="T311" s="368"/>
      <c r="U311" s="368">
        <f>IF(D307="Diseño estático",INDEX($S$385:$S$389,MATCH(AA311,$Y$385:$Y$389,0),1),
   IF(D307="Diseño sísmico", ,
   IF(D307="Diseño dinámico a fatiga/impacto", ,
   IF(D307="Diseño a largo plazo (cargas permanentes)", ,
   IF(D307="Diseño a prueba de fuego", ,
)))))</f>
        <v>0</v>
      </c>
      <c r="V311" s="368"/>
      <c r="W311" s="368"/>
      <c r="X311" s="368"/>
      <c r="Y311" s="368"/>
      <c r="Z311" s="368"/>
      <c r="AA311" s="369">
        <f>IF(D307="Diseño estático",MAX($Y$385:$AE$389),
   IF(D307="Diseño sísmico", ,
   IF(D307="Diseño dinámico a fatiga/impacto", ,
   IF(D307="Diseño a largo plazo (cargas permanentes)", ,
   IF(D307="Diseño a prueba de fuego", ,
)))))</f>
        <v>0</v>
      </c>
      <c r="AB311" s="369"/>
      <c r="AC311" s="369"/>
      <c r="AD311" s="369"/>
      <c r="AE311" s="369"/>
      <c r="AF311" s="360" t="str">
        <f>IFERROR(IF(AA311&lt;=100,"OK","N/A"),"-")</f>
        <v>OK</v>
      </c>
      <c r="AG311" s="361"/>
      <c r="AH311" s="361"/>
      <c r="AI311" s="361"/>
      <c r="AY311" s="62"/>
      <c r="AZ311" s="62"/>
      <c r="BA311" s="62"/>
      <c r="BC311" s="63"/>
      <c r="BD311" s="63"/>
      <c r="BF311" s="63"/>
      <c r="BG311" s="63"/>
      <c r="BH311" s="63"/>
      <c r="BI311" s="63"/>
      <c r="BJ311" s="63"/>
      <c r="BK311" s="63"/>
      <c r="BL311" s="63"/>
      <c r="BM311" s="63"/>
      <c r="BN311" s="63"/>
      <c r="BO311" s="63"/>
      <c r="BP311" s="63"/>
      <c r="BR311" s="63"/>
      <c r="BS311" s="63"/>
      <c r="BT311" s="63"/>
      <c r="BU311" s="63"/>
      <c r="BV311" s="63"/>
      <c r="BW311" s="63"/>
      <c r="BX311" s="63"/>
      <c r="BY311" s="63"/>
      <c r="BZ311" s="63"/>
      <c r="CB311" s="62"/>
      <c r="CC311" s="62"/>
      <c r="CD311" s="62"/>
      <c r="CE311" s="62"/>
      <c r="CF311" s="62"/>
      <c r="CG311" s="62"/>
      <c r="CH311" s="62"/>
      <c r="CI311" s="62"/>
      <c r="CJ311" s="62"/>
      <c r="CK311" s="62"/>
      <c r="CL311" s="62"/>
      <c r="CM311" s="62"/>
      <c r="CN311" s="62"/>
      <c r="CO311" s="62"/>
      <c r="CP311" s="62"/>
      <c r="CQ311" s="63"/>
      <c r="DJ311" s="62"/>
      <c r="DK311" s="62"/>
      <c r="DL311" s="62"/>
      <c r="DP311" s="63"/>
      <c r="DQ311" s="63"/>
      <c r="DR311" s="63"/>
      <c r="DS311" s="63"/>
      <c r="DT311" s="63"/>
      <c r="DU311" s="63"/>
      <c r="DV311" s="63"/>
    </row>
    <row r="312" spans="1:126" ht="12.75" customHeight="1" x14ac:dyDescent="0.2">
      <c r="A312" s="54"/>
      <c r="B312" s="296" t="s">
        <v>600</v>
      </c>
      <c r="C312" s="354"/>
      <c r="D312" s="354"/>
      <c r="E312" s="354"/>
      <c r="F312" s="354"/>
      <c r="G312" s="354"/>
      <c r="H312" s="354"/>
      <c r="I312" s="354"/>
      <c r="J312" s="354"/>
      <c r="K312" s="354"/>
      <c r="L312" s="354"/>
      <c r="M312" s="354"/>
      <c r="N312" s="354"/>
      <c r="O312" s="355">
        <f>IF(D307="Diseño estático",INDEX($M$522:$M$525,MATCH(AA312,$Y$522:$Y$525,0),1),
   IF(D307="Diseño sísmico", ,
   IF(D307="Diseño dinámico a fatiga/impacto", ,
   IF(D307="Diseño a largo plazo (cargas permanentes)", ,
   IF(D307="Diseño a prueba de fuego", ,
)))))</f>
        <v>0</v>
      </c>
      <c r="P312" s="355"/>
      <c r="Q312" s="355"/>
      <c r="R312" s="355"/>
      <c r="S312" s="355"/>
      <c r="T312" s="355"/>
      <c r="U312" s="355">
        <f>IF(D307="Diseño estático",INDEX($S$522:$S$525,MATCH(AA312,$Y$522:$Y$525,0),1),
   IF(D307="Diseño sísmico", ,
   IF(D307="Diseño dinámico a fatiga/impacto", ,
   IF(D307="Diseño a largo plazo (cargas permanentes)", ,
   IF(D307="Diseño a prueba de fuego", ,
)))))</f>
        <v>0</v>
      </c>
      <c r="V312" s="355"/>
      <c r="W312" s="355"/>
      <c r="X312" s="355"/>
      <c r="Y312" s="355"/>
      <c r="Z312" s="355"/>
      <c r="AA312" s="356">
        <f>IF(D307="Diseño estático",MAX($Y$522:$AE$525),
   IF(D307="Diseño sísmico", ,
   IF(D307="Diseño dinámico a fatiga/impacto", ,
   IF(D307="Diseño a largo plazo (cargas permanentes)", ,
   IF(D307="Diseño a prueba de fuego", ,
)))))</f>
        <v>0</v>
      </c>
      <c r="AB312" s="356"/>
      <c r="AC312" s="356"/>
      <c r="AD312" s="356"/>
      <c r="AE312" s="356"/>
      <c r="AF312" s="357" t="str">
        <f>IFERROR(IF(AA312&lt;=100,"OK","N/A"),"-")</f>
        <v>OK</v>
      </c>
      <c r="AG312" s="358"/>
      <c r="AH312" s="358"/>
      <c r="AI312" s="358"/>
      <c r="AY312" s="62"/>
      <c r="AZ312" s="62"/>
      <c r="BA312" s="62"/>
      <c r="CB312" s="62"/>
      <c r="CC312" s="62"/>
      <c r="CD312" s="62"/>
      <c r="CE312" s="62"/>
      <c r="CF312" s="62"/>
      <c r="CG312" s="62"/>
      <c r="CH312" s="62"/>
      <c r="CI312" s="62"/>
      <c r="CJ312" s="62"/>
      <c r="CK312" s="62"/>
      <c r="CL312" s="62"/>
      <c r="CM312" s="62"/>
      <c r="CN312" s="62"/>
      <c r="CO312" s="62"/>
      <c r="CP312" s="62"/>
      <c r="DJ312" s="62"/>
      <c r="DK312" s="62"/>
      <c r="DL312" s="62"/>
    </row>
    <row r="313" spans="1:126" ht="14.25" customHeight="1" x14ac:dyDescent="0.2">
      <c r="A313" s="54"/>
      <c r="B313" s="296" t="s">
        <v>601</v>
      </c>
      <c r="C313" s="296"/>
      <c r="D313" s="296"/>
      <c r="E313" s="296"/>
      <c r="F313" s="296"/>
      <c r="G313" s="296"/>
      <c r="H313" s="296"/>
      <c r="I313" s="296"/>
      <c r="J313" s="296"/>
      <c r="K313" s="296"/>
      <c r="L313" s="296"/>
      <c r="M313" s="296"/>
      <c r="N313" s="296"/>
      <c r="O313" s="296" t="s">
        <v>2</v>
      </c>
      <c r="P313" s="296"/>
      <c r="Q313" s="296"/>
      <c r="R313" s="296"/>
      <c r="S313" s="296"/>
      <c r="T313" s="296"/>
      <c r="U313" s="296" t="s">
        <v>2</v>
      </c>
      <c r="V313" s="296"/>
      <c r="W313" s="296"/>
      <c r="X313" s="296"/>
      <c r="Y313" s="296"/>
      <c r="Z313" s="296"/>
      <c r="AA313" s="356">
        <f>IF(D307="Diseño estático",$B$647,
   IF(D307="Diseño sísmico", ,
   IF(D307="Diseño dinámico a fatiga/impacto", ,
   IF(D307="Diseño a largo plazo (cargas permanentes)", ,
   IF(D307="Diseño a prueba de fuego", ,
)))))</f>
        <v>0</v>
      </c>
      <c r="AB313" s="356"/>
      <c r="AC313" s="356"/>
      <c r="AD313" s="356"/>
      <c r="AE313" s="356"/>
      <c r="AF313" s="357" t="str">
        <f>IFERROR(IF(AA313&lt;=100,"OK","N/A"),"-")</f>
        <v>OK</v>
      </c>
      <c r="AG313" s="358"/>
      <c r="AH313" s="358"/>
      <c r="AI313" s="358"/>
      <c r="AY313" s="62"/>
      <c r="AZ313" s="62"/>
      <c r="BA313" s="62"/>
      <c r="CB313" s="62"/>
      <c r="CC313" s="62"/>
      <c r="CD313" s="62"/>
      <c r="CE313" s="62"/>
      <c r="CF313" s="62"/>
      <c r="CI313" s="62"/>
      <c r="DJ313" s="62"/>
      <c r="DK313" s="62"/>
      <c r="DL313" s="62"/>
    </row>
    <row r="314" spans="1:126" ht="14.25" customHeight="1" x14ac:dyDescent="0.2">
      <c r="A314" s="54"/>
      <c r="B314" s="359"/>
      <c r="C314" s="359"/>
      <c r="D314" s="359"/>
      <c r="E314" s="359"/>
      <c r="F314" s="359"/>
      <c r="G314" s="359"/>
      <c r="H314" s="359"/>
      <c r="I314" s="359"/>
      <c r="J314" s="359"/>
      <c r="K314" s="359"/>
      <c r="L314" s="359"/>
      <c r="M314" s="359"/>
      <c r="N314" s="359"/>
      <c r="O314" s="359"/>
      <c r="P314" s="359"/>
      <c r="Q314" s="359"/>
      <c r="R314" s="359"/>
      <c r="S314" s="359"/>
      <c r="T314" s="359"/>
      <c r="U314" s="359"/>
      <c r="V314" s="359"/>
      <c r="W314" s="359"/>
      <c r="X314" s="359"/>
      <c r="Y314" s="359"/>
      <c r="Z314" s="359"/>
      <c r="AA314" s="359"/>
      <c r="AB314" s="359"/>
      <c r="AC314" s="359"/>
      <c r="AD314" s="359"/>
      <c r="AE314" s="359"/>
      <c r="AF314" s="359"/>
      <c r="AG314" s="359"/>
      <c r="AH314" s="359"/>
      <c r="AI314" s="359"/>
      <c r="AY314" s="62"/>
      <c r="AZ314" s="62"/>
      <c r="BA314" s="62"/>
      <c r="CI314" s="62"/>
      <c r="DJ314" s="62"/>
      <c r="DK314" s="62"/>
      <c r="DL314" s="62"/>
    </row>
    <row r="315" spans="1:126" ht="12.75" customHeight="1" x14ac:dyDescent="0.2">
      <c r="A315" s="54"/>
      <c r="B315" s="54"/>
      <c r="C315" s="54"/>
      <c r="D315" s="73"/>
      <c r="E315" s="74"/>
      <c r="F315" s="74"/>
      <c r="G315" s="74"/>
      <c r="H315" s="74"/>
      <c r="I315" s="74"/>
      <c r="J315" s="74"/>
      <c r="K315" s="74"/>
      <c r="L315" s="74"/>
      <c r="M315" s="74"/>
      <c r="N315" s="74"/>
      <c r="O315" s="74"/>
      <c r="P315" s="74"/>
      <c r="Q315" s="74"/>
      <c r="R315" s="74"/>
      <c r="S315" s="74"/>
      <c r="T315" s="74"/>
      <c r="U315" s="74"/>
      <c r="V315" s="74"/>
      <c r="W315" s="74"/>
      <c r="X315" s="74"/>
      <c r="Y315" s="74"/>
      <c r="Z315" s="74"/>
      <c r="AA315" s="74"/>
      <c r="AB315" s="74"/>
      <c r="AC315" s="74"/>
      <c r="AD315" s="74"/>
      <c r="AE315" s="74"/>
      <c r="AF315" s="74"/>
      <c r="AG315" s="74"/>
      <c r="AH315" s="74"/>
      <c r="AI315" s="74"/>
      <c r="AJ315" s="91"/>
      <c r="AK315" s="182"/>
      <c r="AY315" s="62"/>
      <c r="AZ315" s="62"/>
      <c r="BA315" s="62"/>
      <c r="CI315" s="62"/>
      <c r="DJ315" s="62"/>
      <c r="DK315" s="62"/>
      <c r="DL315" s="62"/>
    </row>
    <row r="316" spans="1:126" ht="12.75" customHeight="1" x14ac:dyDescent="0.2">
      <c r="A316" s="54"/>
      <c r="B316" s="54"/>
      <c r="C316" s="54"/>
      <c r="D316" s="142"/>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91"/>
      <c r="AK316" s="182"/>
      <c r="AY316" s="62"/>
      <c r="AZ316" s="62"/>
      <c r="BA316" s="62"/>
      <c r="CI316" s="62"/>
      <c r="DJ316" s="62"/>
      <c r="DK316" s="62"/>
      <c r="DL316" s="62"/>
    </row>
    <row r="317" spans="1:126" ht="14.25" customHeight="1" x14ac:dyDescent="0.2">
      <c r="A317" s="54"/>
      <c r="B317" s="54"/>
      <c r="C317" s="70" t="str">
        <f>IF(D317="","","C.")</f>
        <v>C.</v>
      </c>
      <c r="D317" s="378" t="s">
        <v>939</v>
      </c>
      <c r="E317" s="379"/>
      <c r="F317" s="379"/>
      <c r="G317" s="379"/>
      <c r="H317" s="379"/>
      <c r="I317" s="379"/>
      <c r="J317" s="379"/>
      <c r="K317" s="379"/>
      <c r="L317" s="379"/>
      <c r="M317" s="379"/>
      <c r="N317" s="379"/>
      <c r="O317" s="379"/>
      <c r="P317" s="379"/>
      <c r="Q317" s="379"/>
      <c r="R317" s="379"/>
      <c r="S317" s="379"/>
      <c r="T317" s="379"/>
      <c r="U317" s="379"/>
      <c r="V317" s="379"/>
      <c r="W317" s="379"/>
      <c r="X317" s="379"/>
      <c r="Y317" s="379"/>
      <c r="Z317" s="379"/>
      <c r="AA317" s="379"/>
      <c r="AB317" s="379"/>
      <c r="AC317" s="379"/>
      <c r="AD317" s="379"/>
      <c r="AE317" s="379"/>
      <c r="AF317" s="379"/>
      <c r="AG317" s="379"/>
      <c r="AH317" s="379"/>
      <c r="AI317" s="379"/>
      <c r="AJ317" s="379"/>
      <c r="AK317" s="146"/>
    </row>
    <row r="318" spans="1:126" x14ac:dyDescent="0.2">
      <c r="A318" s="56"/>
      <c r="B318" s="54"/>
      <c r="C318" s="54"/>
      <c r="D318" s="54"/>
      <c r="F318" s="54"/>
      <c r="G318" s="54"/>
      <c r="H318" s="54"/>
      <c r="I318" s="54"/>
      <c r="J318" s="54"/>
      <c r="K318" s="54"/>
      <c r="L318" s="54"/>
      <c r="M318" s="54"/>
      <c r="N318" s="54"/>
      <c r="O318" s="54"/>
      <c r="P318" s="54"/>
      <c r="Q318" s="54"/>
      <c r="R318" s="54"/>
      <c r="S318" s="54"/>
      <c r="T318" s="54"/>
      <c r="U318" s="54"/>
      <c r="V318" s="54"/>
      <c r="W318" s="54"/>
      <c r="X318" s="54"/>
      <c r="Y318" s="54"/>
      <c r="Z318" s="54"/>
    </row>
    <row r="319" spans="1:126" ht="14.25" customHeight="1" thickBot="1" x14ac:dyDescent="0.25">
      <c r="A319" s="54"/>
      <c r="B319" s="362"/>
      <c r="C319" s="362"/>
      <c r="D319" s="362"/>
      <c r="E319" s="362"/>
      <c r="F319" s="362"/>
      <c r="G319" s="362"/>
      <c r="H319" s="362"/>
      <c r="I319" s="362"/>
      <c r="J319" s="362"/>
      <c r="K319" s="362"/>
      <c r="L319" s="362"/>
      <c r="M319" s="362"/>
      <c r="N319" s="362"/>
      <c r="O319" s="364" t="s">
        <v>865</v>
      </c>
      <c r="P319" s="364"/>
      <c r="Q319" s="364"/>
      <c r="R319" s="364"/>
      <c r="S319" s="364"/>
      <c r="T319" s="364"/>
      <c r="U319" s="364" t="s">
        <v>866</v>
      </c>
      <c r="V319" s="364"/>
      <c r="W319" s="364"/>
      <c r="X319" s="364"/>
      <c r="Y319" s="364"/>
      <c r="Z319" s="364"/>
      <c r="AA319" s="364" t="s">
        <v>387</v>
      </c>
      <c r="AB319" s="364"/>
      <c r="AC319" s="364"/>
      <c r="AD319" s="364"/>
      <c r="AE319" s="364"/>
      <c r="AF319" s="364" t="s">
        <v>850</v>
      </c>
      <c r="AG319" s="364"/>
      <c r="AH319" s="364"/>
      <c r="AI319" s="364"/>
      <c r="AJ319" s="91"/>
      <c r="AK319" s="182"/>
      <c r="AY319" s="62"/>
      <c r="AZ319" s="62"/>
      <c r="BA319" s="62"/>
      <c r="BB319" s="63"/>
      <c r="BE319" s="63"/>
      <c r="BQ319" s="63"/>
      <c r="CI319" s="62"/>
      <c r="CJ319" s="63"/>
      <c r="DJ319" s="62"/>
      <c r="DK319" s="62"/>
      <c r="DL319" s="62"/>
      <c r="DM319" s="63"/>
      <c r="DN319" s="63"/>
      <c r="DO319" s="63"/>
    </row>
    <row r="320" spans="1:126" ht="15" thickBot="1" x14ac:dyDescent="0.25">
      <c r="A320" s="54"/>
      <c r="B320" s="363"/>
      <c r="C320" s="363"/>
      <c r="D320" s="363"/>
      <c r="E320" s="363"/>
      <c r="F320" s="363"/>
      <c r="G320" s="363"/>
      <c r="H320" s="363"/>
      <c r="I320" s="363"/>
      <c r="J320" s="363"/>
      <c r="K320" s="363"/>
      <c r="L320" s="363"/>
      <c r="M320" s="363"/>
      <c r="N320" s="363"/>
      <c r="O320" s="365"/>
      <c r="P320" s="365"/>
      <c r="Q320" s="365"/>
      <c r="R320" s="365"/>
      <c r="S320" s="365"/>
      <c r="T320" s="365"/>
      <c r="U320" s="365"/>
      <c r="V320" s="365"/>
      <c r="W320" s="365"/>
      <c r="X320" s="365"/>
      <c r="Y320" s="365"/>
      <c r="Z320" s="365"/>
      <c r="AA320" s="365"/>
      <c r="AB320" s="365"/>
      <c r="AC320" s="365"/>
      <c r="AD320" s="365"/>
      <c r="AE320" s="365"/>
      <c r="AF320" s="365"/>
      <c r="AG320" s="365"/>
      <c r="AH320" s="365"/>
      <c r="AI320" s="365"/>
      <c r="AJ320" s="91"/>
      <c r="AK320" s="182"/>
      <c r="AY320" s="62"/>
      <c r="AZ320" s="62"/>
      <c r="BA320" s="62"/>
      <c r="BC320" s="62"/>
      <c r="BD320" s="62"/>
      <c r="BF320" s="62"/>
      <c r="BG320" s="62"/>
      <c r="BH320" s="62"/>
      <c r="BI320" s="62"/>
      <c r="BJ320" s="62"/>
      <c r="BK320" s="62"/>
      <c r="BL320" s="62"/>
      <c r="BM320" s="62"/>
      <c r="BN320" s="62"/>
      <c r="BO320" s="62"/>
      <c r="BP320" s="62"/>
      <c r="BR320" s="62"/>
      <c r="BS320" s="62"/>
      <c r="BT320" s="62"/>
      <c r="BU320" s="62"/>
      <c r="BV320" s="62"/>
      <c r="BW320" s="62"/>
      <c r="BX320" s="62"/>
      <c r="BY320" s="62"/>
      <c r="BZ320" s="62"/>
      <c r="CI320" s="62"/>
      <c r="CK320" s="62"/>
      <c r="CL320" s="62"/>
      <c r="CM320" s="62"/>
      <c r="CN320" s="62"/>
      <c r="CO320" s="62"/>
      <c r="CP320" s="62"/>
      <c r="CQ320" s="62"/>
      <c r="DJ320" s="62"/>
      <c r="DK320" s="62"/>
      <c r="DL320" s="62"/>
      <c r="DP320" s="62"/>
      <c r="DQ320" s="62"/>
      <c r="DR320" s="62"/>
      <c r="DS320" s="62"/>
      <c r="DT320" s="62"/>
      <c r="DU320" s="62"/>
      <c r="DV320" s="62"/>
    </row>
    <row r="321" spans="1:126" ht="14.25" customHeight="1" x14ac:dyDescent="0.2">
      <c r="A321" s="54"/>
      <c r="B321" s="366" t="s">
        <v>395</v>
      </c>
      <c r="C321" s="367"/>
      <c r="D321" s="367"/>
      <c r="E321" s="367"/>
      <c r="F321" s="367"/>
      <c r="G321" s="367"/>
      <c r="H321" s="367"/>
      <c r="I321" s="367"/>
      <c r="J321" s="367"/>
      <c r="K321" s="367"/>
      <c r="L321" s="367"/>
      <c r="M321" s="367"/>
      <c r="N321" s="367"/>
      <c r="O321" s="368">
        <f>IF(D317="Diseño estático",INDEX($M$385:$M$389,MATCH(AA321,$Y$385:$Y$389,0),1),
   IF(D317="Diseño sísmico", ,
   IF(D317="Diseño dinámico a fatiga/impacto", ,
   IF(D317="Diseño a largo plazo (cargas permanentes)", ,
   IF(D317="Diseño a prueba de fuego", ,
)))))</f>
        <v>0</v>
      </c>
      <c r="P321" s="368"/>
      <c r="Q321" s="368"/>
      <c r="R321" s="368"/>
      <c r="S321" s="368"/>
      <c r="T321" s="368"/>
      <c r="U321" s="368">
        <f>IF(D317="Diseño estático",INDEX($S$385:$S$389,MATCH(AA321,$Y$385:$Y$389,0),1),
   IF(D317="Diseño sísmico", ,
   IF(D317="Diseño dinámico a fatiga/impacto", ,
   IF(D317="Diseño a largo plazo (cargas permanentes)", ,
   IF(D317="Diseño a prueba de fuego", ,
)))))</f>
        <v>0</v>
      </c>
      <c r="V321" s="368"/>
      <c r="W321" s="368"/>
      <c r="X321" s="368"/>
      <c r="Y321" s="368"/>
      <c r="Z321" s="368"/>
      <c r="AA321" s="369">
        <f>IF(D317="Diseño estático",MAX($Y$385:$AE$389),
   IF(D317="Diseño sísmico", ,
   IF(D317="Diseño dinámico a fatiga/impacto", ,
   IF(D317="Diseño a largo plazo (cargas permanentes)", ,
   IF(D317="Diseño a prueba de fuego", ,
)))))</f>
        <v>0</v>
      </c>
      <c r="AB321" s="369"/>
      <c r="AC321" s="369"/>
      <c r="AD321" s="369"/>
      <c r="AE321" s="369"/>
      <c r="AF321" s="360" t="str">
        <f>IFERROR(IF(AA321&lt;=100,"OK","N/A"),"-")</f>
        <v>OK</v>
      </c>
      <c r="AG321" s="361"/>
      <c r="AH321" s="361"/>
      <c r="AI321" s="361"/>
      <c r="AY321" s="62"/>
      <c r="AZ321" s="62"/>
      <c r="BA321" s="62"/>
      <c r="BC321" s="63"/>
      <c r="BD321" s="63"/>
      <c r="BF321" s="63"/>
      <c r="BG321" s="63"/>
      <c r="BH321" s="63"/>
      <c r="BI321" s="63"/>
      <c r="BJ321" s="63"/>
      <c r="BK321" s="63"/>
      <c r="BL321" s="63"/>
      <c r="BM321" s="63"/>
      <c r="BN321" s="63"/>
      <c r="BO321" s="63"/>
      <c r="BP321" s="63"/>
      <c r="BR321" s="63"/>
      <c r="BS321" s="63"/>
      <c r="BT321" s="63"/>
      <c r="BU321" s="63"/>
      <c r="BV321" s="63"/>
      <c r="BW321" s="63"/>
      <c r="BX321" s="63"/>
      <c r="BY321" s="63"/>
      <c r="BZ321" s="63"/>
      <c r="CI321" s="62"/>
      <c r="CK321" s="63"/>
      <c r="CL321" s="63"/>
      <c r="CM321" s="63"/>
      <c r="CN321" s="63"/>
      <c r="CO321" s="63"/>
      <c r="CP321" s="63"/>
      <c r="CQ321" s="63"/>
      <c r="DJ321" s="62"/>
      <c r="DK321" s="62"/>
      <c r="DL321" s="62"/>
      <c r="DP321" s="63"/>
      <c r="DQ321" s="63"/>
      <c r="DR321" s="63"/>
      <c r="DS321" s="63"/>
      <c r="DT321" s="63"/>
      <c r="DU321" s="63"/>
      <c r="DV321" s="63"/>
    </row>
    <row r="322" spans="1:126" ht="12.75" customHeight="1" x14ac:dyDescent="0.2">
      <c r="A322" s="54"/>
      <c r="B322" s="296" t="s">
        <v>600</v>
      </c>
      <c r="C322" s="354"/>
      <c r="D322" s="354"/>
      <c r="E322" s="354"/>
      <c r="F322" s="354"/>
      <c r="G322" s="354"/>
      <c r="H322" s="354"/>
      <c r="I322" s="354"/>
      <c r="J322" s="354"/>
      <c r="K322" s="354"/>
      <c r="L322" s="354"/>
      <c r="M322" s="354"/>
      <c r="N322" s="354"/>
      <c r="O322" s="355">
        <f>IF(D317="Diseño estático",INDEX($M$522:$M$525,MATCH(AA322,$Y$522:$Y$525,0),1),
   IF(D317="Diseño sísmico", ,
   IF(D317="Diseño dinámico a fatiga/impacto", ,
   IF(D317="Diseño a largo plazo (cargas permanentes)", ,
   IF(D317="Diseño a prueba de fuego", ,
)))))</f>
        <v>0</v>
      </c>
      <c r="P322" s="355"/>
      <c r="Q322" s="355"/>
      <c r="R322" s="355"/>
      <c r="S322" s="355"/>
      <c r="T322" s="355"/>
      <c r="U322" s="355">
        <f>IF(D317="Diseño estático",INDEX($S$522:$S$525,MATCH(AA322,$Y$522:$Y$525,0),1),
   IF(D317="Diseño sísmico", ,
   IF(D317="Diseño dinámico a fatiga/impacto", ,
   IF(D317="Diseño a largo plazo (cargas permanentes)", ,
   IF(D317="Diseño a prueba de fuego", ,
)))))</f>
        <v>0</v>
      </c>
      <c r="V322" s="355"/>
      <c r="W322" s="355"/>
      <c r="X322" s="355"/>
      <c r="Y322" s="355"/>
      <c r="Z322" s="355"/>
      <c r="AA322" s="356">
        <f>IF(D317="Diseño estático",MAX($Y$522:$AE$525),
   IF(D317="Diseño sísmico", ,
   IF(D317="Diseño dinámico a fatiga/impacto", ,
   IF(D317="Diseño a largo plazo (cargas permanentes)", ,
   IF(D317="Diseño a prueba de fuego", ,
)))))</f>
        <v>0</v>
      </c>
      <c r="AB322" s="356"/>
      <c r="AC322" s="356"/>
      <c r="AD322" s="356"/>
      <c r="AE322" s="356"/>
      <c r="AF322" s="357" t="str">
        <f>IFERROR(IF(AA322&lt;=100,"OK","N/A"),"-")</f>
        <v>OK</v>
      </c>
      <c r="AG322" s="358"/>
      <c r="AH322" s="358"/>
      <c r="AI322" s="358"/>
      <c r="AY322" s="62"/>
      <c r="AZ322" s="62"/>
      <c r="BA322" s="62"/>
      <c r="CI322" s="62"/>
      <c r="DJ322" s="62"/>
      <c r="DK322" s="62"/>
      <c r="DL322" s="62"/>
    </row>
    <row r="323" spans="1:126" ht="14.25" customHeight="1" x14ac:dyDescent="0.2">
      <c r="A323" s="54"/>
      <c r="B323" s="296" t="s">
        <v>601</v>
      </c>
      <c r="C323" s="296"/>
      <c r="D323" s="296"/>
      <c r="E323" s="296"/>
      <c r="F323" s="296"/>
      <c r="G323" s="296"/>
      <c r="H323" s="296"/>
      <c r="I323" s="296"/>
      <c r="J323" s="296"/>
      <c r="K323" s="296"/>
      <c r="L323" s="296"/>
      <c r="M323" s="296"/>
      <c r="N323" s="296"/>
      <c r="O323" s="296" t="s">
        <v>2</v>
      </c>
      <c r="P323" s="296"/>
      <c r="Q323" s="296"/>
      <c r="R323" s="296"/>
      <c r="S323" s="296"/>
      <c r="T323" s="296"/>
      <c r="U323" s="296" t="s">
        <v>2</v>
      </c>
      <c r="V323" s="296"/>
      <c r="W323" s="296"/>
      <c r="X323" s="296"/>
      <c r="Y323" s="296"/>
      <c r="Z323" s="296"/>
      <c r="AA323" s="356">
        <f>IF(D317="Diseño estático",$B$647,
   IF(D317="Diseño sísmico", ,
   IF(D317="Diseño dinámico a fatiga/impacto", ,
   IF(D317="Diseño a largo plazo (cargas permanentes)", ,
   IF(D317="Diseño a prueba de fuego", ,
)))))</f>
        <v>0</v>
      </c>
      <c r="AB323" s="356"/>
      <c r="AC323" s="356"/>
      <c r="AD323" s="356"/>
      <c r="AE323" s="356"/>
      <c r="AF323" s="357" t="str">
        <f>IFERROR(IF(AA323&lt;=100,"OK","N/A"),"-")</f>
        <v>OK</v>
      </c>
      <c r="AG323" s="358"/>
      <c r="AH323" s="358"/>
      <c r="AI323" s="358"/>
      <c r="AY323" s="62"/>
      <c r="AZ323" s="62"/>
      <c r="BA323" s="62"/>
      <c r="CI323" s="62"/>
      <c r="DJ323" s="62"/>
      <c r="DK323" s="62"/>
      <c r="DL323" s="62"/>
    </row>
    <row r="324" spans="1:126" ht="14.25" customHeight="1" x14ac:dyDescent="0.2">
      <c r="A324" s="54"/>
      <c r="B324" s="359"/>
      <c r="C324" s="359"/>
      <c r="D324" s="359"/>
      <c r="E324" s="359"/>
      <c r="F324" s="359"/>
      <c r="G324" s="359"/>
      <c r="H324" s="359"/>
      <c r="I324" s="359"/>
      <c r="J324" s="359"/>
      <c r="K324" s="359"/>
      <c r="L324" s="359"/>
      <c r="M324" s="359"/>
      <c r="N324" s="359"/>
      <c r="O324" s="359"/>
      <c r="P324" s="359"/>
      <c r="Q324" s="359"/>
      <c r="R324" s="359"/>
      <c r="S324" s="359"/>
      <c r="T324" s="359"/>
      <c r="U324" s="359"/>
      <c r="V324" s="359"/>
      <c r="W324" s="359"/>
      <c r="X324" s="359"/>
      <c r="Y324" s="359"/>
      <c r="Z324" s="359"/>
      <c r="AA324" s="359"/>
      <c r="AB324" s="359"/>
      <c r="AC324" s="359"/>
      <c r="AD324" s="359"/>
      <c r="AE324" s="359"/>
      <c r="AF324" s="359"/>
      <c r="AG324" s="359"/>
      <c r="AH324" s="359"/>
      <c r="AI324" s="359"/>
      <c r="AY324" s="62"/>
      <c r="AZ324" s="62"/>
      <c r="BA324" s="62"/>
      <c r="CI324" s="62"/>
      <c r="DJ324" s="62"/>
      <c r="DK324" s="62"/>
      <c r="DL324" s="62"/>
    </row>
    <row r="325" spans="1:126" ht="12.75" customHeight="1" x14ac:dyDescent="0.2">
      <c r="A325" s="54"/>
      <c r="B325" s="54"/>
      <c r="C325" s="54"/>
      <c r="D325" s="73"/>
      <c r="E325" s="74"/>
      <c r="F325" s="74"/>
      <c r="G325" s="74"/>
      <c r="H325" s="74"/>
      <c r="I325" s="74"/>
      <c r="J325" s="74"/>
      <c r="K325" s="74"/>
      <c r="L325" s="74"/>
      <c r="M325" s="74"/>
      <c r="N325" s="74"/>
      <c r="O325" s="74"/>
      <c r="P325" s="74"/>
      <c r="Q325" s="74"/>
      <c r="R325" s="74"/>
      <c r="S325" s="74"/>
      <c r="T325" s="74"/>
      <c r="U325" s="74"/>
      <c r="V325" s="74"/>
      <c r="W325" s="74"/>
      <c r="X325" s="74"/>
      <c r="Y325" s="74"/>
      <c r="Z325" s="74"/>
      <c r="AA325" s="74"/>
      <c r="AB325" s="74"/>
      <c r="AC325" s="74"/>
      <c r="AD325" s="74"/>
      <c r="AE325" s="74"/>
      <c r="AF325" s="74"/>
      <c r="AG325" s="74"/>
      <c r="AH325" s="74"/>
      <c r="AI325" s="74"/>
      <c r="AJ325" s="91"/>
      <c r="AK325" s="182"/>
      <c r="AY325" s="62"/>
      <c r="AZ325" s="62"/>
      <c r="BA325" s="62"/>
      <c r="CI325" s="62"/>
      <c r="DJ325" s="62"/>
      <c r="DK325" s="62"/>
      <c r="DL325" s="62"/>
    </row>
    <row r="326" spans="1:126" ht="12.75" customHeight="1" x14ac:dyDescent="0.2">
      <c r="A326" s="54"/>
      <c r="B326" s="54"/>
      <c r="C326" s="54"/>
      <c r="D326" s="142"/>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91"/>
      <c r="AK326" s="182"/>
      <c r="AY326" s="62"/>
      <c r="AZ326" s="62"/>
      <c r="BA326" s="62"/>
      <c r="CI326" s="62"/>
      <c r="DJ326" s="62"/>
      <c r="DK326" s="62"/>
      <c r="DL326" s="62"/>
    </row>
    <row r="327" spans="1:126" ht="14.25" customHeight="1" x14ac:dyDescent="0.2">
      <c r="A327" s="54"/>
      <c r="B327" s="54"/>
      <c r="C327" s="70" t="str">
        <f>IF(D327="","","D.")</f>
        <v>D.</v>
      </c>
      <c r="D327" s="379" t="s">
        <v>937</v>
      </c>
      <c r="E327" s="379"/>
      <c r="F327" s="379"/>
      <c r="G327" s="379"/>
      <c r="H327" s="379"/>
      <c r="I327" s="379"/>
      <c r="J327" s="379"/>
      <c r="K327" s="379"/>
      <c r="L327" s="379"/>
      <c r="M327" s="379"/>
      <c r="N327" s="379"/>
      <c r="O327" s="379"/>
      <c r="P327" s="379"/>
      <c r="Q327" s="379"/>
      <c r="R327" s="379"/>
      <c r="S327" s="379"/>
      <c r="T327" s="379"/>
      <c r="U327" s="379"/>
      <c r="V327" s="379"/>
      <c r="W327" s="379"/>
      <c r="X327" s="379"/>
      <c r="Y327" s="379"/>
      <c r="Z327" s="379"/>
      <c r="AA327" s="379"/>
      <c r="AB327" s="379"/>
      <c r="AC327" s="379"/>
      <c r="AD327" s="379"/>
      <c r="AE327" s="379"/>
      <c r="AF327" s="379"/>
      <c r="AG327" s="379"/>
      <c r="AH327" s="379"/>
      <c r="AI327" s="379"/>
      <c r="AJ327" s="379"/>
      <c r="AK327" s="146"/>
    </row>
    <row r="328" spans="1:126" x14ac:dyDescent="0.2">
      <c r="A328" s="56"/>
      <c r="B328" s="54"/>
      <c r="C328" s="54"/>
      <c r="D328" s="54"/>
      <c r="F328" s="54"/>
      <c r="G328" s="54"/>
      <c r="H328" s="54"/>
      <c r="I328" s="54"/>
      <c r="J328" s="54"/>
      <c r="K328" s="54"/>
      <c r="L328" s="54"/>
      <c r="M328" s="54"/>
      <c r="N328" s="54"/>
      <c r="O328" s="54"/>
      <c r="P328" s="54"/>
      <c r="Q328" s="54"/>
      <c r="R328" s="54"/>
      <c r="S328" s="54"/>
      <c r="T328" s="54"/>
      <c r="U328" s="54"/>
      <c r="V328" s="54"/>
      <c r="W328" s="54"/>
      <c r="X328" s="54"/>
      <c r="Y328" s="54"/>
      <c r="Z328" s="54"/>
    </row>
    <row r="329" spans="1:126" ht="14.25" customHeight="1" thickBot="1" x14ac:dyDescent="0.25">
      <c r="A329" s="54"/>
      <c r="B329" s="362"/>
      <c r="C329" s="362"/>
      <c r="D329" s="362"/>
      <c r="E329" s="362"/>
      <c r="F329" s="362"/>
      <c r="G329" s="362"/>
      <c r="H329" s="362"/>
      <c r="I329" s="362"/>
      <c r="J329" s="362"/>
      <c r="K329" s="362"/>
      <c r="L329" s="362"/>
      <c r="M329" s="362"/>
      <c r="N329" s="362"/>
      <c r="O329" s="364" t="s">
        <v>865</v>
      </c>
      <c r="P329" s="364"/>
      <c r="Q329" s="364"/>
      <c r="R329" s="364"/>
      <c r="S329" s="364"/>
      <c r="T329" s="364"/>
      <c r="U329" s="364" t="s">
        <v>866</v>
      </c>
      <c r="V329" s="364"/>
      <c r="W329" s="364"/>
      <c r="X329" s="364"/>
      <c r="Y329" s="364"/>
      <c r="Z329" s="364"/>
      <c r="AA329" s="364" t="s">
        <v>387</v>
      </c>
      <c r="AB329" s="364"/>
      <c r="AC329" s="364"/>
      <c r="AD329" s="364"/>
      <c r="AE329" s="364"/>
      <c r="AF329" s="364" t="s">
        <v>850</v>
      </c>
      <c r="AG329" s="364"/>
      <c r="AH329" s="364"/>
      <c r="AI329" s="364"/>
      <c r="AJ329" s="91"/>
      <c r="AK329" s="182"/>
      <c r="AY329" s="62"/>
      <c r="AZ329" s="62"/>
      <c r="BA329" s="62"/>
      <c r="BB329" s="63"/>
      <c r="BE329" s="63"/>
      <c r="BQ329" s="63"/>
      <c r="CI329" s="62"/>
      <c r="CJ329" s="63"/>
      <c r="DJ329" s="62"/>
      <c r="DK329" s="62"/>
      <c r="DL329" s="62"/>
      <c r="DM329" s="63"/>
      <c r="DN329" s="63"/>
      <c r="DO329" s="63"/>
    </row>
    <row r="330" spans="1:126" ht="15" thickBot="1" x14ac:dyDescent="0.25">
      <c r="A330" s="54"/>
      <c r="B330" s="363"/>
      <c r="C330" s="363"/>
      <c r="D330" s="363"/>
      <c r="E330" s="363"/>
      <c r="F330" s="363"/>
      <c r="G330" s="363"/>
      <c r="H330" s="363"/>
      <c r="I330" s="363"/>
      <c r="J330" s="363"/>
      <c r="K330" s="363"/>
      <c r="L330" s="363"/>
      <c r="M330" s="363"/>
      <c r="N330" s="363"/>
      <c r="O330" s="365"/>
      <c r="P330" s="365"/>
      <c r="Q330" s="365"/>
      <c r="R330" s="365"/>
      <c r="S330" s="365"/>
      <c r="T330" s="365"/>
      <c r="U330" s="365"/>
      <c r="V330" s="365"/>
      <c r="W330" s="365"/>
      <c r="X330" s="365"/>
      <c r="Y330" s="365"/>
      <c r="Z330" s="365"/>
      <c r="AA330" s="365"/>
      <c r="AB330" s="365"/>
      <c r="AC330" s="365"/>
      <c r="AD330" s="365"/>
      <c r="AE330" s="365"/>
      <c r="AF330" s="365"/>
      <c r="AG330" s="365"/>
      <c r="AH330" s="365"/>
      <c r="AI330" s="365"/>
      <c r="AJ330" s="91"/>
      <c r="AK330" s="182"/>
      <c r="AY330" s="62"/>
      <c r="AZ330" s="62"/>
      <c r="BA330" s="62"/>
      <c r="BC330" s="62"/>
      <c r="BD330" s="62"/>
      <c r="BF330" s="62"/>
      <c r="BG330" s="62"/>
      <c r="BH330" s="62"/>
      <c r="BI330" s="62"/>
      <c r="BJ330" s="62"/>
      <c r="BK330" s="62"/>
      <c r="BL330" s="62"/>
      <c r="BM330" s="62"/>
      <c r="BN330" s="62"/>
      <c r="BO330" s="62"/>
      <c r="BP330" s="62"/>
      <c r="BR330" s="62"/>
      <c r="BS330" s="62"/>
      <c r="BT330" s="62"/>
      <c r="BU330" s="62"/>
      <c r="BV330" s="62"/>
      <c r="BW330" s="62"/>
      <c r="BX330" s="62"/>
      <c r="BY330" s="62"/>
      <c r="BZ330" s="62"/>
      <c r="CI330" s="62"/>
      <c r="CK330" s="62"/>
      <c r="CL330" s="62"/>
      <c r="CM330" s="62"/>
      <c r="CN330" s="62"/>
      <c r="CO330" s="62"/>
      <c r="CP330" s="62"/>
      <c r="CQ330" s="62"/>
      <c r="DJ330" s="62"/>
      <c r="DK330" s="62"/>
      <c r="DL330" s="62"/>
      <c r="DP330" s="62"/>
      <c r="DQ330" s="62"/>
      <c r="DR330" s="62"/>
      <c r="DS330" s="62"/>
      <c r="DT330" s="62"/>
      <c r="DU330" s="62"/>
      <c r="DV330" s="62"/>
    </row>
    <row r="331" spans="1:126" ht="14.25" customHeight="1" x14ac:dyDescent="0.2">
      <c r="A331" s="54"/>
      <c r="B331" s="366" t="s">
        <v>395</v>
      </c>
      <c r="C331" s="367"/>
      <c r="D331" s="367"/>
      <c r="E331" s="367"/>
      <c r="F331" s="367"/>
      <c r="G331" s="367"/>
      <c r="H331" s="367"/>
      <c r="I331" s="367"/>
      <c r="J331" s="367"/>
      <c r="K331" s="367"/>
      <c r="L331" s="367"/>
      <c r="M331" s="367"/>
      <c r="N331" s="367"/>
      <c r="O331" s="368">
        <f>IF(D327="Diseño estático",INDEX($M$385:$M$389,MATCH(AA331,$Y$385:$Y$389,0),1),
   IF(D327="Diseño sísmico", ,
   IF(D327="Diseño dinámico a fatiga/impacto", ,
   IF(D327="Diseño a largo plazo (cargas permanentes)", ,
   IF(D327="Diseño a prueba de fuego", ,
)))))</f>
        <v>0</v>
      </c>
      <c r="P331" s="368"/>
      <c r="Q331" s="368"/>
      <c r="R331" s="368"/>
      <c r="S331" s="368"/>
      <c r="T331" s="368"/>
      <c r="U331" s="368">
        <f>IF(D327="Diseño estático",INDEX($S$385:$S$389,MATCH(AA331,$Y$385:$Y$389,0),1),
   IF(D327="Diseño sísmico", ,
   IF(D327="Diseño dinámico a fatiga/impacto", ,
   IF(D327="Diseño a largo plazo (cargas permanentes)", ,
   IF(D327="Diseño a prueba de fuego", ,
)))))</f>
        <v>0</v>
      </c>
      <c r="V331" s="368"/>
      <c r="W331" s="368"/>
      <c r="X331" s="368"/>
      <c r="Y331" s="368"/>
      <c r="Z331" s="368"/>
      <c r="AA331" s="369">
        <f>IF(D327="Diseño estático",MAX($Y$385:$AE$389),
   IF(D327="Diseño sísmico", ,
   IF(D327="Diseño dinámico a fatiga/impacto", ,
   IF(D327="Diseño a largo plazo (cargas permanentes)", ,
   IF(D327="Diseño a prueba de fuego", ,
)))))</f>
        <v>0</v>
      </c>
      <c r="AB331" s="369"/>
      <c r="AC331" s="369"/>
      <c r="AD331" s="369"/>
      <c r="AE331" s="369"/>
      <c r="AF331" s="360" t="str">
        <f>IFERROR(IF(AA331&lt;=100,"OK","N/A"),"-")</f>
        <v>OK</v>
      </c>
      <c r="AG331" s="361"/>
      <c r="AH331" s="361"/>
      <c r="AI331" s="361"/>
      <c r="AY331" s="62"/>
      <c r="AZ331" s="62"/>
      <c r="BA331" s="62"/>
      <c r="BC331" s="63"/>
      <c r="BD331" s="63"/>
      <c r="BF331" s="63"/>
      <c r="BG331" s="63"/>
      <c r="BH331" s="63"/>
      <c r="BI331" s="63"/>
      <c r="BJ331" s="63"/>
      <c r="BK331" s="63"/>
      <c r="BL331" s="63"/>
      <c r="BM331" s="63"/>
      <c r="BN331" s="63"/>
      <c r="BO331" s="63"/>
      <c r="BP331" s="63"/>
      <c r="BR331" s="63"/>
      <c r="BS331" s="63"/>
      <c r="BT331" s="63"/>
      <c r="BU331" s="63"/>
      <c r="BV331" s="63"/>
      <c r="BW331" s="63"/>
      <c r="BX331" s="63"/>
      <c r="BY331" s="63"/>
      <c r="BZ331" s="63"/>
      <c r="CI331" s="62"/>
      <c r="CK331" s="63"/>
      <c r="CL331" s="63"/>
      <c r="CM331" s="63"/>
      <c r="CN331" s="63"/>
      <c r="CO331" s="63"/>
      <c r="CP331" s="63"/>
      <c r="CQ331" s="63"/>
      <c r="DJ331" s="62"/>
      <c r="DK331" s="62"/>
      <c r="DL331" s="62"/>
      <c r="DP331" s="63"/>
      <c r="DQ331" s="63"/>
      <c r="DR331" s="63"/>
      <c r="DS331" s="63"/>
      <c r="DT331" s="63"/>
      <c r="DU331" s="63"/>
      <c r="DV331" s="63"/>
    </row>
    <row r="332" spans="1:126" ht="12.75" customHeight="1" x14ac:dyDescent="0.2">
      <c r="A332" s="54"/>
      <c r="B332" s="296" t="s">
        <v>600</v>
      </c>
      <c r="C332" s="354"/>
      <c r="D332" s="354"/>
      <c r="E332" s="354"/>
      <c r="F332" s="354"/>
      <c r="G332" s="354"/>
      <c r="H332" s="354"/>
      <c r="I332" s="354"/>
      <c r="J332" s="354"/>
      <c r="K332" s="354"/>
      <c r="L332" s="354"/>
      <c r="M332" s="354"/>
      <c r="N332" s="354"/>
      <c r="O332" s="355">
        <f>IF(D327="Diseño estático",INDEX($M$522:$M$525,MATCH(AA332,$Y$522:$Y$525,0),1),
   IF(D327="Diseño sísmico", ,
   IF(D327="Diseño dinámico a fatiga/impacto", ,
   IF(D327="Diseño a largo plazo (cargas permanentes)", ,
   IF(D327="Diseño a prueba de fuego", ,
)))))</f>
        <v>0</v>
      </c>
      <c r="P332" s="355"/>
      <c r="Q332" s="355"/>
      <c r="R332" s="355"/>
      <c r="S332" s="355"/>
      <c r="T332" s="355"/>
      <c r="U332" s="355">
        <f>IF(D327="Diseño estático",INDEX($S$522:$S$525,MATCH(AA332,$Y$522:$Y$525,0),1),
   IF(D327="Diseño sísmico", ,
   IF(D327="Diseño dinámico a fatiga/impacto", ,
   IF(D327="Diseño a largo plazo (cargas permanentes)", ,
   IF(D327="Diseño a prueba de fuego", ,
)))))</f>
        <v>0</v>
      </c>
      <c r="V332" s="355"/>
      <c r="W332" s="355"/>
      <c r="X332" s="355"/>
      <c r="Y332" s="355"/>
      <c r="Z332" s="355"/>
      <c r="AA332" s="356">
        <f>IF(D327="Diseño estático",MAX($Y$522:$AE$525),
   IF(D327="Diseño sísmico", ,
   IF(D327="Diseño dinámico a fatiga/impacto", ,
   IF(D327="Diseño a largo plazo (cargas permanentes)", ,
   IF(D327="Diseño a prueba de fuego", ,
)))))</f>
        <v>0</v>
      </c>
      <c r="AB332" s="356"/>
      <c r="AC332" s="356"/>
      <c r="AD332" s="356"/>
      <c r="AE332" s="356"/>
      <c r="AF332" s="357" t="str">
        <f>IFERROR(IF(AA332&lt;=100,"OK","N/A"),"-")</f>
        <v>OK</v>
      </c>
      <c r="AG332" s="358"/>
      <c r="AH332" s="358"/>
      <c r="AI332" s="358"/>
      <c r="AY332" s="62"/>
      <c r="AZ332" s="62"/>
      <c r="BA332" s="62"/>
      <c r="CI332" s="62"/>
      <c r="DJ332" s="62"/>
      <c r="DK332" s="62"/>
      <c r="DL332" s="62"/>
    </row>
    <row r="333" spans="1:126" ht="14.25" customHeight="1" x14ac:dyDescent="0.2">
      <c r="A333" s="54"/>
      <c r="B333" s="296" t="s">
        <v>601</v>
      </c>
      <c r="C333" s="296"/>
      <c r="D333" s="296"/>
      <c r="E333" s="296"/>
      <c r="F333" s="296"/>
      <c r="G333" s="296"/>
      <c r="H333" s="296"/>
      <c r="I333" s="296"/>
      <c r="J333" s="296"/>
      <c r="K333" s="296"/>
      <c r="L333" s="296"/>
      <c r="M333" s="296"/>
      <c r="N333" s="296"/>
      <c r="O333" s="296" t="s">
        <v>2</v>
      </c>
      <c r="P333" s="296"/>
      <c r="Q333" s="296"/>
      <c r="R333" s="296"/>
      <c r="S333" s="296"/>
      <c r="T333" s="296"/>
      <c r="U333" s="296" t="s">
        <v>2</v>
      </c>
      <c r="V333" s="296"/>
      <c r="W333" s="296"/>
      <c r="X333" s="296"/>
      <c r="Y333" s="296"/>
      <c r="Z333" s="296"/>
      <c r="AA333" s="356">
        <f>IF(D327="Diseño estático",$B$647,
   IF(D327="Diseño sísmico", ,
   IF(D327="Diseño dinámico a fatiga/impacto", ,
   IF(D327="Diseño a largo plazo (cargas permanentes)", ,
   IF(D327="Diseño a prueba de fuego", ,
)))))</f>
        <v>0</v>
      </c>
      <c r="AB333" s="356"/>
      <c r="AC333" s="356"/>
      <c r="AD333" s="356"/>
      <c r="AE333" s="356"/>
      <c r="AF333" s="357" t="str">
        <f>IFERROR(IF(AA333&lt;=100,"OK","N/A"),"-")</f>
        <v>OK</v>
      </c>
      <c r="AG333" s="358"/>
      <c r="AH333" s="358"/>
      <c r="AI333" s="358"/>
      <c r="AY333" s="62"/>
      <c r="AZ333" s="62"/>
      <c r="BA333" s="62"/>
      <c r="CI333" s="62"/>
      <c r="DJ333" s="62"/>
      <c r="DK333" s="62"/>
      <c r="DL333" s="62"/>
    </row>
    <row r="334" spans="1:126" ht="14.25" customHeight="1" x14ac:dyDescent="0.2">
      <c r="A334" s="54"/>
      <c r="B334" s="359"/>
      <c r="C334" s="359"/>
      <c r="D334" s="359"/>
      <c r="E334" s="359"/>
      <c r="F334" s="359"/>
      <c r="G334" s="359"/>
      <c r="H334" s="359"/>
      <c r="I334" s="359"/>
      <c r="J334" s="359"/>
      <c r="K334" s="359"/>
      <c r="L334" s="359"/>
      <c r="M334" s="359"/>
      <c r="N334" s="359"/>
      <c r="O334" s="359"/>
      <c r="P334" s="359"/>
      <c r="Q334" s="359"/>
      <c r="R334" s="359"/>
      <c r="S334" s="359"/>
      <c r="T334" s="359"/>
      <c r="U334" s="359"/>
      <c r="V334" s="359"/>
      <c r="W334" s="359"/>
      <c r="X334" s="359"/>
      <c r="Y334" s="359"/>
      <c r="Z334" s="359"/>
      <c r="AA334" s="359"/>
      <c r="AB334" s="359"/>
      <c r="AC334" s="359"/>
      <c r="AD334" s="359"/>
      <c r="AE334" s="359"/>
      <c r="AF334" s="359"/>
      <c r="AG334" s="359"/>
      <c r="AH334" s="359"/>
      <c r="AI334" s="359"/>
      <c r="AY334" s="62"/>
      <c r="AZ334" s="62"/>
      <c r="BA334" s="62"/>
      <c r="CI334" s="62"/>
      <c r="DJ334" s="62"/>
      <c r="DK334" s="62"/>
      <c r="DL334" s="62"/>
    </row>
    <row r="335" spans="1:126" ht="12.75" customHeight="1" x14ac:dyDescent="0.2">
      <c r="A335" s="54"/>
      <c r="B335" s="54"/>
      <c r="C335" s="54"/>
      <c r="D335" s="73"/>
      <c r="E335" s="74"/>
      <c r="F335" s="74"/>
      <c r="G335" s="74"/>
      <c r="H335" s="74"/>
      <c r="I335" s="74"/>
      <c r="J335" s="74"/>
      <c r="K335" s="74"/>
      <c r="L335" s="74"/>
      <c r="M335" s="74"/>
      <c r="N335" s="74"/>
      <c r="O335" s="74"/>
      <c r="P335" s="74"/>
      <c r="Q335" s="74"/>
      <c r="R335" s="74"/>
      <c r="S335" s="74"/>
      <c r="T335" s="74"/>
      <c r="U335" s="74"/>
      <c r="V335" s="74"/>
      <c r="W335" s="74"/>
      <c r="X335" s="74"/>
      <c r="Y335" s="74"/>
      <c r="Z335" s="74"/>
      <c r="AA335" s="74"/>
      <c r="AB335" s="74"/>
      <c r="AC335" s="74"/>
      <c r="AD335" s="74"/>
      <c r="AE335" s="74"/>
      <c r="AF335" s="74"/>
      <c r="AG335" s="74"/>
      <c r="AH335" s="74"/>
      <c r="AI335" s="74"/>
      <c r="AJ335" s="91"/>
      <c r="AK335" s="182"/>
      <c r="AY335" s="62"/>
      <c r="AZ335" s="62"/>
      <c r="BA335" s="62"/>
      <c r="CI335" s="62"/>
      <c r="DJ335" s="62"/>
      <c r="DK335" s="62"/>
      <c r="DL335" s="62"/>
    </row>
    <row r="336" spans="1:126" ht="12.75" customHeight="1" x14ac:dyDescent="0.2">
      <c r="A336" s="54"/>
      <c r="B336" s="54"/>
      <c r="C336" s="54"/>
      <c r="D336" s="142"/>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91"/>
      <c r="AK336" s="182"/>
      <c r="AY336" s="62"/>
      <c r="AZ336" s="62"/>
      <c r="BA336" s="62"/>
      <c r="CI336" s="62"/>
      <c r="DJ336" s="62"/>
      <c r="DK336" s="62"/>
      <c r="DL336" s="62"/>
    </row>
    <row r="337" spans="1:126" ht="14.25" customHeight="1" x14ac:dyDescent="0.2">
      <c r="A337" s="54"/>
      <c r="B337" s="54"/>
      <c r="C337" s="70" t="str">
        <f>IF(D337="","","E.")</f>
        <v>E.</v>
      </c>
      <c r="D337" s="379" t="s">
        <v>938</v>
      </c>
      <c r="E337" s="379"/>
      <c r="F337" s="379"/>
      <c r="G337" s="379"/>
      <c r="H337" s="379"/>
      <c r="I337" s="379"/>
      <c r="J337" s="379"/>
      <c r="K337" s="379"/>
      <c r="L337" s="379"/>
      <c r="M337" s="379"/>
      <c r="N337" s="379"/>
      <c r="O337" s="379"/>
      <c r="P337" s="379"/>
      <c r="Q337" s="379"/>
      <c r="R337" s="379"/>
      <c r="S337" s="379"/>
      <c r="T337" s="379"/>
      <c r="U337" s="379"/>
      <c r="V337" s="379"/>
      <c r="W337" s="379"/>
      <c r="X337" s="379"/>
      <c r="Y337" s="379"/>
      <c r="Z337" s="379"/>
      <c r="AA337" s="379"/>
      <c r="AB337" s="379"/>
      <c r="AC337" s="379"/>
      <c r="AD337" s="379"/>
      <c r="AE337" s="379"/>
      <c r="AF337" s="379"/>
      <c r="AG337" s="379"/>
      <c r="AH337" s="379"/>
      <c r="AI337" s="379"/>
      <c r="AJ337" s="379"/>
      <c r="AK337" s="146"/>
    </row>
    <row r="338" spans="1:126" x14ac:dyDescent="0.2">
      <c r="A338" s="56"/>
      <c r="B338" s="54"/>
      <c r="C338" s="54"/>
      <c r="D338" s="54"/>
      <c r="F338" s="54"/>
      <c r="G338" s="54"/>
      <c r="H338" s="54"/>
      <c r="I338" s="54"/>
      <c r="J338" s="54"/>
      <c r="K338" s="54"/>
      <c r="L338" s="54"/>
      <c r="M338" s="54"/>
      <c r="N338" s="54"/>
      <c r="O338" s="54"/>
      <c r="P338" s="54"/>
      <c r="Q338" s="54"/>
      <c r="R338" s="54"/>
      <c r="S338" s="54"/>
      <c r="T338" s="54"/>
      <c r="U338" s="54"/>
      <c r="V338" s="54"/>
      <c r="W338" s="54"/>
      <c r="X338" s="54"/>
      <c r="Y338" s="54"/>
      <c r="Z338" s="54"/>
    </row>
    <row r="339" spans="1:126" ht="14.25" customHeight="1" thickBot="1" x14ac:dyDescent="0.25">
      <c r="A339" s="54"/>
      <c r="B339" s="362"/>
      <c r="C339" s="362"/>
      <c r="D339" s="362"/>
      <c r="E339" s="362"/>
      <c r="F339" s="362"/>
      <c r="G339" s="362"/>
      <c r="H339" s="362"/>
      <c r="I339" s="362"/>
      <c r="J339" s="362"/>
      <c r="K339" s="362"/>
      <c r="L339" s="362"/>
      <c r="M339" s="362"/>
      <c r="N339" s="362"/>
      <c r="O339" s="364" t="s">
        <v>865</v>
      </c>
      <c r="P339" s="364"/>
      <c r="Q339" s="364"/>
      <c r="R339" s="364"/>
      <c r="S339" s="364"/>
      <c r="T339" s="364"/>
      <c r="U339" s="364" t="s">
        <v>866</v>
      </c>
      <c r="V339" s="364"/>
      <c r="W339" s="364"/>
      <c r="X339" s="364"/>
      <c r="Y339" s="364"/>
      <c r="Z339" s="364"/>
      <c r="AA339" s="364" t="s">
        <v>387</v>
      </c>
      <c r="AB339" s="364"/>
      <c r="AC339" s="364"/>
      <c r="AD339" s="364"/>
      <c r="AE339" s="364"/>
      <c r="AF339" s="364" t="s">
        <v>850</v>
      </c>
      <c r="AG339" s="364"/>
      <c r="AH339" s="364"/>
      <c r="AI339" s="364"/>
      <c r="AJ339" s="91"/>
      <c r="AK339" s="182"/>
      <c r="AY339" s="62"/>
      <c r="AZ339" s="62"/>
      <c r="BA339" s="62"/>
      <c r="BB339" s="63"/>
      <c r="BE339" s="63"/>
      <c r="BQ339" s="63"/>
      <c r="CI339" s="62"/>
      <c r="CJ339" s="63"/>
      <c r="DJ339" s="62"/>
      <c r="DK339" s="62"/>
      <c r="DL339" s="62"/>
      <c r="DM339" s="63"/>
      <c r="DN339" s="63"/>
      <c r="DO339" s="63"/>
    </row>
    <row r="340" spans="1:126" ht="15" thickBot="1" x14ac:dyDescent="0.25">
      <c r="A340" s="54"/>
      <c r="B340" s="363"/>
      <c r="C340" s="363"/>
      <c r="D340" s="363"/>
      <c r="E340" s="363"/>
      <c r="F340" s="363"/>
      <c r="G340" s="363"/>
      <c r="H340" s="363"/>
      <c r="I340" s="363"/>
      <c r="J340" s="363"/>
      <c r="K340" s="363"/>
      <c r="L340" s="363"/>
      <c r="M340" s="363"/>
      <c r="N340" s="363"/>
      <c r="O340" s="365"/>
      <c r="P340" s="365"/>
      <c r="Q340" s="365"/>
      <c r="R340" s="365"/>
      <c r="S340" s="365"/>
      <c r="T340" s="365"/>
      <c r="U340" s="365"/>
      <c r="V340" s="365"/>
      <c r="W340" s="365"/>
      <c r="X340" s="365"/>
      <c r="Y340" s="365"/>
      <c r="Z340" s="365"/>
      <c r="AA340" s="365"/>
      <c r="AB340" s="365"/>
      <c r="AC340" s="365"/>
      <c r="AD340" s="365"/>
      <c r="AE340" s="365"/>
      <c r="AF340" s="365"/>
      <c r="AG340" s="365"/>
      <c r="AH340" s="365"/>
      <c r="AI340" s="365"/>
      <c r="AJ340" s="91"/>
      <c r="AK340" s="182"/>
      <c r="AY340" s="62"/>
      <c r="AZ340" s="62"/>
      <c r="BA340" s="62"/>
      <c r="BC340" s="62"/>
      <c r="BD340" s="62"/>
      <c r="BF340" s="62"/>
      <c r="BG340" s="62"/>
      <c r="BH340" s="62"/>
      <c r="BI340" s="62"/>
      <c r="BJ340" s="62"/>
      <c r="BK340" s="62"/>
      <c r="BL340" s="62"/>
      <c r="BM340" s="62"/>
      <c r="BN340" s="62"/>
      <c r="BO340" s="62"/>
      <c r="BP340" s="62"/>
      <c r="BR340" s="62"/>
      <c r="BS340" s="62"/>
      <c r="BT340" s="62"/>
      <c r="BU340" s="62"/>
      <c r="BV340" s="62"/>
      <c r="BW340" s="62"/>
      <c r="BX340" s="62"/>
      <c r="BY340" s="62"/>
      <c r="BZ340" s="62"/>
      <c r="CI340" s="62"/>
      <c r="CK340" s="62"/>
      <c r="CL340" s="62"/>
      <c r="CM340" s="62"/>
      <c r="CN340" s="62"/>
      <c r="CO340" s="62"/>
      <c r="CP340" s="62"/>
      <c r="CQ340" s="62"/>
      <c r="DJ340" s="62"/>
      <c r="DK340" s="62"/>
      <c r="DL340" s="62"/>
      <c r="DP340" s="62"/>
      <c r="DQ340" s="62"/>
      <c r="DR340" s="62"/>
      <c r="DS340" s="62"/>
      <c r="DT340" s="62"/>
      <c r="DU340" s="62"/>
      <c r="DV340" s="62"/>
    </row>
    <row r="341" spans="1:126" ht="14.25" customHeight="1" x14ac:dyDescent="0.2">
      <c r="A341" s="54"/>
      <c r="B341" s="366" t="s">
        <v>395</v>
      </c>
      <c r="C341" s="367"/>
      <c r="D341" s="367"/>
      <c r="E341" s="367"/>
      <c r="F341" s="367"/>
      <c r="G341" s="367"/>
      <c r="H341" s="367"/>
      <c r="I341" s="367"/>
      <c r="J341" s="367"/>
      <c r="K341" s="367"/>
      <c r="L341" s="367"/>
      <c r="M341" s="367"/>
      <c r="N341" s="367"/>
      <c r="O341" s="368">
        <f>IF(D337="Diseño estático",INDEX($M$385:$M$389,MATCH(AA341,$Y$385:$Y$389,0),1),
   IF(D337="Diseño sísmico", ,
   IF(D337="Diseño dinámico a fatiga/impacto", ,
   IF(D337="Diseño a largo plazo (cargas permanentes)", ,
   IF(D337="Diseño a prueba de fuego", ,
)))))</f>
        <v>0</v>
      </c>
      <c r="P341" s="368"/>
      <c r="Q341" s="368"/>
      <c r="R341" s="368"/>
      <c r="S341" s="368"/>
      <c r="T341" s="368"/>
      <c r="U341" s="368">
        <f>IF(D337="Diseño estático",INDEX($S$385:$S$389,MATCH(AA341,$Y$385:$Y$389,0),1),
   IF(D337="Diseño sísmico", ,
   IF(D337="Diseño dinámico a fatiga/impacto", ,
   IF(D337="Diseño a largo plazo (cargas permanentes)", ,
   IF(D337="Diseño a prueba de fuego", ,
)))))</f>
        <v>0</v>
      </c>
      <c r="V341" s="368"/>
      <c r="W341" s="368"/>
      <c r="X341" s="368"/>
      <c r="Y341" s="368"/>
      <c r="Z341" s="368"/>
      <c r="AA341" s="369">
        <f>IF(D337="Diseño estático",MAX($Y$385:$AE$389),
   IF(D337="Diseño sísmico", ,
   IF(D337="Diseño dinámico a fatiga/impacto", ,
   IF(D337="Diseño a largo plazo (cargas permanentes)", ,
   IF(D337="Diseño a prueba de fuego", ,
)))))</f>
        <v>0</v>
      </c>
      <c r="AB341" s="369"/>
      <c r="AC341" s="369"/>
      <c r="AD341" s="369"/>
      <c r="AE341" s="369"/>
      <c r="AF341" s="360" t="str">
        <f>IFERROR(IF(AA341&lt;=100,"OK","N/A"),"-")</f>
        <v>OK</v>
      </c>
      <c r="AG341" s="361"/>
      <c r="AH341" s="361"/>
      <c r="AI341" s="361"/>
      <c r="AY341" s="62"/>
      <c r="AZ341" s="62"/>
      <c r="BA341" s="62"/>
      <c r="BC341" s="63"/>
      <c r="BD341" s="63"/>
      <c r="BF341" s="63"/>
      <c r="BG341" s="63"/>
      <c r="BH341" s="63"/>
      <c r="BI341" s="63"/>
      <c r="BJ341" s="63"/>
      <c r="BK341" s="63"/>
      <c r="BL341" s="63"/>
      <c r="BM341" s="63"/>
      <c r="BN341" s="63"/>
      <c r="BO341" s="63"/>
      <c r="BP341" s="63"/>
      <c r="BR341" s="63"/>
      <c r="BS341" s="63"/>
      <c r="BT341" s="63"/>
      <c r="BU341" s="63"/>
      <c r="BV341" s="63"/>
      <c r="BW341" s="63"/>
      <c r="BX341" s="63"/>
      <c r="BY341" s="63"/>
      <c r="BZ341" s="63"/>
      <c r="CI341" s="62"/>
      <c r="CK341" s="63"/>
      <c r="CL341" s="63"/>
      <c r="CM341" s="63"/>
      <c r="CN341" s="63"/>
      <c r="CO341" s="63"/>
      <c r="CP341" s="63"/>
      <c r="CQ341" s="63"/>
      <c r="DJ341" s="62"/>
      <c r="DK341" s="62"/>
      <c r="DL341" s="62"/>
      <c r="DP341" s="63"/>
      <c r="DQ341" s="63"/>
      <c r="DR341" s="63"/>
      <c r="DS341" s="63"/>
      <c r="DT341" s="63"/>
      <c r="DU341" s="63"/>
      <c r="DV341" s="63"/>
    </row>
    <row r="342" spans="1:126" ht="12.75" customHeight="1" x14ac:dyDescent="0.2">
      <c r="A342" s="54"/>
      <c r="B342" s="296" t="s">
        <v>600</v>
      </c>
      <c r="C342" s="354"/>
      <c r="D342" s="354"/>
      <c r="E342" s="354"/>
      <c r="F342" s="354"/>
      <c r="G342" s="354"/>
      <c r="H342" s="354"/>
      <c r="I342" s="354"/>
      <c r="J342" s="354"/>
      <c r="K342" s="354"/>
      <c r="L342" s="354"/>
      <c r="M342" s="354"/>
      <c r="N342" s="354"/>
      <c r="O342" s="355">
        <f>IF(D337="Diseño estático",INDEX($M$522:$M$525,MATCH(AA342,$Y$522:$Y$525,0),1),
   IF(D337="Diseño sísmico", ,
   IF(D337="Diseño dinámico a fatiga/impacto", ,
   IF(D337="Diseño a largo plazo (cargas permanentes)", ,
   IF(D337="Diseño a prueba de fuego", ,
)))))</f>
        <v>0</v>
      </c>
      <c r="P342" s="355"/>
      <c r="Q342" s="355"/>
      <c r="R342" s="355"/>
      <c r="S342" s="355"/>
      <c r="T342" s="355"/>
      <c r="U342" s="355">
        <f>IF(D337="Diseño estático",INDEX($S$522:$S$525,MATCH(AA342,$Y$522:$Y$525,0),1),
   IF(D337="Diseño sísmico", ,
   IF(D337="Diseño dinámico a fatiga/impacto", ,
   IF(D337="Diseño a largo plazo (cargas permanentes)", ,
   IF(D337="Diseño a prueba de fuego", ,
)))))</f>
        <v>0</v>
      </c>
      <c r="V342" s="355"/>
      <c r="W342" s="355"/>
      <c r="X342" s="355"/>
      <c r="Y342" s="355"/>
      <c r="Z342" s="355"/>
      <c r="AA342" s="356">
        <f>IF(D337="Diseño estático",MAX($Y$522:$AE$525),
   IF(D337="Diseño sísmico", ,
   IF(D337="Diseño dinámico a fatiga/impacto", ,
   IF(D337="Diseño a largo plazo (cargas permanentes)", ,
   IF(D337="Diseño a prueba de fuego", ,
)))))</f>
        <v>0</v>
      </c>
      <c r="AB342" s="356"/>
      <c r="AC342" s="356"/>
      <c r="AD342" s="356"/>
      <c r="AE342" s="356"/>
      <c r="AF342" s="357" t="str">
        <f>IFERROR(IF(AA342&lt;=100,"OK","N/A"),"-")</f>
        <v>OK</v>
      </c>
      <c r="AG342" s="358"/>
      <c r="AH342" s="358"/>
      <c r="AI342" s="358"/>
      <c r="AY342" s="62"/>
      <c r="AZ342" s="62"/>
      <c r="BA342" s="62"/>
      <c r="CI342" s="62"/>
      <c r="DJ342" s="62"/>
      <c r="DK342" s="62"/>
      <c r="DL342" s="62"/>
    </row>
    <row r="343" spans="1:126" ht="14.25" customHeight="1" x14ac:dyDescent="0.2">
      <c r="A343" s="54"/>
      <c r="B343" s="296" t="s">
        <v>601</v>
      </c>
      <c r="C343" s="296"/>
      <c r="D343" s="296"/>
      <c r="E343" s="296"/>
      <c r="F343" s="296"/>
      <c r="G343" s="296"/>
      <c r="H343" s="296"/>
      <c r="I343" s="296"/>
      <c r="J343" s="296"/>
      <c r="K343" s="296"/>
      <c r="L343" s="296"/>
      <c r="M343" s="296"/>
      <c r="N343" s="296"/>
      <c r="O343" s="296" t="s">
        <v>2</v>
      </c>
      <c r="P343" s="296"/>
      <c r="Q343" s="296"/>
      <c r="R343" s="296"/>
      <c r="S343" s="296"/>
      <c r="T343" s="296"/>
      <c r="U343" s="296" t="s">
        <v>2</v>
      </c>
      <c r="V343" s="296"/>
      <c r="W343" s="296"/>
      <c r="X343" s="296"/>
      <c r="Y343" s="296"/>
      <c r="Z343" s="296"/>
      <c r="AA343" s="356">
        <f>IF(D337="Diseño estático",$B$647,
   IF(D337="Diseño sísmico", ,
   IF(D337="Diseño dinámico a fatiga/impacto", ,
   IF(D337="Diseño a largo plazo (cargas permanentes)", ,
   IF(D337="Diseño a prueba de fuego", ,
)))))</f>
        <v>0</v>
      </c>
      <c r="AB343" s="356"/>
      <c r="AC343" s="356"/>
      <c r="AD343" s="356"/>
      <c r="AE343" s="356"/>
      <c r="AF343" s="357" t="str">
        <f>IFERROR(IF(AA343&lt;=100,"OK","N/A"),"-")</f>
        <v>OK</v>
      </c>
      <c r="AG343" s="358"/>
      <c r="AH343" s="358"/>
      <c r="AI343" s="358"/>
      <c r="AY343" s="62"/>
      <c r="AZ343" s="62"/>
      <c r="BA343" s="62"/>
      <c r="CI343" s="62"/>
      <c r="DJ343" s="62"/>
      <c r="DK343" s="62"/>
      <c r="DL343" s="62"/>
    </row>
    <row r="344" spans="1:126" ht="14.25" customHeight="1" x14ac:dyDescent="0.2">
      <c r="A344" s="54"/>
      <c r="B344" s="359"/>
      <c r="C344" s="359"/>
      <c r="D344" s="359"/>
      <c r="E344" s="359"/>
      <c r="F344" s="359"/>
      <c r="G344" s="359"/>
      <c r="H344" s="359"/>
      <c r="I344" s="359"/>
      <c r="J344" s="359"/>
      <c r="K344" s="359"/>
      <c r="L344" s="359"/>
      <c r="M344" s="359"/>
      <c r="N344" s="359"/>
      <c r="O344" s="359"/>
      <c r="P344" s="359"/>
      <c r="Q344" s="359"/>
      <c r="R344" s="359"/>
      <c r="S344" s="359"/>
      <c r="T344" s="359"/>
      <c r="U344" s="359"/>
      <c r="V344" s="359"/>
      <c r="W344" s="359"/>
      <c r="X344" s="359"/>
      <c r="Y344" s="359"/>
      <c r="Z344" s="359"/>
      <c r="AA344" s="359"/>
      <c r="AB344" s="359"/>
      <c r="AC344" s="359"/>
      <c r="AD344" s="359"/>
      <c r="AE344" s="359"/>
      <c r="AF344" s="359"/>
      <c r="AG344" s="359"/>
      <c r="AH344" s="359"/>
      <c r="AI344" s="359"/>
      <c r="AY344" s="62"/>
      <c r="AZ344" s="62"/>
      <c r="BA344" s="62"/>
      <c r="CI344" s="62"/>
      <c r="DJ344" s="62"/>
      <c r="DK344" s="62"/>
      <c r="DL344" s="62"/>
    </row>
    <row r="345" spans="1:126" x14ac:dyDescent="0.2">
      <c r="A345" s="54"/>
      <c r="B345" s="54"/>
      <c r="C345" s="54"/>
      <c r="D345" s="54"/>
      <c r="E345" s="54"/>
      <c r="F345" s="54"/>
      <c r="G345" s="54"/>
      <c r="H345" s="54"/>
      <c r="I345" s="54"/>
      <c r="J345" s="54"/>
      <c r="K345" s="54"/>
      <c r="L345" s="54"/>
      <c r="M345" s="54"/>
      <c r="N345" s="54"/>
      <c r="O345" s="54"/>
      <c r="P345" s="54"/>
      <c r="Q345" s="54"/>
      <c r="R345" s="54"/>
      <c r="S345" s="54"/>
      <c r="T345" s="54"/>
      <c r="U345" s="54"/>
      <c r="V345" s="54"/>
      <c r="W345" s="54"/>
      <c r="X345" s="54"/>
      <c r="Y345" s="54"/>
      <c r="Z345" s="54"/>
      <c r="AK345" s="55"/>
      <c r="AY345" s="55"/>
      <c r="AZ345" s="55"/>
      <c r="BA345" s="55"/>
      <c r="BB345" s="55"/>
      <c r="BC345" s="55"/>
      <c r="BD345" s="55"/>
      <c r="BE345" s="55"/>
      <c r="BF345" s="55"/>
      <c r="BG345" s="55"/>
      <c r="BH345" s="55"/>
      <c r="BI345" s="55"/>
      <c r="BJ345" s="55"/>
      <c r="BK345" s="55"/>
      <c r="BL345" s="55"/>
      <c r="BM345" s="55"/>
      <c r="BN345" s="55"/>
      <c r="BO345" s="55"/>
      <c r="BP345" s="55"/>
      <c r="BR345" s="55"/>
      <c r="BS345" s="55"/>
      <c r="BT345" s="55"/>
      <c r="BU345" s="55"/>
      <c r="BV345" s="55"/>
      <c r="BW345" s="55"/>
      <c r="BX345" s="55"/>
      <c r="BY345" s="55"/>
      <c r="BZ345" s="55"/>
      <c r="CK345" s="55"/>
      <c r="CL345" s="55"/>
      <c r="CM345" s="55"/>
      <c r="CN345" s="55"/>
      <c r="CO345" s="55"/>
      <c r="CP345" s="55"/>
      <c r="CQ345" s="55"/>
      <c r="DP345" s="55"/>
      <c r="DQ345" s="55"/>
      <c r="DR345" s="55"/>
      <c r="DS345" s="55"/>
      <c r="DT345" s="55"/>
      <c r="DU345" s="55"/>
      <c r="DV345" s="55"/>
    </row>
    <row r="346" spans="1:126" x14ac:dyDescent="0.2">
      <c r="A346" s="54"/>
      <c r="B346" s="54"/>
      <c r="C346" s="54"/>
      <c r="D346" s="54"/>
      <c r="E346" s="54"/>
      <c r="F346" s="54"/>
      <c r="G346" s="54"/>
      <c r="H346" s="54"/>
      <c r="I346" s="54"/>
      <c r="J346" s="54"/>
      <c r="K346" s="54"/>
      <c r="L346" s="54"/>
      <c r="M346" s="54"/>
      <c r="N346" s="54"/>
      <c r="O346" s="54"/>
      <c r="P346" s="54"/>
      <c r="Q346" s="54"/>
      <c r="R346" s="54"/>
      <c r="S346" s="54"/>
      <c r="T346" s="54"/>
      <c r="U346" s="54"/>
      <c r="V346" s="54"/>
      <c r="W346" s="54"/>
      <c r="X346" s="54"/>
      <c r="Y346" s="54"/>
      <c r="Z346" s="54"/>
      <c r="AK346" s="55"/>
      <c r="AY346" s="55"/>
      <c r="AZ346" s="55"/>
      <c r="BA346" s="55"/>
      <c r="BB346" s="55"/>
      <c r="BC346" s="55"/>
      <c r="BD346" s="55"/>
      <c r="BE346" s="55"/>
      <c r="BF346" s="55"/>
      <c r="BG346" s="55"/>
      <c r="BH346" s="55"/>
      <c r="BI346" s="55"/>
      <c r="BJ346" s="55"/>
      <c r="BK346" s="55"/>
      <c r="BL346" s="55"/>
      <c r="BM346" s="55"/>
      <c r="BN346" s="55"/>
      <c r="BO346" s="55"/>
      <c r="BP346" s="55"/>
      <c r="BR346" s="55"/>
      <c r="BS346" s="55"/>
      <c r="BT346" s="55"/>
      <c r="BU346" s="55"/>
      <c r="BV346" s="55"/>
      <c r="BW346" s="55"/>
      <c r="BX346" s="55"/>
      <c r="BY346" s="55"/>
      <c r="BZ346" s="55"/>
      <c r="CK346" s="55"/>
      <c r="CL346" s="55"/>
      <c r="CM346" s="55"/>
      <c r="CN346" s="55"/>
      <c r="CO346" s="55"/>
      <c r="CP346" s="55"/>
      <c r="CQ346" s="55"/>
      <c r="DP346" s="55"/>
      <c r="DQ346" s="55"/>
      <c r="DR346" s="55"/>
      <c r="DS346" s="55"/>
      <c r="DT346" s="55"/>
      <c r="DU346" s="55"/>
      <c r="DV346" s="55"/>
    </row>
    <row r="347" spans="1:126" ht="12.75" x14ac:dyDescent="0.2">
      <c r="A347" s="54"/>
      <c r="B347" s="54"/>
      <c r="C347" s="287" t="s">
        <v>877</v>
      </c>
      <c r="D347" s="288"/>
      <c r="E347" s="288"/>
      <c r="F347" s="288"/>
      <c r="G347" s="288"/>
      <c r="H347" s="288"/>
      <c r="I347" s="288"/>
      <c r="J347" s="288"/>
      <c r="K347" s="288"/>
      <c r="L347" s="288"/>
      <c r="M347" s="288"/>
      <c r="N347" s="288"/>
      <c r="O347" s="288"/>
      <c r="P347" s="288"/>
      <c r="Q347" s="288"/>
      <c r="R347" s="288"/>
      <c r="S347" s="288"/>
      <c r="T347" s="288"/>
      <c r="U347" s="288"/>
      <c r="V347" s="288"/>
      <c r="W347" s="288"/>
      <c r="X347" s="288"/>
      <c r="Y347" s="288"/>
      <c r="Z347" s="288"/>
      <c r="AA347" s="288"/>
      <c r="AB347" s="288"/>
      <c r="AC347" s="288"/>
      <c r="AD347" s="288"/>
      <c r="AE347" s="288"/>
      <c r="AF347" s="288"/>
      <c r="AG347" s="288"/>
      <c r="AH347" s="288"/>
      <c r="AI347" s="288"/>
      <c r="AJ347" s="288"/>
      <c r="AK347" s="55"/>
      <c r="AY347" s="55"/>
      <c r="AZ347" s="55"/>
      <c r="BA347" s="55"/>
      <c r="BB347" s="55"/>
      <c r="BC347" s="55"/>
      <c r="BD347" s="55"/>
      <c r="BE347" s="55"/>
      <c r="BF347" s="55"/>
      <c r="BG347" s="55"/>
      <c r="BH347" s="55"/>
      <c r="BI347" s="55"/>
      <c r="BJ347" s="55"/>
      <c r="BK347" s="55"/>
      <c r="BL347" s="55"/>
      <c r="BM347" s="55"/>
      <c r="BN347" s="55"/>
      <c r="BO347" s="55"/>
      <c r="BP347" s="55"/>
      <c r="BQ347" s="55"/>
      <c r="BR347" s="55"/>
      <c r="BS347" s="55"/>
      <c r="BT347" s="55"/>
      <c r="BU347" s="55"/>
      <c r="BV347" s="55"/>
      <c r="BW347" s="55"/>
      <c r="BX347" s="55"/>
      <c r="BY347" s="55"/>
      <c r="BZ347" s="55"/>
      <c r="CI347" s="55"/>
      <c r="CJ347" s="55"/>
      <c r="CK347" s="55"/>
      <c r="CL347" s="55"/>
      <c r="CM347" s="55"/>
      <c r="CN347" s="55"/>
      <c r="CO347" s="55"/>
      <c r="CP347" s="55"/>
      <c r="CQ347" s="55"/>
      <c r="DJ347" s="55"/>
      <c r="DK347" s="55"/>
      <c r="DL347" s="55"/>
      <c r="DM347" s="55"/>
      <c r="DN347" s="55"/>
      <c r="DO347" s="55"/>
      <c r="DP347" s="55"/>
      <c r="DQ347" s="55"/>
      <c r="DR347" s="55"/>
      <c r="DS347" s="55"/>
      <c r="DT347" s="55"/>
      <c r="DU347" s="55"/>
      <c r="DV347" s="55"/>
    </row>
    <row r="348" spans="1:126" ht="12.75" x14ac:dyDescent="0.2">
      <c r="A348" s="54"/>
      <c r="B348" s="54"/>
      <c r="C348" s="288"/>
      <c r="D348" s="288"/>
      <c r="E348" s="288"/>
      <c r="F348" s="288"/>
      <c r="G348" s="288"/>
      <c r="H348" s="288"/>
      <c r="I348" s="288"/>
      <c r="J348" s="288"/>
      <c r="K348" s="288"/>
      <c r="L348" s="288"/>
      <c r="M348" s="288"/>
      <c r="N348" s="288"/>
      <c r="O348" s="288"/>
      <c r="P348" s="288"/>
      <c r="Q348" s="288"/>
      <c r="R348" s="288"/>
      <c r="S348" s="288"/>
      <c r="T348" s="288"/>
      <c r="U348" s="288"/>
      <c r="V348" s="288"/>
      <c r="W348" s="288"/>
      <c r="X348" s="288"/>
      <c r="Y348" s="288"/>
      <c r="Z348" s="288"/>
      <c r="AA348" s="288"/>
      <c r="AB348" s="288"/>
      <c r="AC348" s="288"/>
      <c r="AD348" s="288"/>
      <c r="AE348" s="288"/>
      <c r="AF348" s="288"/>
      <c r="AG348" s="288"/>
      <c r="AH348" s="288"/>
      <c r="AI348" s="288"/>
      <c r="AJ348" s="288"/>
      <c r="AK348" s="55"/>
      <c r="AY348" s="55"/>
      <c r="AZ348" s="55"/>
      <c r="BA348" s="55"/>
      <c r="BB348" s="55"/>
      <c r="BC348" s="55"/>
      <c r="BD348" s="55"/>
      <c r="BE348" s="55"/>
      <c r="BF348" s="55"/>
      <c r="BG348" s="55"/>
      <c r="BH348" s="55"/>
      <c r="BI348" s="55"/>
      <c r="BJ348" s="55"/>
      <c r="BK348" s="55"/>
      <c r="BL348" s="55"/>
      <c r="BM348" s="55"/>
      <c r="BN348" s="55"/>
      <c r="BO348" s="55"/>
      <c r="BP348" s="55"/>
      <c r="BQ348" s="55"/>
      <c r="BR348" s="55"/>
      <c r="BS348" s="55"/>
      <c r="BT348" s="55"/>
      <c r="BU348" s="55"/>
      <c r="BV348" s="55"/>
      <c r="BW348" s="55"/>
      <c r="BX348" s="55"/>
      <c r="BY348" s="55"/>
      <c r="BZ348" s="55"/>
      <c r="CI348" s="55"/>
      <c r="CJ348" s="55"/>
      <c r="CK348" s="55"/>
      <c r="CL348" s="55"/>
      <c r="CM348" s="55"/>
      <c r="CN348" s="55"/>
      <c r="CO348" s="55"/>
      <c r="CP348" s="55"/>
      <c r="CQ348" s="55"/>
      <c r="DJ348" s="55"/>
      <c r="DK348" s="55"/>
      <c r="DL348" s="55"/>
      <c r="DM348" s="55"/>
      <c r="DN348" s="55"/>
      <c r="DO348" s="55"/>
      <c r="DP348" s="55"/>
      <c r="DQ348" s="55"/>
      <c r="DR348" s="55"/>
      <c r="DS348" s="55"/>
      <c r="DT348" s="55"/>
      <c r="DU348" s="55"/>
      <c r="DV348" s="55"/>
    </row>
    <row r="349" spans="1:126" ht="12.75" x14ac:dyDescent="0.2">
      <c r="A349" s="54"/>
      <c r="B349" s="54"/>
      <c r="C349" s="288"/>
      <c r="D349" s="288"/>
      <c r="E349" s="288"/>
      <c r="F349" s="288"/>
      <c r="G349" s="288"/>
      <c r="H349" s="288"/>
      <c r="I349" s="288"/>
      <c r="J349" s="288"/>
      <c r="K349" s="288"/>
      <c r="L349" s="288"/>
      <c r="M349" s="288"/>
      <c r="N349" s="288"/>
      <c r="O349" s="288"/>
      <c r="P349" s="288"/>
      <c r="Q349" s="288"/>
      <c r="R349" s="288"/>
      <c r="S349" s="288"/>
      <c r="T349" s="288"/>
      <c r="U349" s="288"/>
      <c r="V349" s="288"/>
      <c r="W349" s="288"/>
      <c r="X349" s="288"/>
      <c r="Y349" s="288"/>
      <c r="Z349" s="288"/>
      <c r="AA349" s="288"/>
      <c r="AB349" s="288"/>
      <c r="AC349" s="288"/>
      <c r="AD349" s="288"/>
      <c r="AE349" s="288"/>
      <c r="AF349" s="288"/>
      <c r="AG349" s="288"/>
      <c r="AH349" s="288"/>
      <c r="AI349" s="288"/>
      <c r="AJ349" s="288"/>
      <c r="AK349" s="55"/>
      <c r="AY349" s="55"/>
      <c r="AZ349" s="55"/>
      <c r="BA349" s="55"/>
      <c r="BB349" s="55"/>
      <c r="BC349" s="55"/>
      <c r="BD349" s="55"/>
      <c r="BE349" s="55"/>
      <c r="BF349" s="55"/>
      <c r="BG349" s="55"/>
      <c r="BH349" s="55"/>
      <c r="BI349" s="55"/>
      <c r="BJ349" s="55"/>
      <c r="BK349" s="55"/>
      <c r="BL349" s="55"/>
      <c r="BM349" s="55"/>
      <c r="BN349" s="55"/>
      <c r="BO349" s="55"/>
      <c r="BP349" s="55"/>
      <c r="BQ349" s="55"/>
      <c r="BR349" s="55"/>
      <c r="BS349" s="55"/>
      <c r="BT349" s="55"/>
      <c r="BU349" s="55"/>
      <c r="BV349" s="55"/>
      <c r="BW349" s="55"/>
      <c r="BX349" s="55"/>
      <c r="BY349" s="55"/>
      <c r="BZ349" s="55"/>
      <c r="CI349" s="55"/>
      <c r="CJ349" s="55"/>
      <c r="CK349" s="55"/>
      <c r="CL349" s="55"/>
      <c r="CM349" s="55"/>
      <c r="CN349" s="55"/>
      <c r="CO349" s="55"/>
      <c r="CP349" s="55"/>
      <c r="CQ349" s="55"/>
      <c r="DJ349" s="55"/>
      <c r="DK349" s="55"/>
      <c r="DL349" s="55"/>
      <c r="DM349" s="55"/>
      <c r="DN349" s="55"/>
      <c r="DO349" s="55"/>
      <c r="DP349" s="55"/>
      <c r="DQ349" s="55"/>
      <c r="DR349" s="55"/>
      <c r="DS349" s="55"/>
      <c r="DT349" s="55"/>
      <c r="DU349" s="55"/>
      <c r="DV349" s="55"/>
    </row>
    <row r="350" spans="1:126" ht="12.75" x14ac:dyDescent="0.2">
      <c r="A350" s="54"/>
      <c r="B350" s="54"/>
      <c r="C350" s="288"/>
      <c r="D350" s="288"/>
      <c r="E350" s="288"/>
      <c r="F350" s="288"/>
      <c r="G350" s="288"/>
      <c r="H350" s="288"/>
      <c r="I350" s="288"/>
      <c r="J350" s="288"/>
      <c r="K350" s="288"/>
      <c r="L350" s="288"/>
      <c r="M350" s="288"/>
      <c r="N350" s="288"/>
      <c r="O350" s="288"/>
      <c r="P350" s="288"/>
      <c r="Q350" s="288"/>
      <c r="R350" s="288"/>
      <c r="S350" s="288"/>
      <c r="T350" s="288"/>
      <c r="U350" s="288"/>
      <c r="V350" s="288"/>
      <c r="W350" s="288"/>
      <c r="X350" s="288"/>
      <c r="Y350" s="288"/>
      <c r="Z350" s="288"/>
      <c r="AA350" s="288"/>
      <c r="AB350" s="288"/>
      <c r="AC350" s="288"/>
      <c r="AD350" s="288"/>
      <c r="AE350" s="288"/>
      <c r="AF350" s="288"/>
      <c r="AG350" s="288"/>
      <c r="AH350" s="288"/>
      <c r="AI350" s="288"/>
      <c r="AJ350" s="288"/>
      <c r="AK350" s="55"/>
      <c r="AY350" s="55"/>
      <c r="AZ350" s="55"/>
      <c r="BA350" s="55"/>
      <c r="BB350" s="55"/>
      <c r="BC350" s="55"/>
      <c r="BD350" s="55"/>
      <c r="BE350" s="55"/>
      <c r="BF350" s="55"/>
      <c r="BG350" s="55"/>
      <c r="BH350" s="55"/>
      <c r="BI350" s="55"/>
      <c r="BJ350" s="55"/>
      <c r="BK350" s="55"/>
      <c r="BL350" s="55"/>
      <c r="BM350" s="55"/>
      <c r="BN350" s="55"/>
      <c r="BO350" s="55"/>
      <c r="BP350" s="55"/>
      <c r="BQ350" s="55"/>
      <c r="BR350" s="55"/>
      <c r="BS350" s="55"/>
      <c r="BT350" s="55"/>
      <c r="BU350" s="55"/>
      <c r="BV350" s="55"/>
      <c r="BW350" s="55"/>
      <c r="BX350" s="55"/>
      <c r="BY350" s="55"/>
      <c r="BZ350" s="55"/>
      <c r="CI350" s="55"/>
      <c r="CJ350" s="55"/>
      <c r="CK350" s="55"/>
      <c r="CL350" s="55"/>
      <c r="CM350" s="55"/>
      <c r="CN350" s="55"/>
      <c r="CO350" s="55"/>
      <c r="CP350" s="55"/>
      <c r="CQ350" s="55"/>
      <c r="DJ350" s="55"/>
      <c r="DK350" s="55"/>
      <c r="DL350" s="55"/>
      <c r="DM350" s="55"/>
      <c r="DN350" s="55"/>
      <c r="DO350" s="55"/>
      <c r="DP350" s="55"/>
      <c r="DQ350" s="55"/>
      <c r="DR350" s="55"/>
      <c r="DS350" s="55"/>
      <c r="DT350" s="55"/>
      <c r="DU350" s="55"/>
      <c r="DV350" s="55"/>
    </row>
    <row r="351" spans="1:126" ht="12.75" x14ac:dyDescent="0.2">
      <c r="A351" s="54"/>
      <c r="B351" s="54"/>
      <c r="C351" s="288"/>
      <c r="D351" s="288"/>
      <c r="E351" s="288"/>
      <c r="F351" s="288"/>
      <c r="G351" s="288"/>
      <c r="H351" s="288"/>
      <c r="I351" s="288"/>
      <c r="J351" s="288"/>
      <c r="K351" s="288"/>
      <c r="L351" s="288"/>
      <c r="M351" s="288"/>
      <c r="N351" s="288"/>
      <c r="O351" s="288"/>
      <c r="P351" s="288"/>
      <c r="Q351" s="288"/>
      <c r="R351" s="288"/>
      <c r="S351" s="288"/>
      <c r="T351" s="288"/>
      <c r="U351" s="288"/>
      <c r="V351" s="288"/>
      <c r="W351" s="288"/>
      <c r="X351" s="288"/>
      <c r="Y351" s="288"/>
      <c r="Z351" s="288"/>
      <c r="AA351" s="288"/>
      <c r="AB351" s="288"/>
      <c r="AC351" s="288"/>
      <c r="AD351" s="288"/>
      <c r="AE351" s="288"/>
      <c r="AF351" s="288"/>
      <c r="AG351" s="288"/>
      <c r="AH351" s="288"/>
      <c r="AI351" s="288"/>
      <c r="AJ351" s="288"/>
      <c r="AK351" s="55"/>
      <c r="AY351" s="55"/>
      <c r="AZ351" s="55"/>
      <c r="BA351" s="55"/>
      <c r="BB351" s="55"/>
      <c r="BC351" s="55"/>
      <c r="BD351" s="55"/>
      <c r="BE351" s="55"/>
      <c r="BF351" s="55"/>
      <c r="BG351" s="55"/>
      <c r="BH351" s="55"/>
      <c r="BI351" s="55"/>
      <c r="BJ351" s="55"/>
      <c r="BK351" s="55"/>
      <c r="BL351" s="55"/>
      <c r="BM351" s="55"/>
      <c r="BN351" s="55"/>
      <c r="BO351" s="55"/>
      <c r="BP351" s="55"/>
      <c r="BQ351" s="55"/>
      <c r="BR351" s="55"/>
      <c r="BS351" s="55"/>
      <c r="BT351" s="55"/>
      <c r="BU351" s="55"/>
      <c r="BV351" s="55"/>
      <c r="BW351" s="55"/>
      <c r="BX351" s="55"/>
      <c r="BY351" s="55"/>
      <c r="BZ351" s="55"/>
      <c r="CI351" s="55"/>
      <c r="CJ351" s="55"/>
      <c r="CK351" s="55"/>
      <c r="CL351" s="55"/>
      <c r="CM351" s="55"/>
      <c r="CN351" s="55"/>
      <c r="CO351" s="55"/>
      <c r="CP351" s="55"/>
      <c r="CQ351" s="55"/>
      <c r="DJ351" s="55"/>
      <c r="DK351" s="55"/>
      <c r="DL351" s="55"/>
      <c r="DM351" s="55"/>
      <c r="DN351" s="55"/>
      <c r="DO351" s="55"/>
      <c r="DP351" s="55"/>
      <c r="DQ351" s="55"/>
      <c r="DR351" s="55"/>
      <c r="DS351" s="55"/>
      <c r="DT351" s="55"/>
      <c r="DU351" s="55"/>
      <c r="DV351" s="55"/>
    </row>
    <row r="352" spans="1:126" ht="12.75" x14ac:dyDescent="0.2">
      <c r="A352" s="54"/>
      <c r="B352" s="54"/>
      <c r="C352" s="288"/>
      <c r="D352" s="288"/>
      <c r="E352" s="288"/>
      <c r="F352" s="288"/>
      <c r="G352" s="288"/>
      <c r="H352" s="288"/>
      <c r="I352" s="288"/>
      <c r="J352" s="288"/>
      <c r="K352" s="288"/>
      <c r="L352" s="288"/>
      <c r="M352" s="288"/>
      <c r="N352" s="288"/>
      <c r="O352" s="288"/>
      <c r="P352" s="288"/>
      <c r="Q352" s="288"/>
      <c r="R352" s="288"/>
      <c r="S352" s="288"/>
      <c r="T352" s="288"/>
      <c r="U352" s="288"/>
      <c r="V352" s="288"/>
      <c r="W352" s="288"/>
      <c r="X352" s="288"/>
      <c r="Y352" s="288"/>
      <c r="Z352" s="288"/>
      <c r="AA352" s="288"/>
      <c r="AB352" s="288"/>
      <c r="AC352" s="288"/>
      <c r="AD352" s="288"/>
      <c r="AE352" s="288"/>
      <c r="AF352" s="288"/>
      <c r="AG352" s="288"/>
      <c r="AH352" s="288"/>
      <c r="AI352" s="288"/>
      <c r="AJ352" s="288"/>
      <c r="AK352" s="55"/>
      <c r="AY352" s="55"/>
      <c r="AZ352" s="55"/>
      <c r="BA352" s="55"/>
      <c r="BB352" s="55"/>
      <c r="BC352" s="55"/>
      <c r="BD352" s="55"/>
      <c r="BE352" s="55"/>
      <c r="BF352" s="55"/>
      <c r="BG352" s="55"/>
      <c r="BH352" s="55"/>
      <c r="BI352" s="55"/>
      <c r="BJ352" s="55"/>
      <c r="BK352" s="55"/>
      <c r="BL352" s="55"/>
      <c r="BM352" s="55"/>
      <c r="BN352" s="55"/>
      <c r="BO352" s="55"/>
      <c r="BP352" s="55"/>
      <c r="BQ352" s="55"/>
      <c r="BR352" s="55"/>
      <c r="BS352" s="55"/>
      <c r="BT352" s="55"/>
      <c r="BU352" s="55"/>
      <c r="BV352" s="55"/>
      <c r="BW352" s="55"/>
      <c r="BX352" s="55"/>
      <c r="BY352" s="55"/>
      <c r="BZ352" s="55"/>
      <c r="CI352" s="55"/>
      <c r="CJ352" s="55"/>
      <c r="CK352" s="55"/>
      <c r="CL352" s="55"/>
      <c r="CM352" s="55"/>
      <c r="CN352" s="55"/>
      <c r="CO352" s="55"/>
      <c r="CP352" s="55"/>
      <c r="CQ352" s="55"/>
      <c r="DJ352" s="55"/>
      <c r="DK352" s="55"/>
      <c r="DL352" s="55"/>
      <c r="DM352" s="55"/>
      <c r="DN352" s="55"/>
      <c r="DO352" s="55"/>
      <c r="DP352" s="55"/>
      <c r="DQ352" s="55"/>
      <c r="DR352" s="55"/>
      <c r="DS352" s="55"/>
      <c r="DT352" s="55"/>
      <c r="DU352" s="55"/>
      <c r="DV352" s="55"/>
    </row>
    <row r="353" spans="1:126" ht="12.75" x14ac:dyDescent="0.2">
      <c r="A353" s="54"/>
      <c r="B353" s="54"/>
      <c r="C353" s="288"/>
      <c r="D353" s="288"/>
      <c r="E353" s="288"/>
      <c r="F353" s="288"/>
      <c r="G353" s="288"/>
      <c r="H353" s="288"/>
      <c r="I353" s="288"/>
      <c r="J353" s="288"/>
      <c r="K353" s="288"/>
      <c r="L353" s="288"/>
      <c r="M353" s="288"/>
      <c r="N353" s="288"/>
      <c r="O353" s="288"/>
      <c r="P353" s="288"/>
      <c r="Q353" s="288"/>
      <c r="R353" s="288"/>
      <c r="S353" s="288"/>
      <c r="T353" s="288"/>
      <c r="U353" s="288"/>
      <c r="V353" s="288"/>
      <c r="W353" s="288"/>
      <c r="X353" s="288"/>
      <c r="Y353" s="288"/>
      <c r="Z353" s="288"/>
      <c r="AA353" s="288"/>
      <c r="AB353" s="288"/>
      <c r="AC353" s="288"/>
      <c r="AD353" s="288"/>
      <c r="AE353" s="288"/>
      <c r="AF353" s="288"/>
      <c r="AG353" s="288"/>
      <c r="AH353" s="288"/>
      <c r="AI353" s="288"/>
      <c r="AJ353" s="288"/>
      <c r="AK353" s="179"/>
      <c r="AY353" s="55"/>
      <c r="AZ353" s="55"/>
      <c r="BA353" s="55"/>
      <c r="BB353" s="55"/>
      <c r="BC353" s="55"/>
      <c r="BD353" s="55"/>
      <c r="BE353" s="55"/>
      <c r="BF353" s="55"/>
      <c r="BG353" s="55"/>
      <c r="BH353" s="55"/>
      <c r="BI353" s="55"/>
      <c r="BJ353" s="55"/>
      <c r="BK353" s="55"/>
      <c r="BL353" s="55"/>
      <c r="BM353" s="55"/>
      <c r="BN353" s="55"/>
      <c r="BO353" s="55"/>
      <c r="BP353" s="55"/>
      <c r="BQ353" s="55"/>
      <c r="BR353" s="55"/>
      <c r="BS353" s="55"/>
      <c r="BT353" s="55"/>
      <c r="BU353" s="55"/>
      <c r="BV353" s="55"/>
      <c r="BW353" s="55"/>
      <c r="BX353" s="55"/>
      <c r="BY353" s="55"/>
      <c r="BZ353" s="55"/>
      <c r="CI353" s="55"/>
      <c r="CJ353" s="55"/>
      <c r="CK353" s="55"/>
      <c r="CL353" s="55"/>
      <c r="CM353" s="55"/>
      <c r="CN353" s="55"/>
      <c r="CO353" s="55"/>
      <c r="CP353" s="55"/>
      <c r="CQ353" s="55"/>
      <c r="DJ353" s="55"/>
      <c r="DK353" s="55"/>
      <c r="DL353" s="55"/>
      <c r="DM353" s="55"/>
      <c r="DN353" s="55"/>
      <c r="DO353" s="55"/>
      <c r="DP353" s="55"/>
      <c r="DQ353" s="55"/>
      <c r="DR353" s="55"/>
      <c r="DS353" s="55"/>
      <c r="DT353" s="55"/>
      <c r="DU353" s="55"/>
      <c r="DV353" s="55"/>
    </row>
    <row r="354" spans="1:126" ht="12.75" x14ac:dyDescent="0.2">
      <c r="A354" s="54"/>
      <c r="B354" s="54"/>
      <c r="C354" s="288"/>
      <c r="D354" s="288"/>
      <c r="E354" s="288"/>
      <c r="F354" s="288"/>
      <c r="G354" s="288"/>
      <c r="H354" s="288"/>
      <c r="I354" s="288"/>
      <c r="J354" s="288"/>
      <c r="K354" s="288"/>
      <c r="L354" s="288"/>
      <c r="M354" s="288"/>
      <c r="N354" s="288"/>
      <c r="O354" s="288"/>
      <c r="P354" s="288"/>
      <c r="Q354" s="288"/>
      <c r="R354" s="288"/>
      <c r="S354" s="288"/>
      <c r="T354" s="288"/>
      <c r="U354" s="288"/>
      <c r="V354" s="288"/>
      <c r="W354" s="288"/>
      <c r="X354" s="288"/>
      <c r="Y354" s="288"/>
      <c r="Z354" s="288"/>
      <c r="AA354" s="288"/>
      <c r="AB354" s="288"/>
      <c r="AC354" s="288"/>
      <c r="AD354" s="288"/>
      <c r="AE354" s="288"/>
      <c r="AF354" s="288"/>
      <c r="AG354" s="288"/>
      <c r="AH354" s="288"/>
      <c r="AI354" s="288"/>
      <c r="AJ354" s="288"/>
      <c r="AK354" s="179"/>
      <c r="AY354" s="55"/>
      <c r="AZ354" s="55"/>
      <c r="BA354" s="55"/>
      <c r="BB354" s="55"/>
      <c r="BC354" s="55"/>
      <c r="BD354" s="55"/>
      <c r="BE354" s="55"/>
      <c r="BF354" s="55"/>
      <c r="BG354" s="55"/>
      <c r="BH354" s="55"/>
      <c r="BI354" s="55"/>
      <c r="BJ354" s="55"/>
      <c r="BK354" s="55"/>
      <c r="BL354" s="55"/>
      <c r="BM354" s="55"/>
      <c r="BN354" s="55"/>
      <c r="BO354" s="55"/>
      <c r="BP354" s="55"/>
      <c r="BQ354" s="55"/>
      <c r="BR354" s="55"/>
      <c r="BS354" s="55"/>
      <c r="BT354" s="55"/>
      <c r="BU354" s="55"/>
      <c r="BV354" s="55"/>
      <c r="BW354" s="55"/>
      <c r="BX354" s="55"/>
      <c r="BY354" s="55"/>
      <c r="BZ354" s="55"/>
      <c r="CI354" s="55"/>
      <c r="CJ354" s="55"/>
      <c r="CK354" s="55"/>
      <c r="CL354" s="55"/>
      <c r="CM354" s="55"/>
      <c r="CN354" s="55"/>
      <c r="CO354" s="55"/>
      <c r="CP354" s="55"/>
      <c r="CQ354" s="55"/>
      <c r="DJ354" s="55"/>
      <c r="DK354" s="55"/>
      <c r="DL354" s="55"/>
      <c r="DM354" s="55"/>
      <c r="DN354" s="55"/>
      <c r="DO354" s="55"/>
      <c r="DP354" s="55"/>
      <c r="DQ354" s="55"/>
      <c r="DR354" s="55"/>
      <c r="DS354" s="55"/>
      <c r="DT354" s="55"/>
      <c r="DU354" s="55"/>
      <c r="DV354" s="55"/>
    </row>
    <row r="355" spans="1:126" x14ac:dyDescent="0.2">
      <c r="A355" s="54"/>
      <c r="B355" s="54"/>
      <c r="C355" s="54"/>
      <c r="D355" s="54"/>
      <c r="E355" s="54"/>
      <c r="F355" s="54"/>
      <c r="G355" s="54"/>
      <c r="H355" s="54"/>
      <c r="I355" s="54"/>
      <c r="J355" s="54"/>
      <c r="K355" s="54"/>
      <c r="L355" s="54"/>
      <c r="M355" s="54"/>
      <c r="N355" s="54"/>
      <c r="O355" s="54"/>
      <c r="P355" s="54"/>
      <c r="Q355" s="54"/>
      <c r="R355" s="54"/>
      <c r="S355" s="54"/>
      <c r="T355" s="54"/>
      <c r="U355" s="54"/>
      <c r="V355" s="54"/>
      <c r="W355" s="54"/>
      <c r="X355" s="54"/>
      <c r="Y355" s="54"/>
      <c r="Z355" s="54"/>
      <c r="BC355" s="55"/>
      <c r="BD355" s="55"/>
      <c r="BF355" s="55"/>
      <c r="BG355" s="55"/>
      <c r="BH355" s="55"/>
      <c r="BI355" s="55"/>
      <c r="BJ355" s="55"/>
      <c r="BK355" s="55"/>
      <c r="BL355" s="55"/>
      <c r="BM355" s="55"/>
      <c r="BN355" s="55"/>
      <c r="BO355" s="55"/>
      <c r="BP355" s="55"/>
      <c r="BR355" s="55"/>
      <c r="BS355" s="55"/>
      <c r="BT355" s="55"/>
      <c r="BU355" s="55"/>
      <c r="BV355" s="55"/>
      <c r="BW355" s="55"/>
      <c r="BX355" s="55"/>
      <c r="BY355" s="55"/>
      <c r="BZ355" s="55"/>
      <c r="CK355" s="55"/>
      <c r="CL355" s="55"/>
      <c r="CM355" s="55"/>
      <c r="CN355" s="55"/>
      <c r="CO355" s="55"/>
      <c r="CP355" s="55"/>
      <c r="CQ355" s="55"/>
      <c r="DP355" s="55"/>
      <c r="DQ355" s="55"/>
      <c r="DR355" s="55"/>
      <c r="DS355" s="55"/>
      <c r="DT355" s="55"/>
      <c r="DU355" s="55"/>
      <c r="DV355" s="55"/>
    </row>
    <row r="356" spans="1:126" ht="12.75" customHeight="1" x14ac:dyDescent="0.2">
      <c r="A356" s="54"/>
      <c r="B356" s="54"/>
      <c r="C356" s="54"/>
      <c r="D356" s="73"/>
      <c r="E356" s="74"/>
      <c r="F356" s="74"/>
      <c r="G356" s="74"/>
      <c r="H356" s="74"/>
      <c r="I356" s="74"/>
      <c r="J356" s="74"/>
      <c r="K356" s="74"/>
      <c r="L356" s="74"/>
      <c r="M356" s="74"/>
      <c r="N356" s="74"/>
      <c r="O356" s="74"/>
      <c r="P356" s="74"/>
      <c r="Q356" s="74"/>
      <c r="R356" s="74"/>
      <c r="S356" s="74"/>
      <c r="T356" s="74"/>
      <c r="U356" s="74"/>
      <c r="V356" s="74"/>
      <c r="W356" s="74"/>
      <c r="X356" s="74"/>
      <c r="Y356" s="74"/>
      <c r="Z356" s="74"/>
      <c r="AA356" s="74"/>
      <c r="AB356" s="74"/>
      <c r="AC356" s="74"/>
      <c r="AD356" s="74"/>
      <c r="AE356" s="74"/>
      <c r="AF356" s="74"/>
      <c r="AG356" s="74"/>
      <c r="AH356" s="74"/>
      <c r="AI356" s="74"/>
      <c r="AJ356" s="91"/>
      <c r="AK356" s="182"/>
      <c r="AY356" s="62"/>
      <c r="AZ356" s="62"/>
      <c r="BA356" s="62"/>
      <c r="CI356" s="62"/>
      <c r="DJ356" s="62"/>
      <c r="DK356" s="62"/>
      <c r="DL356" s="62"/>
    </row>
    <row r="357" spans="1:126" ht="15" customHeight="1" x14ac:dyDescent="0.2">
      <c r="A357" s="54"/>
      <c r="B357" s="248" t="s">
        <v>994</v>
      </c>
      <c r="C357" s="248"/>
      <c r="D357" s="248"/>
      <c r="E357" s="248"/>
      <c r="F357" s="248"/>
      <c r="G357" s="248"/>
      <c r="H357" s="248"/>
      <c r="I357" s="248"/>
      <c r="J357" s="248"/>
      <c r="K357" s="248"/>
      <c r="L357" s="248"/>
      <c r="M357" s="248"/>
      <c r="N357" s="248"/>
      <c r="O357" s="248"/>
      <c r="P357" s="248"/>
      <c r="Q357" s="248"/>
      <c r="R357" s="248"/>
      <c r="S357" s="248"/>
      <c r="T357" s="248"/>
      <c r="U357" s="248"/>
      <c r="V357" s="248"/>
      <c r="W357" s="248"/>
      <c r="X357" s="248"/>
      <c r="Y357" s="248"/>
      <c r="Z357" s="248"/>
      <c r="AA357" s="248"/>
      <c r="AB357" s="248"/>
      <c r="AC357" s="248"/>
      <c r="AD357" s="248"/>
      <c r="AE357" s="248"/>
      <c r="AF357" s="248"/>
      <c r="AG357" s="248"/>
      <c r="AH357" s="248"/>
      <c r="AI357" s="248"/>
      <c r="AJ357" s="248"/>
      <c r="AK357" s="176"/>
      <c r="AY357" s="62"/>
      <c r="AZ357" s="62"/>
      <c r="BA357" s="62"/>
      <c r="CI357" s="62"/>
      <c r="DJ357" s="62"/>
      <c r="DK357" s="62"/>
      <c r="DL357" s="62"/>
    </row>
    <row r="358" spans="1:126" ht="15" customHeight="1" x14ac:dyDescent="0.2">
      <c r="A358" s="54"/>
      <c r="B358" s="54"/>
      <c r="C358" s="54"/>
      <c r="D358" s="54"/>
      <c r="E358" s="54"/>
      <c r="F358" s="54"/>
      <c r="G358" s="54"/>
      <c r="H358" s="54"/>
      <c r="I358" s="54"/>
      <c r="J358" s="54"/>
      <c r="K358" s="54"/>
      <c r="L358" s="54"/>
      <c r="M358" s="54"/>
      <c r="N358" s="54"/>
      <c r="O358" s="54"/>
      <c r="P358" s="54"/>
      <c r="Q358" s="54"/>
      <c r="R358" s="54"/>
      <c r="S358" s="54"/>
      <c r="T358" s="54"/>
      <c r="U358" s="54"/>
      <c r="V358" s="54"/>
      <c r="W358" s="54"/>
      <c r="X358" s="54"/>
      <c r="Y358" s="54"/>
      <c r="Z358" s="54"/>
      <c r="AY358" s="62"/>
      <c r="AZ358" s="62"/>
      <c r="BA358" s="62"/>
      <c r="CI358" s="62"/>
      <c r="DJ358" s="62"/>
      <c r="DK358" s="62"/>
      <c r="DL358" s="62"/>
    </row>
    <row r="359" spans="1:126" x14ac:dyDescent="0.2">
      <c r="A359" s="54"/>
      <c r="B359" s="54"/>
      <c r="C359" s="288" t="s">
        <v>437</v>
      </c>
      <c r="D359" s="333"/>
      <c r="E359" s="333"/>
      <c r="F359" s="333"/>
      <c r="G359" s="333"/>
      <c r="H359" s="333"/>
      <c r="I359" s="333"/>
      <c r="J359" s="333"/>
      <c r="K359" s="333"/>
      <c r="L359" s="333"/>
      <c r="M359" s="333"/>
      <c r="N359" s="333"/>
      <c r="O359" s="333"/>
      <c r="P359" s="333"/>
      <c r="Q359" s="333"/>
      <c r="R359" s="333"/>
      <c r="S359" s="333"/>
      <c r="T359" s="333"/>
      <c r="U359" s="333"/>
      <c r="V359" s="333"/>
      <c r="W359" s="333"/>
      <c r="X359" s="333"/>
      <c r="Y359" s="333"/>
      <c r="Z359" s="333"/>
      <c r="AA359" s="333"/>
      <c r="AB359" s="333"/>
      <c r="AC359" s="333"/>
      <c r="AD359" s="333"/>
      <c r="AE359" s="333"/>
      <c r="AF359" s="333"/>
      <c r="AG359" s="333"/>
      <c r="AH359" s="333"/>
      <c r="AI359" s="333"/>
      <c r="AJ359" s="333"/>
      <c r="AK359" s="175"/>
    </row>
    <row r="360" spans="1:126" x14ac:dyDescent="0.2">
      <c r="A360" s="56"/>
      <c r="B360" s="54"/>
      <c r="C360" s="54"/>
      <c r="D360" s="54"/>
      <c r="F360" s="54"/>
      <c r="G360" s="54"/>
      <c r="H360" s="54"/>
      <c r="I360" s="54"/>
      <c r="J360" s="54"/>
      <c r="K360" s="54"/>
      <c r="L360" s="54"/>
      <c r="M360" s="54"/>
      <c r="N360" s="54"/>
      <c r="O360" s="54"/>
      <c r="P360" s="54"/>
      <c r="Q360" s="54"/>
      <c r="R360" s="54"/>
      <c r="S360" s="54"/>
      <c r="T360" s="54"/>
      <c r="U360" s="54"/>
      <c r="V360" s="54"/>
      <c r="W360" s="54"/>
      <c r="X360" s="54"/>
      <c r="Y360" s="54"/>
      <c r="Z360" s="54"/>
    </row>
    <row r="361" spans="1:126" x14ac:dyDescent="0.2">
      <c r="A361" s="54"/>
      <c r="B361" s="54"/>
      <c r="C361" s="54"/>
      <c r="D361" s="324" t="s">
        <v>384</v>
      </c>
      <c r="E361" s="333"/>
      <c r="F361" s="333"/>
      <c r="G361" s="333"/>
      <c r="H361" s="333"/>
      <c r="I361" s="333"/>
      <c r="J361" s="333"/>
      <c r="K361" s="333"/>
      <c r="L361" s="333"/>
      <c r="M361" s="333"/>
      <c r="N361" s="333"/>
      <c r="O361" s="333"/>
      <c r="P361" s="333"/>
      <c r="Q361" s="333"/>
      <c r="R361" s="333"/>
      <c r="S361" s="333"/>
      <c r="T361" s="333"/>
      <c r="U361" s="333"/>
      <c r="V361" s="333"/>
      <c r="W361" s="333"/>
      <c r="X361" s="333"/>
      <c r="Y361" s="333"/>
      <c r="Z361" s="333"/>
      <c r="AA361" s="333"/>
      <c r="AB361" s="333"/>
      <c r="AC361" s="333"/>
      <c r="AD361" s="333"/>
      <c r="AE361" s="333"/>
      <c r="AF361" s="333"/>
      <c r="AG361" s="333"/>
      <c r="AH361" s="333"/>
      <c r="AI361" s="333"/>
      <c r="AJ361" s="333"/>
      <c r="AK361" s="175"/>
    </row>
    <row r="362" spans="1:126" x14ac:dyDescent="0.2">
      <c r="A362" s="54"/>
      <c r="B362" s="54"/>
      <c r="C362" s="54"/>
      <c r="D362" s="54"/>
      <c r="E362" s="54"/>
      <c r="F362" s="54"/>
      <c r="G362" s="54"/>
      <c r="H362" s="54"/>
      <c r="I362" s="54"/>
      <c r="J362" s="54"/>
      <c r="K362" s="54"/>
      <c r="L362" s="54"/>
      <c r="M362" s="54"/>
      <c r="N362" s="54"/>
      <c r="O362" s="54"/>
      <c r="P362" s="54"/>
      <c r="Q362" s="54"/>
      <c r="R362" s="54"/>
      <c r="S362" s="54"/>
      <c r="T362" s="54"/>
      <c r="U362" s="54"/>
      <c r="V362" s="54"/>
      <c r="W362" s="54"/>
      <c r="X362" s="54"/>
      <c r="Y362" s="54"/>
      <c r="Z362" s="54"/>
    </row>
    <row r="363" spans="1:126" ht="14.25" customHeight="1" x14ac:dyDescent="0.2">
      <c r="A363" s="54"/>
      <c r="B363" s="280" t="s">
        <v>446</v>
      </c>
      <c r="C363" s="280"/>
      <c r="D363" s="280"/>
      <c r="E363" s="280"/>
      <c r="F363" s="280"/>
      <c r="G363" s="280" t="s">
        <v>448</v>
      </c>
      <c r="H363" s="280"/>
      <c r="I363" s="280"/>
      <c r="J363" s="280"/>
      <c r="K363" s="280"/>
      <c r="L363" s="280" t="s">
        <v>451</v>
      </c>
      <c r="M363" s="280"/>
      <c r="N363" s="280"/>
      <c r="O363" s="280"/>
      <c r="P363" s="280"/>
      <c r="Q363" s="280" t="s">
        <v>447</v>
      </c>
      <c r="R363" s="280"/>
      <c r="S363" s="280"/>
      <c r="T363" s="280"/>
      <c r="U363" s="280"/>
      <c r="V363" s="280" t="s">
        <v>449</v>
      </c>
      <c r="W363" s="280"/>
      <c r="X363" s="280"/>
      <c r="Y363" s="280"/>
      <c r="Z363" s="280"/>
    </row>
    <row r="364" spans="1:126" ht="13.5" customHeight="1" x14ac:dyDescent="0.2">
      <c r="A364" s="54"/>
      <c r="B364" s="316">
        <f>$Z$68</f>
        <v>450</v>
      </c>
      <c r="C364" s="316"/>
      <c r="D364" s="316"/>
      <c r="E364" s="316"/>
      <c r="F364" s="316"/>
      <c r="G364" s="316">
        <f>MIN($Z$75:$AF$76)</f>
        <v>100</v>
      </c>
      <c r="H364" s="316"/>
      <c r="I364" s="316"/>
      <c r="J364" s="316"/>
      <c r="K364" s="316"/>
      <c r="L364" s="316" t="str">
        <f>$Z$113</f>
        <v xml:space="preserve"> </v>
      </c>
      <c r="M364" s="316"/>
      <c r="N364" s="316"/>
      <c r="O364" s="316"/>
      <c r="P364" s="316"/>
      <c r="Q364" s="316">
        <f>MIN($Z$73:$AF$74)</f>
        <v>250</v>
      </c>
      <c r="R364" s="316"/>
      <c r="S364" s="316"/>
      <c r="T364" s="316"/>
      <c r="U364" s="316"/>
      <c r="V364" s="316">
        <f>$Z$104</f>
        <v>0</v>
      </c>
      <c r="W364" s="316"/>
      <c r="X364" s="316"/>
      <c r="Y364" s="316"/>
      <c r="Z364" s="316"/>
      <c r="AY364" s="62"/>
      <c r="AZ364" s="62"/>
      <c r="BA364" s="62"/>
      <c r="BB364" s="62"/>
      <c r="BC364" s="62"/>
      <c r="BD364" s="62"/>
      <c r="BE364" s="62"/>
      <c r="BF364" s="62"/>
      <c r="BG364" s="62"/>
      <c r="BH364" s="62"/>
      <c r="BI364" s="62"/>
      <c r="BJ364" s="62"/>
      <c r="BK364" s="62"/>
      <c r="BL364" s="62"/>
      <c r="BM364" s="62"/>
      <c r="BN364" s="62"/>
      <c r="BO364" s="62"/>
      <c r="BP364" s="62"/>
      <c r="BQ364" s="62"/>
      <c r="BR364" s="62"/>
      <c r="BS364" s="62"/>
      <c r="BT364" s="62"/>
      <c r="BU364" s="62"/>
      <c r="BV364" s="62"/>
      <c r="BW364" s="62"/>
      <c r="BX364" s="62"/>
      <c r="BY364" s="62"/>
      <c r="BZ364" s="62"/>
      <c r="CI364" s="62"/>
      <c r="CJ364" s="62"/>
      <c r="CK364" s="62"/>
      <c r="CL364" s="62"/>
      <c r="CM364" s="62"/>
      <c r="CN364" s="62"/>
      <c r="CO364" s="62"/>
      <c r="CP364" s="62"/>
      <c r="CQ364" s="62"/>
      <c r="DJ364" s="62"/>
      <c r="DK364" s="62"/>
      <c r="DL364" s="62"/>
      <c r="DM364" s="62"/>
      <c r="DN364" s="62"/>
      <c r="DO364" s="62"/>
      <c r="DP364" s="62"/>
      <c r="DQ364" s="62"/>
      <c r="DR364" s="62"/>
      <c r="DS364" s="62"/>
      <c r="DT364" s="62"/>
      <c r="DU364" s="62"/>
      <c r="DV364" s="62"/>
    </row>
    <row r="365" spans="1:126" x14ac:dyDescent="0.2">
      <c r="A365" s="54"/>
      <c r="B365" s="54"/>
      <c r="C365" s="54"/>
      <c r="D365" s="54"/>
      <c r="E365" s="54"/>
      <c r="F365" s="54"/>
      <c r="G365" s="54"/>
      <c r="H365" s="54"/>
      <c r="I365" s="54"/>
      <c r="J365" s="54"/>
      <c r="K365" s="54"/>
      <c r="L365" s="54"/>
      <c r="M365" s="54"/>
      <c r="N365" s="54"/>
      <c r="O365" s="54"/>
      <c r="P365" s="54"/>
      <c r="Q365" s="54"/>
      <c r="R365" s="54"/>
      <c r="S365" s="54"/>
      <c r="T365" s="54"/>
      <c r="U365" s="54"/>
      <c r="V365" s="54"/>
      <c r="W365" s="54"/>
      <c r="X365" s="54"/>
      <c r="Y365" s="54"/>
      <c r="Z365" s="54"/>
      <c r="AY365" s="62"/>
      <c r="AZ365" s="62"/>
      <c r="BA365" s="62"/>
      <c r="BB365" s="62"/>
      <c r="BC365" s="62"/>
      <c r="BD365" s="62"/>
      <c r="BE365" s="62"/>
      <c r="BF365" s="62"/>
      <c r="BG365" s="62"/>
      <c r="BH365" s="62"/>
      <c r="BI365" s="62"/>
      <c r="BJ365" s="62"/>
      <c r="BK365" s="62"/>
      <c r="BL365" s="62"/>
      <c r="BM365" s="62"/>
      <c r="BN365" s="62"/>
      <c r="BO365" s="62"/>
      <c r="BP365" s="62"/>
      <c r="BQ365" s="62"/>
      <c r="BR365" s="62"/>
      <c r="BS365" s="62"/>
      <c r="BT365" s="62"/>
      <c r="BU365" s="62"/>
      <c r="BV365" s="62"/>
      <c r="BW365" s="62"/>
      <c r="BX365" s="62"/>
      <c r="BY365" s="62"/>
      <c r="BZ365" s="62"/>
      <c r="CI365" s="62"/>
      <c r="CJ365" s="62"/>
      <c r="CK365" s="62"/>
      <c r="CL365" s="62"/>
      <c r="CM365" s="62"/>
      <c r="CN365" s="62"/>
      <c r="CO365" s="62"/>
      <c r="CP365" s="62"/>
      <c r="CQ365" s="62"/>
      <c r="DJ365" s="62"/>
      <c r="DK365" s="62"/>
      <c r="DL365" s="62"/>
      <c r="DM365" s="62"/>
      <c r="DN365" s="62"/>
      <c r="DO365" s="62"/>
      <c r="DP365" s="62"/>
      <c r="DQ365" s="62"/>
      <c r="DR365" s="62"/>
      <c r="DS365" s="62"/>
      <c r="DT365" s="62"/>
      <c r="DU365" s="62"/>
      <c r="DV365" s="62"/>
    </row>
    <row r="366" spans="1:126" x14ac:dyDescent="0.2">
      <c r="A366" s="54"/>
      <c r="B366" s="54"/>
      <c r="C366" s="54"/>
      <c r="D366" s="324" t="s">
        <v>385</v>
      </c>
      <c r="E366" s="333"/>
      <c r="F366" s="333"/>
      <c r="G366" s="333"/>
      <c r="H366" s="333"/>
      <c r="I366" s="333"/>
      <c r="J366" s="333"/>
      <c r="K366" s="333"/>
      <c r="L366" s="333"/>
      <c r="M366" s="333"/>
      <c r="N366" s="333"/>
      <c r="O366" s="333"/>
      <c r="P366" s="333"/>
      <c r="Q366" s="333"/>
      <c r="R366" s="333"/>
      <c r="S366" s="333"/>
      <c r="T366" s="333"/>
      <c r="U366" s="333"/>
      <c r="V366" s="333"/>
      <c r="W366" s="333"/>
      <c r="X366" s="333"/>
      <c r="Y366" s="333"/>
      <c r="Z366" s="333"/>
      <c r="AA366" s="333"/>
      <c r="AB366" s="333"/>
      <c r="AC366" s="333"/>
      <c r="AD366" s="333"/>
      <c r="AE366" s="333"/>
      <c r="AF366" s="333"/>
      <c r="AG366" s="333"/>
      <c r="AH366" s="333"/>
      <c r="AI366" s="333"/>
      <c r="AJ366" s="333"/>
      <c r="AK366" s="175"/>
      <c r="AY366" s="62"/>
      <c r="AZ366" s="62"/>
      <c r="BA366" s="62"/>
      <c r="BB366" s="62"/>
      <c r="BC366" s="62"/>
      <c r="BD366" s="62"/>
      <c r="BE366" s="62"/>
      <c r="BF366" s="62"/>
      <c r="BG366" s="62"/>
      <c r="BH366" s="62"/>
      <c r="BI366" s="62"/>
      <c r="BJ366" s="62"/>
      <c r="BK366" s="62"/>
      <c r="BL366" s="62"/>
      <c r="BM366" s="62"/>
      <c r="BN366" s="62"/>
      <c r="BO366" s="62"/>
      <c r="BP366" s="62"/>
      <c r="BQ366" s="62"/>
      <c r="BR366" s="62"/>
      <c r="BS366" s="62"/>
      <c r="BT366" s="62"/>
      <c r="BU366" s="62"/>
      <c r="BV366" s="62"/>
      <c r="BW366" s="62"/>
      <c r="BX366" s="62"/>
      <c r="BY366" s="62"/>
      <c r="BZ366" s="62"/>
      <c r="CI366" s="62"/>
      <c r="CJ366" s="62"/>
      <c r="CK366" s="62"/>
      <c r="CL366" s="62"/>
      <c r="CM366" s="62"/>
      <c r="CN366" s="62"/>
      <c r="CO366" s="62"/>
      <c r="CP366" s="62"/>
      <c r="CQ366" s="62"/>
      <c r="DJ366" s="62"/>
      <c r="DK366" s="62"/>
      <c r="DL366" s="62"/>
      <c r="DM366" s="62"/>
      <c r="DN366" s="62"/>
      <c r="DO366" s="62"/>
      <c r="DP366" s="62"/>
      <c r="DQ366" s="62"/>
      <c r="DR366" s="62"/>
      <c r="DS366" s="62"/>
      <c r="DT366" s="62"/>
      <c r="DU366" s="62"/>
      <c r="DV366" s="62"/>
    </row>
    <row r="367" spans="1:126" x14ac:dyDescent="0.2">
      <c r="A367" s="54"/>
      <c r="B367" s="54"/>
      <c r="C367" s="54"/>
      <c r="D367" s="54"/>
      <c r="E367" s="54"/>
      <c r="F367" s="54"/>
      <c r="G367" s="54"/>
      <c r="H367" s="54"/>
      <c r="I367" s="54"/>
      <c r="J367" s="54"/>
      <c r="K367" s="54"/>
      <c r="L367" s="54"/>
      <c r="M367" s="54"/>
      <c r="N367" s="54"/>
      <c r="O367" s="54"/>
      <c r="P367" s="54"/>
      <c r="Q367" s="54"/>
      <c r="R367" s="54"/>
      <c r="S367" s="54"/>
      <c r="T367" s="54"/>
      <c r="U367" s="54"/>
      <c r="V367" s="54"/>
      <c r="W367" s="54"/>
      <c r="X367" s="54"/>
      <c r="Y367" s="54"/>
      <c r="Z367" s="54"/>
      <c r="AY367" s="62"/>
      <c r="AZ367" s="62"/>
      <c r="BA367" s="62"/>
      <c r="BB367" s="62"/>
      <c r="BC367" s="62"/>
      <c r="BD367" s="62"/>
      <c r="BE367" s="62"/>
      <c r="BF367" s="62"/>
      <c r="BG367" s="62"/>
      <c r="BH367" s="62"/>
      <c r="BI367" s="62"/>
      <c r="BJ367" s="62"/>
      <c r="BK367" s="62"/>
      <c r="BL367" s="62"/>
      <c r="BM367" s="62"/>
      <c r="BN367" s="62"/>
      <c r="BO367" s="62"/>
      <c r="BP367" s="62"/>
      <c r="BQ367" s="62"/>
      <c r="BR367" s="62"/>
      <c r="BS367" s="62"/>
      <c r="BT367" s="62"/>
      <c r="BU367" s="62"/>
      <c r="BV367" s="62"/>
      <c r="BW367" s="62"/>
      <c r="BX367" s="62"/>
      <c r="BY367" s="62"/>
      <c r="BZ367" s="62"/>
      <c r="CI367" s="62"/>
      <c r="CJ367" s="62"/>
      <c r="CK367" s="62"/>
      <c r="CL367" s="62"/>
      <c r="CM367" s="62"/>
      <c r="CN367" s="62"/>
      <c r="CO367" s="62"/>
      <c r="CP367" s="62"/>
      <c r="CQ367" s="62"/>
      <c r="DJ367" s="62"/>
      <c r="DK367" s="62"/>
      <c r="DL367" s="62"/>
      <c r="DM367" s="62"/>
      <c r="DN367" s="62"/>
      <c r="DO367" s="62"/>
      <c r="DP367" s="62"/>
      <c r="DQ367" s="62"/>
      <c r="DR367" s="62"/>
      <c r="DS367" s="62"/>
      <c r="DT367" s="62"/>
      <c r="DU367" s="62"/>
      <c r="DV367" s="62"/>
    </row>
    <row r="368" spans="1:126" ht="12.75" customHeight="1" x14ac:dyDescent="0.2">
      <c r="A368" s="54"/>
      <c r="B368" s="280" t="s">
        <v>439</v>
      </c>
      <c r="C368" s="280"/>
      <c r="D368" s="280"/>
      <c r="E368" s="280"/>
      <c r="F368" s="280"/>
      <c r="G368" s="280" t="s">
        <v>440</v>
      </c>
      <c r="H368" s="280"/>
      <c r="I368" s="280"/>
      <c r="J368" s="280"/>
      <c r="K368" s="280"/>
      <c r="L368" s="280" t="s">
        <v>441</v>
      </c>
      <c r="M368" s="280"/>
      <c r="N368" s="280"/>
      <c r="O368" s="280"/>
      <c r="P368" s="280"/>
      <c r="Q368" s="280" t="s">
        <v>442</v>
      </c>
      <c r="R368" s="280"/>
      <c r="S368" s="280"/>
      <c r="T368" s="280"/>
      <c r="U368" s="280"/>
      <c r="AJ368" s="91"/>
      <c r="AK368" s="182"/>
      <c r="AY368" s="62"/>
      <c r="AZ368" s="62"/>
      <c r="BA368" s="62"/>
      <c r="BB368" s="62"/>
      <c r="BC368" s="62"/>
      <c r="BD368" s="62"/>
      <c r="BE368" s="62"/>
      <c r="BF368" s="62"/>
      <c r="BG368" s="62"/>
      <c r="BH368" s="62"/>
      <c r="BI368" s="62"/>
      <c r="BJ368" s="62"/>
      <c r="BK368" s="62"/>
      <c r="BL368" s="62"/>
      <c r="BM368" s="62"/>
      <c r="BN368" s="62"/>
      <c r="BO368" s="62"/>
      <c r="BP368" s="62"/>
      <c r="BQ368" s="62"/>
      <c r="BR368" s="62"/>
      <c r="BS368" s="62"/>
      <c r="BT368" s="62"/>
      <c r="BU368" s="62"/>
      <c r="BV368" s="62"/>
      <c r="BW368" s="62"/>
      <c r="BX368" s="62"/>
      <c r="BY368" s="62"/>
      <c r="BZ368" s="62"/>
      <c r="CI368" s="62"/>
      <c r="CJ368" s="62"/>
      <c r="CK368" s="62"/>
      <c r="CL368" s="62"/>
      <c r="CM368" s="62"/>
      <c r="CN368" s="62"/>
      <c r="CO368" s="62"/>
      <c r="CP368" s="62"/>
      <c r="CQ368" s="62"/>
      <c r="DJ368" s="62"/>
      <c r="DK368" s="62"/>
      <c r="DL368" s="62"/>
      <c r="DM368" s="62"/>
      <c r="DN368" s="62"/>
      <c r="DO368" s="62"/>
      <c r="DP368" s="62"/>
      <c r="DQ368" s="62"/>
      <c r="DR368" s="62"/>
      <c r="DS368" s="62"/>
      <c r="DT368" s="62"/>
      <c r="DU368" s="62"/>
      <c r="DV368" s="62"/>
    </row>
    <row r="369" spans="1:126" ht="13.5" customHeight="1" x14ac:dyDescent="0.2">
      <c r="A369" s="54"/>
      <c r="B369" s="316">
        <f>IFERROR(3*$B$364,0)</f>
        <v>1350</v>
      </c>
      <c r="C369" s="316"/>
      <c r="D369" s="316"/>
      <c r="E369" s="316"/>
      <c r="F369" s="316"/>
      <c r="G369" s="316">
        <f>IFERROR( 2*$L$364,0)</f>
        <v>0</v>
      </c>
      <c r="H369" s="316"/>
      <c r="I369" s="316"/>
      <c r="J369" s="316"/>
      <c r="K369" s="316"/>
      <c r="L369" s="316">
        <f>IFERROR(3*$Z$75,0)</f>
        <v>300</v>
      </c>
      <c r="M369" s="316"/>
      <c r="N369" s="316"/>
      <c r="O369" s="316"/>
      <c r="P369" s="316"/>
      <c r="Q369" s="316">
        <f>IFERROR(3*$Z$76,0)</f>
        <v>300</v>
      </c>
      <c r="R369" s="316"/>
      <c r="S369" s="316"/>
      <c r="T369" s="316"/>
      <c r="U369" s="316"/>
      <c r="AY369" s="62"/>
      <c r="AZ369" s="62"/>
      <c r="BA369" s="62"/>
      <c r="BB369" s="62"/>
      <c r="BC369" s="62"/>
      <c r="BD369" s="62"/>
      <c r="BE369" s="62"/>
      <c r="BF369" s="62"/>
      <c r="BG369" s="62"/>
      <c r="BH369" s="62"/>
      <c r="BI369" s="62"/>
      <c r="BJ369" s="62"/>
      <c r="BK369" s="62"/>
      <c r="BL369" s="62"/>
      <c r="BM369" s="62"/>
      <c r="BN369" s="62"/>
      <c r="BO369" s="62"/>
      <c r="BP369" s="62"/>
      <c r="BQ369" s="62"/>
      <c r="BR369" s="62"/>
      <c r="BS369" s="62"/>
      <c r="BT369" s="62"/>
      <c r="BU369" s="62"/>
      <c r="BV369" s="62"/>
      <c r="BW369" s="62"/>
      <c r="BX369" s="62"/>
      <c r="BY369" s="62"/>
      <c r="BZ369" s="62"/>
      <c r="CI369" s="62"/>
      <c r="CJ369" s="62"/>
      <c r="CK369" s="62"/>
      <c r="CL369" s="62"/>
      <c r="CM369" s="62"/>
      <c r="CN369" s="62"/>
      <c r="CO369" s="62"/>
      <c r="CP369" s="62"/>
      <c r="CQ369" s="62"/>
      <c r="DJ369" s="62"/>
      <c r="DK369" s="62"/>
      <c r="DL369" s="62"/>
      <c r="DM369" s="62"/>
      <c r="DN369" s="62"/>
      <c r="DO369" s="62"/>
      <c r="DP369" s="62"/>
      <c r="DQ369" s="62"/>
      <c r="DR369" s="62"/>
      <c r="DS369" s="62"/>
      <c r="DT369" s="62"/>
      <c r="DU369" s="62"/>
      <c r="DV369" s="62"/>
    </row>
    <row r="370" spans="1:126" x14ac:dyDescent="0.2">
      <c r="A370" s="54"/>
      <c r="B370" s="54"/>
      <c r="C370" s="54"/>
      <c r="D370" s="54"/>
      <c r="E370" s="54"/>
      <c r="F370" s="54"/>
      <c r="G370" s="54"/>
      <c r="H370" s="54"/>
      <c r="I370" s="54"/>
      <c r="J370" s="54"/>
      <c r="K370" s="54"/>
      <c r="L370" s="54"/>
      <c r="M370" s="54"/>
      <c r="N370" s="54"/>
      <c r="O370" s="54"/>
      <c r="P370" s="54"/>
      <c r="Q370" s="54"/>
      <c r="R370" s="54"/>
      <c r="S370" s="54"/>
      <c r="T370" s="54"/>
      <c r="U370" s="54"/>
      <c r="V370" s="54"/>
      <c r="W370" s="54"/>
      <c r="X370" s="54"/>
      <c r="Y370" s="54"/>
      <c r="Z370" s="54"/>
      <c r="AY370" s="62"/>
      <c r="AZ370" s="62"/>
      <c r="BA370" s="62"/>
      <c r="BB370" s="62"/>
      <c r="BC370" s="62"/>
      <c r="BD370" s="62"/>
      <c r="BE370" s="62"/>
      <c r="BF370" s="62"/>
      <c r="BG370" s="62"/>
      <c r="BH370" s="62"/>
      <c r="BI370" s="62"/>
      <c r="BJ370" s="62"/>
      <c r="BK370" s="62"/>
      <c r="BL370" s="62"/>
      <c r="BM370" s="62"/>
      <c r="BN370" s="62"/>
      <c r="BO370" s="62"/>
      <c r="BP370" s="62"/>
      <c r="BQ370" s="62"/>
      <c r="BR370" s="62"/>
      <c r="BS370" s="62"/>
      <c r="BT370" s="62"/>
      <c r="BU370" s="62"/>
      <c r="BV370" s="62"/>
      <c r="BW370" s="62"/>
      <c r="BX370" s="62"/>
      <c r="BY370" s="62"/>
      <c r="BZ370" s="62"/>
      <c r="CI370" s="62"/>
      <c r="CJ370" s="62"/>
      <c r="CK370" s="62"/>
      <c r="CL370" s="62"/>
      <c r="CM370" s="62"/>
      <c r="CN370" s="62"/>
      <c r="CO370" s="62"/>
      <c r="CP370" s="62"/>
      <c r="CQ370" s="62"/>
      <c r="DJ370" s="62"/>
      <c r="DK370" s="62"/>
      <c r="DL370" s="62"/>
      <c r="DM370" s="62"/>
      <c r="DN370" s="62"/>
      <c r="DO370" s="62"/>
      <c r="DP370" s="62"/>
      <c r="DQ370" s="62"/>
      <c r="DR370" s="62"/>
      <c r="DS370" s="62"/>
      <c r="DT370" s="62"/>
      <c r="DU370" s="62"/>
      <c r="DV370" s="62"/>
    </row>
    <row r="371" spans="1:126" x14ac:dyDescent="0.2">
      <c r="A371" s="54"/>
      <c r="B371" s="54"/>
      <c r="C371" s="54"/>
      <c r="D371" s="324" t="s">
        <v>386</v>
      </c>
      <c r="E371" s="333"/>
      <c r="F371" s="333"/>
      <c r="G371" s="333"/>
      <c r="H371" s="333"/>
      <c r="I371" s="333"/>
      <c r="J371" s="333"/>
      <c r="K371" s="333"/>
      <c r="L371" s="333"/>
      <c r="M371" s="333"/>
      <c r="N371" s="333"/>
      <c r="O371" s="333"/>
      <c r="P371" s="333"/>
      <c r="Q371" s="333"/>
      <c r="R371" s="333"/>
      <c r="S371" s="333"/>
      <c r="T371" s="333"/>
      <c r="U371" s="333"/>
      <c r="V371" s="333"/>
      <c r="W371" s="333"/>
      <c r="X371" s="333"/>
      <c r="Y371" s="333"/>
      <c r="Z371" s="333"/>
      <c r="AA371" s="333"/>
      <c r="AB371" s="333"/>
      <c r="AC371" s="333"/>
      <c r="AD371" s="333"/>
      <c r="AE371" s="333"/>
      <c r="AF371" s="333"/>
      <c r="AG371" s="333"/>
      <c r="AH371" s="333"/>
      <c r="AI371" s="333"/>
      <c r="AJ371" s="333"/>
      <c r="AK371" s="175"/>
      <c r="AY371" s="62"/>
      <c r="AZ371" s="62"/>
      <c r="BA371" s="62"/>
      <c r="BB371" s="62"/>
      <c r="BC371" s="62"/>
      <c r="BD371" s="62"/>
      <c r="BE371" s="62"/>
      <c r="BF371" s="62"/>
      <c r="BG371" s="62"/>
      <c r="BH371" s="62"/>
      <c r="BI371" s="62"/>
      <c r="BJ371" s="62"/>
      <c r="BK371" s="62"/>
      <c r="BL371" s="62"/>
      <c r="BM371" s="62"/>
      <c r="BN371" s="62"/>
      <c r="BO371" s="62"/>
      <c r="BP371" s="62"/>
      <c r="BQ371" s="62"/>
      <c r="BR371" s="62"/>
      <c r="BS371" s="62"/>
      <c r="BT371" s="62"/>
      <c r="BU371" s="62"/>
      <c r="BV371" s="62"/>
      <c r="BW371" s="62"/>
      <c r="BX371" s="62"/>
      <c r="BY371" s="62"/>
      <c r="BZ371" s="62"/>
      <c r="CI371" s="62"/>
      <c r="CJ371" s="62"/>
      <c r="CK371" s="62"/>
      <c r="CL371" s="62"/>
      <c r="CM371" s="62"/>
      <c r="CN371" s="62"/>
      <c r="CO371" s="62"/>
      <c r="CP371" s="62"/>
      <c r="CQ371" s="62"/>
      <c r="DJ371" s="62"/>
      <c r="DK371" s="62"/>
      <c r="DL371" s="62"/>
      <c r="DM371" s="62"/>
      <c r="DN371" s="62"/>
      <c r="DO371" s="62"/>
      <c r="DP371" s="62"/>
      <c r="DQ371" s="62"/>
      <c r="DR371" s="62"/>
      <c r="DS371" s="62"/>
      <c r="DT371" s="62"/>
      <c r="DU371" s="62"/>
      <c r="DV371" s="62"/>
    </row>
    <row r="372" spans="1:126" x14ac:dyDescent="0.2">
      <c r="A372" s="54"/>
      <c r="B372" s="54"/>
      <c r="C372" s="54"/>
      <c r="D372" s="54"/>
      <c r="E372" s="54"/>
      <c r="F372" s="54"/>
      <c r="G372" s="54"/>
      <c r="H372" s="54"/>
      <c r="I372" s="54"/>
      <c r="J372" s="54"/>
      <c r="K372" s="54"/>
      <c r="L372" s="54"/>
      <c r="M372" s="54"/>
      <c r="N372" s="54"/>
      <c r="O372" s="54"/>
      <c r="P372" s="54"/>
      <c r="Q372" s="54"/>
      <c r="R372" s="54"/>
      <c r="S372" s="54"/>
      <c r="T372" s="54"/>
      <c r="U372" s="54"/>
      <c r="V372" s="54"/>
      <c r="W372" s="54"/>
      <c r="X372" s="54"/>
      <c r="Y372" s="54"/>
      <c r="Z372" s="54"/>
      <c r="AY372" s="62"/>
      <c r="AZ372" s="62"/>
      <c r="BA372" s="62"/>
      <c r="BB372" s="62"/>
      <c r="BC372" s="62"/>
      <c r="BD372" s="62"/>
      <c r="BE372" s="62"/>
      <c r="BF372" s="62"/>
      <c r="BG372" s="62"/>
      <c r="BH372" s="62"/>
      <c r="BI372" s="62"/>
      <c r="BJ372" s="62"/>
      <c r="BK372" s="62"/>
      <c r="BL372" s="62"/>
      <c r="BM372" s="62"/>
      <c r="BN372" s="62"/>
      <c r="BO372" s="62"/>
      <c r="BP372" s="62"/>
      <c r="BQ372" s="62"/>
      <c r="BR372" s="62"/>
      <c r="BS372" s="62"/>
      <c r="BT372" s="62"/>
      <c r="BU372" s="62"/>
      <c r="BV372" s="62"/>
      <c r="BW372" s="62"/>
      <c r="BX372" s="62"/>
      <c r="BY372" s="62"/>
      <c r="BZ372" s="62"/>
      <c r="CI372" s="62"/>
      <c r="CJ372" s="62"/>
      <c r="CK372" s="62"/>
      <c r="CL372" s="62"/>
      <c r="CM372" s="62"/>
      <c r="CN372" s="62"/>
      <c r="CO372" s="62"/>
      <c r="CP372" s="62"/>
      <c r="CQ372" s="62"/>
      <c r="DJ372" s="62"/>
      <c r="DK372" s="62"/>
      <c r="DL372" s="62"/>
      <c r="DM372" s="62"/>
      <c r="DN372" s="62"/>
      <c r="DO372" s="62"/>
      <c r="DP372" s="62"/>
      <c r="DQ372" s="62"/>
      <c r="DR372" s="62"/>
      <c r="DS372" s="62"/>
      <c r="DT372" s="62"/>
      <c r="DU372" s="62"/>
      <c r="DV372" s="62"/>
    </row>
    <row r="373" spans="1:126" ht="14.25" customHeight="1" x14ac:dyDescent="0.2">
      <c r="A373" s="54"/>
      <c r="B373" s="280" t="s">
        <v>479</v>
      </c>
      <c r="C373" s="280"/>
      <c r="D373" s="280"/>
      <c r="E373" s="280"/>
      <c r="F373" s="280"/>
      <c r="G373" s="280" t="s">
        <v>445</v>
      </c>
      <c r="H373" s="280"/>
      <c r="I373" s="280"/>
      <c r="J373" s="280"/>
      <c r="K373" s="280"/>
      <c r="L373" s="280" t="s">
        <v>480</v>
      </c>
      <c r="M373" s="280"/>
      <c r="N373" s="280"/>
      <c r="O373" s="280"/>
      <c r="P373" s="280"/>
      <c r="Q373" s="280" t="s">
        <v>438</v>
      </c>
      <c r="R373" s="280"/>
      <c r="S373" s="280"/>
      <c r="T373" s="280"/>
      <c r="U373" s="280"/>
      <c r="Z373" s="54"/>
      <c r="AA373" s="54"/>
      <c r="AB373" s="54"/>
      <c r="AC373" s="54"/>
      <c r="AD373" s="54"/>
      <c r="AE373" s="54"/>
      <c r="AF373" s="54"/>
      <c r="AG373" s="54"/>
      <c r="AH373" s="54"/>
      <c r="AJ373" s="91"/>
      <c r="AK373" s="182"/>
      <c r="AY373" s="62"/>
      <c r="AZ373" s="62"/>
      <c r="BA373" s="62"/>
      <c r="BB373" s="62"/>
      <c r="BC373" s="62"/>
      <c r="BD373" s="62"/>
      <c r="BE373" s="62"/>
      <c r="BF373" s="62"/>
      <c r="BG373" s="62"/>
      <c r="BH373" s="62"/>
      <c r="BI373" s="62"/>
      <c r="BJ373" s="62"/>
      <c r="BK373" s="62"/>
      <c r="BL373" s="62"/>
      <c r="BM373" s="62"/>
      <c r="BN373" s="62"/>
      <c r="BO373" s="62"/>
      <c r="BP373" s="62"/>
      <c r="BQ373" s="62"/>
      <c r="BR373" s="62"/>
      <c r="BS373" s="62"/>
      <c r="BT373" s="62"/>
      <c r="BU373" s="62"/>
      <c r="BV373" s="62"/>
      <c r="BW373" s="62"/>
      <c r="BX373" s="62"/>
      <c r="BY373" s="62"/>
      <c r="BZ373" s="62"/>
      <c r="CI373" s="62"/>
      <c r="CJ373" s="62"/>
      <c r="CK373" s="62"/>
      <c r="CL373" s="62"/>
      <c r="CM373" s="62"/>
      <c r="CN373" s="62"/>
      <c r="CO373" s="62"/>
      <c r="CP373" s="62"/>
      <c r="CQ373" s="62"/>
      <c r="DJ373" s="62"/>
      <c r="DK373" s="62"/>
      <c r="DL373" s="62"/>
      <c r="DM373" s="62"/>
      <c r="DN373" s="62"/>
      <c r="DO373" s="62"/>
      <c r="DP373" s="62"/>
      <c r="DQ373" s="62"/>
      <c r="DR373" s="62"/>
      <c r="DS373" s="62"/>
      <c r="DT373" s="62"/>
      <c r="DU373" s="62"/>
      <c r="DV373" s="62"/>
    </row>
    <row r="374" spans="1:126" x14ac:dyDescent="0.2">
      <c r="A374" s="54"/>
      <c r="B374" s="490">
        <f xml:space="preserve"> IFERROR(IF($G$364&gt;=$Z$110,1,0),"-")</f>
        <v>0</v>
      </c>
      <c r="C374" s="490"/>
      <c r="D374" s="490"/>
      <c r="E374" s="490"/>
      <c r="F374" s="490"/>
      <c r="G374" s="490" t="str">
        <f>IF($O$60&lt;=1,"-", IFERROR(IF($Q$364&gt;=$Z$111,1,0),"N/A"))</f>
        <v>-</v>
      </c>
      <c r="H374" s="490"/>
      <c r="I374" s="490"/>
      <c r="J374" s="490"/>
      <c r="K374" s="490"/>
      <c r="L374" s="490">
        <f>IFERROR(IF($V$364&gt;=$Z$109,1,0),"-")</f>
        <v>0</v>
      </c>
      <c r="M374" s="490"/>
      <c r="N374" s="490"/>
      <c r="O374" s="490"/>
      <c r="P374" s="490"/>
      <c r="Q374" s="490">
        <f>IFERROR(IF($B$364&gt;=$Z$69,IF($B$364&lt;$Z$70,1,0),0),"-")</f>
        <v>1</v>
      </c>
      <c r="R374" s="490"/>
      <c r="S374" s="490"/>
      <c r="T374" s="490"/>
      <c r="U374" s="490"/>
      <c r="Z374" s="54"/>
      <c r="AA374" s="54"/>
      <c r="AB374" s="54"/>
      <c r="AC374" s="54"/>
      <c r="AD374" s="54"/>
      <c r="AE374" s="54"/>
      <c r="AF374" s="54"/>
      <c r="AG374" s="54"/>
      <c r="AH374" s="54"/>
      <c r="AY374" s="62"/>
      <c r="AZ374" s="62"/>
      <c r="BA374" s="62"/>
      <c r="BB374" s="62"/>
      <c r="BC374" s="62"/>
      <c r="BD374" s="62"/>
      <c r="BE374" s="62"/>
      <c r="BF374" s="62"/>
      <c r="BG374" s="62"/>
      <c r="BH374" s="62"/>
      <c r="BI374" s="62"/>
      <c r="BJ374" s="62"/>
      <c r="BK374" s="62"/>
      <c r="BL374" s="62"/>
      <c r="BM374" s="62"/>
      <c r="BN374" s="62"/>
      <c r="BO374" s="62"/>
      <c r="BP374" s="62"/>
      <c r="BQ374" s="62"/>
      <c r="BR374" s="62"/>
      <c r="BS374" s="62"/>
      <c r="BT374" s="62"/>
      <c r="BU374" s="62"/>
      <c r="BV374" s="62"/>
      <c r="BW374" s="62"/>
      <c r="BX374" s="62"/>
      <c r="BY374" s="62"/>
      <c r="BZ374" s="62"/>
      <c r="CI374" s="62"/>
      <c r="CJ374" s="62"/>
      <c r="CK374" s="62"/>
      <c r="CL374" s="62"/>
      <c r="CM374" s="62"/>
      <c r="CN374" s="62"/>
      <c r="CO374" s="62"/>
      <c r="CP374" s="62"/>
      <c r="CQ374" s="62"/>
      <c r="DJ374" s="62"/>
      <c r="DK374" s="62"/>
      <c r="DL374" s="62"/>
      <c r="DM374" s="62"/>
      <c r="DN374" s="62"/>
      <c r="DO374" s="62"/>
      <c r="DP374" s="62"/>
      <c r="DQ374" s="62"/>
      <c r="DR374" s="62"/>
      <c r="DS374" s="62"/>
      <c r="DT374" s="62"/>
      <c r="DU374" s="62"/>
      <c r="DV374" s="62"/>
    </row>
    <row r="375" spans="1:126" ht="14.25" customHeight="1" x14ac:dyDescent="0.2">
      <c r="A375" s="54"/>
      <c r="Z375" s="54"/>
      <c r="AA375" s="54"/>
      <c r="AB375" s="54"/>
      <c r="AC375" s="54"/>
      <c r="AD375" s="54"/>
      <c r="AE375" s="54"/>
      <c r="AF375" s="54"/>
      <c r="AG375" s="54"/>
      <c r="AH375" s="54"/>
      <c r="AY375" s="62"/>
      <c r="AZ375" s="62"/>
      <c r="BA375" s="62"/>
      <c r="BB375" s="62"/>
      <c r="BC375" s="62"/>
      <c r="BD375" s="62"/>
      <c r="BE375" s="62"/>
      <c r="BF375" s="62"/>
      <c r="BG375" s="62"/>
      <c r="BH375" s="62"/>
      <c r="BI375" s="62"/>
      <c r="BJ375" s="62"/>
      <c r="BK375" s="62"/>
      <c r="BL375" s="62"/>
      <c r="BM375" s="62"/>
      <c r="BN375" s="62"/>
      <c r="BO375" s="62"/>
      <c r="BP375" s="62"/>
      <c r="BQ375" s="62"/>
      <c r="BR375" s="62"/>
      <c r="BS375" s="62"/>
      <c r="BT375" s="62"/>
      <c r="BU375" s="62"/>
      <c r="BV375" s="62"/>
      <c r="BW375" s="62"/>
      <c r="BX375" s="62"/>
      <c r="BY375" s="62"/>
      <c r="BZ375" s="62"/>
      <c r="CI375" s="62"/>
      <c r="CJ375" s="62"/>
      <c r="CK375" s="62"/>
      <c r="CL375" s="62"/>
      <c r="CM375" s="62"/>
      <c r="CN375" s="62"/>
      <c r="CO375" s="62"/>
      <c r="CP375" s="62"/>
      <c r="CQ375" s="62"/>
      <c r="DJ375" s="62"/>
      <c r="DK375" s="62"/>
      <c r="DL375" s="62"/>
      <c r="DM375" s="62"/>
      <c r="DN375" s="62"/>
      <c r="DO375" s="62"/>
      <c r="DP375" s="62"/>
      <c r="DQ375" s="62"/>
      <c r="DR375" s="62"/>
      <c r="DS375" s="62"/>
      <c r="DT375" s="62"/>
      <c r="DU375" s="62"/>
      <c r="DV375" s="62"/>
    </row>
    <row r="376" spans="1:126" ht="12.75" customHeight="1" x14ac:dyDescent="0.2">
      <c r="A376" s="54"/>
      <c r="B376" s="280" t="s">
        <v>443</v>
      </c>
      <c r="C376" s="280"/>
      <c r="D376" s="280"/>
      <c r="E376" s="280"/>
      <c r="F376" s="280"/>
      <c r="G376" s="280"/>
      <c r="H376" s="280"/>
      <c r="I376" s="280" t="s">
        <v>444</v>
      </c>
      <c r="J376" s="280"/>
      <c r="K376" s="280"/>
      <c r="L376" s="280"/>
      <c r="M376" s="280"/>
      <c r="N376" s="280"/>
      <c r="O376" s="280"/>
      <c r="P376" s="280"/>
      <c r="Q376" s="280"/>
      <c r="R376" s="280" t="s">
        <v>907</v>
      </c>
      <c r="S376" s="280"/>
      <c r="T376" s="280"/>
      <c r="U376" s="280"/>
      <c r="V376" s="280"/>
      <c r="W376" s="280"/>
      <c r="X376" s="280"/>
      <c r="Y376" s="280"/>
      <c r="Z376" s="280" t="s">
        <v>908</v>
      </c>
      <c r="AA376" s="280"/>
      <c r="AB376" s="280"/>
      <c r="AC376" s="280"/>
      <c r="AD376" s="280"/>
      <c r="AE376" s="280"/>
      <c r="AF376" s="280"/>
      <c r="AG376" s="280"/>
      <c r="AH376" s="54"/>
      <c r="AY376" s="62"/>
      <c r="AZ376" s="62"/>
      <c r="BA376" s="62"/>
      <c r="BB376" s="62"/>
      <c r="BC376" s="62"/>
      <c r="BD376" s="62"/>
      <c r="BE376" s="62"/>
      <c r="BF376" s="62"/>
      <c r="BG376" s="62"/>
      <c r="BH376" s="62"/>
      <c r="BI376" s="62"/>
      <c r="BJ376" s="62"/>
      <c r="BK376" s="62"/>
      <c r="BL376" s="62"/>
      <c r="BM376" s="62"/>
      <c r="BN376" s="62"/>
      <c r="BO376" s="62"/>
      <c r="BP376" s="62"/>
      <c r="BQ376" s="62"/>
      <c r="BR376" s="62"/>
      <c r="BS376" s="62"/>
      <c r="BT376" s="62"/>
      <c r="BU376" s="62"/>
      <c r="BV376" s="62"/>
      <c r="BW376" s="62"/>
      <c r="BX376" s="62"/>
      <c r="BY376" s="62"/>
      <c r="BZ376" s="62"/>
      <c r="CI376" s="62"/>
      <c r="CJ376" s="62"/>
      <c r="CK376" s="62"/>
      <c r="CL376" s="62"/>
      <c r="CM376" s="62"/>
      <c r="CN376" s="62"/>
      <c r="CO376" s="62"/>
      <c r="CP376" s="62"/>
      <c r="CQ376" s="62"/>
      <c r="DJ376" s="62"/>
      <c r="DK376" s="62"/>
      <c r="DL376" s="62"/>
      <c r="DM376" s="62"/>
      <c r="DN376" s="62"/>
      <c r="DO376" s="62"/>
      <c r="DP376" s="62"/>
      <c r="DQ376" s="62"/>
      <c r="DR376" s="62"/>
      <c r="DS376" s="62"/>
      <c r="DT376" s="62"/>
      <c r="DU376" s="62"/>
      <c r="DV376" s="62"/>
    </row>
    <row r="377" spans="1:126" ht="13.5" customHeight="1" x14ac:dyDescent="0.2">
      <c r="A377" s="54"/>
      <c r="B377" s="380"/>
      <c r="C377" s="380"/>
      <c r="D377" s="380"/>
      <c r="E377" s="380"/>
      <c r="F377" s="380"/>
      <c r="G377" s="380"/>
      <c r="H377" s="380"/>
      <c r="I377" s="380"/>
      <c r="J377" s="380"/>
      <c r="K377" s="380"/>
      <c r="L377" s="380"/>
      <c r="M377" s="380"/>
      <c r="N377" s="380"/>
      <c r="O377" s="380"/>
      <c r="P377" s="380"/>
      <c r="Q377" s="380"/>
      <c r="R377" s="380"/>
      <c r="S377" s="380"/>
      <c r="T377" s="380"/>
      <c r="U377" s="380"/>
      <c r="V377" s="380"/>
      <c r="W377" s="380"/>
      <c r="X377" s="380"/>
      <c r="Y377" s="380"/>
      <c r="Z377" s="380"/>
      <c r="AA377" s="380"/>
      <c r="AB377" s="380"/>
      <c r="AC377" s="380"/>
      <c r="AD377" s="380"/>
      <c r="AE377" s="380"/>
      <c r="AF377" s="380"/>
      <c r="AG377" s="380"/>
      <c r="AH377" s="54"/>
      <c r="AI377" s="54"/>
      <c r="AY377" s="62"/>
      <c r="AZ377" s="62"/>
      <c r="BA377" s="62"/>
      <c r="BB377" s="62"/>
      <c r="BC377" s="62"/>
      <c r="BD377" s="62"/>
      <c r="BE377" s="62"/>
      <c r="BF377" s="62"/>
      <c r="BG377" s="62"/>
      <c r="BH377" s="62"/>
      <c r="BI377" s="62"/>
      <c r="BJ377" s="62"/>
      <c r="BK377" s="62"/>
      <c r="BL377" s="62"/>
      <c r="BM377" s="62"/>
      <c r="BN377" s="62"/>
      <c r="BO377" s="62"/>
      <c r="BP377" s="62"/>
      <c r="BQ377" s="62"/>
      <c r="BR377" s="62"/>
      <c r="BS377" s="62"/>
      <c r="BT377" s="62"/>
      <c r="BU377" s="62"/>
      <c r="BV377" s="62"/>
      <c r="BW377" s="62"/>
      <c r="BX377" s="62"/>
      <c r="BY377" s="62"/>
      <c r="BZ377" s="62"/>
      <c r="CI377" s="62"/>
      <c r="CJ377" s="62"/>
      <c r="CK377" s="62"/>
      <c r="CL377" s="62"/>
      <c r="CM377" s="62"/>
      <c r="CN377" s="62"/>
      <c r="CO377" s="62"/>
      <c r="CP377" s="62"/>
      <c r="CQ377" s="62"/>
      <c r="DJ377" s="62"/>
      <c r="DK377" s="62"/>
      <c r="DL377" s="62"/>
      <c r="DM377" s="62"/>
      <c r="DN377" s="62"/>
      <c r="DO377" s="62"/>
      <c r="DP377" s="62"/>
      <c r="DQ377" s="62"/>
      <c r="DR377" s="62"/>
      <c r="DS377" s="62"/>
      <c r="DT377" s="62"/>
      <c r="DU377" s="62"/>
      <c r="DV377" s="62"/>
    </row>
    <row r="378" spans="1:126" ht="14.25" customHeight="1" x14ac:dyDescent="0.2">
      <c r="A378" s="54"/>
      <c r="B378" s="305" t="str">
        <f>IF($O$60=1,"Singular",IFERROR( IF(($Q$364&lt;$B$369),"Grupo","No grupo"),"N/A"))</f>
        <v>Grupo</v>
      </c>
      <c r="C378" s="305"/>
      <c r="D378" s="305"/>
      <c r="E378" s="305"/>
      <c r="F378" s="305"/>
      <c r="G378" s="305"/>
      <c r="H378" s="305"/>
      <c r="I378" s="305" t="str">
        <f>IF($O$60=1,"Singular",IFERROR( IF(($Q$364&lt;$G$369),"Grupo","No grupo"),"N/A"))</f>
        <v>No grupo</v>
      </c>
      <c r="J378" s="305"/>
      <c r="K378" s="305"/>
      <c r="L378" s="305"/>
      <c r="M378" s="305"/>
      <c r="N378" s="305"/>
      <c r="O378" s="305"/>
      <c r="P378" s="305"/>
      <c r="Q378" s="305"/>
      <c r="R378" s="305" t="str">
        <f>IF($O$60=1,"Singular",IFERROR( IF(($Q$364&lt;$L$369),"Grupo","Aislados"),"N/A"))</f>
        <v>Grupo</v>
      </c>
      <c r="S378" s="305"/>
      <c r="T378" s="305"/>
      <c r="U378" s="305"/>
      <c r="V378" s="305"/>
      <c r="W378" s="305"/>
      <c r="X378" s="305"/>
      <c r="Y378" s="305"/>
      <c r="Z378" s="305" t="str">
        <f>IF($O$60=1,"Singular",IFERROR( IF(($Q$364&lt;$Q$369),"Grupo","Aislados"),"N/A"))</f>
        <v>Grupo</v>
      </c>
      <c r="AA378" s="305"/>
      <c r="AB378" s="305"/>
      <c r="AC378" s="305"/>
      <c r="AD378" s="305"/>
      <c r="AE378" s="305"/>
      <c r="AF378" s="305"/>
      <c r="AG378" s="305"/>
      <c r="AH378" s="54"/>
      <c r="AI378" s="54"/>
      <c r="AY378" s="62"/>
      <c r="AZ378" s="62"/>
      <c r="BA378" s="62"/>
      <c r="BB378" s="62"/>
      <c r="BC378" s="62"/>
      <c r="BD378" s="62"/>
      <c r="BE378" s="62"/>
      <c r="BF378" s="62"/>
      <c r="BG378" s="62"/>
      <c r="BH378" s="62"/>
      <c r="BI378" s="62"/>
      <c r="BJ378" s="62"/>
      <c r="BK378" s="62"/>
      <c r="BL378" s="62"/>
      <c r="BM378" s="62"/>
      <c r="BN378" s="62"/>
      <c r="BO378" s="62"/>
      <c r="BP378" s="62"/>
      <c r="BQ378" s="62"/>
      <c r="BR378" s="62"/>
      <c r="BS378" s="62"/>
      <c r="BT378" s="62"/>
      <c r="BU378" s="62"/>
      <c r="BV378" s="62"/>
      <c r="BW378" s="62"/>
      <c r="BX378" s="62"/>
      <c r="BY378" s="62"/>
      <c r="BZ378" s="62"/>
      <c r="CI378" s="62"/>
      <c r="CJ378" s="62"/>
      <c r="CK378" s="62"/>
      <c r="CL378" s="62"/>
      <c r="CM378" s="62"/>
      <c r="CN378" s="62"/>
      <c r="CO378" s="62"/>
      <c r="CP378" s="62"/>
      <c r="CQ378" s="62"/>
      <c r="DJ378" s="62"/>
      <c r="DK378" s="62"/>
      <c r="DL378" s="62"/>
      <c r="DM378" s="62"/>
      <c r="DN378" s="62"/>
      <c r="DO378" s="62"/>
      <c r="DP378" s="62"/>
      <c r="DQ378" s="62"/>
      <c r="DR378" s="62"/>
      <c r="DS378" s="62"/>
      <c r="DT378" s="62"/>
      <c r="DU378" s="62"/>
      <c r="DV378" s="62"/>
    </row>
    <row r="379" spans="1:126" ht="14.25" customHeight="1" x14ac:dyDescent="0.2">
      <c r="A379" s="54"/>
      <c r="G379" s="54"/>
      <c r="H379" s="54"/>
      <c r="I379" s="54"/>
      <c r="J379" s="54"/>
      <c r="K379" s="54"/>
      <c r="L379" s="54"/>
      <c r="M379" s="54"/>
      <c r="N379" s="54"/>
      <c r="O379" s="54"/>
      <c r="P379" s="54"/>
      <c r="Q379" s="54"/>
      <c r="R379" s="54"/>
      <c r="S379" s="54"/>
      <c r="T379" s="54"/>
      <c r="U379" s="54"/>
      <c r="V379" s="54"/>
      <c r="W379" s="54"/>
      <c r="X379" s="54"/>
      <c r="Y379" s="54"/>
      <c r="Z379" s="54"/>
      <c r="AA379" s="54"/>
      <c r="AB379" s="54"/>
      <c r="AC379" s="54"/>
      <c r="AD379" s="54"/>
      <c r="AE379" s="54"/>
      <c r="AF379" s="54"/>
      <c r="AG379" s="54"/>
      <c r="AH379" s="54"/>
      <c r="AI379" s="54"/>
      <c r="AY379" s="62"/>
      <c r="AZ379" s="62"/>
      <c r="BA379" s="62"/>
      <c r="BB379" s="62"/>
      <c r="BC379" s="62"/>
      <c r="BD379" s="62"/>
      <c r="BE379" s="62"/>
      <c r="BF379" s="62"/>
      <c r="BG379" s="62"/>
      <c r="BH379" s="62"/>
      <c r="BI379" s="62"/>
      <c r="BJ379" s="62"/>
      <c r="BK379" s="62"/>
      <c r="BL379" s="62"/>
      <c r="BM379" s="62"/>
      <c r="BN379" s="62"/>
      <c r="BO379" s="62"/>
      <c r="BP379" s="62"/>
      <c r="BQ379" s="62"/>
      <c r="BR379" s="62"/>
      <c r="BS379" s="62"/>
      <c r="BT379" s="62"/>
      <c r="BU379" s="62"/>
      <c r="BV379" s="62"/>
      <c r="BW379" s="62"/>
      <c r="BX379" s="62"/>
      <c r="BY379" s="62"/>
      <c r="BZ379" s="62"/>
      <c r="CI379" s="62"/>
      <c r="CJ379" s="62"/>
      <c r="CK379" s="62"/>
      <c r="CL379" s="62"/>
      <c r="CM379" s="62"/>
      <c r="CN379" s="62"/>
      <c r="CO379" s="62"/>
      <c r="CP379" s="62"/>
      <c r="CQ379" s="62"/>
      <c r="DJ379" s="62"/>
      <c r="DK379" s="62"/>
      <c r="DL379" s="62"/>
      <c r="DM379" s="62"/>
      <c r="DN379" s="62"/>
      <c r="DO379" s="62"/>
      <c r="DP379" s="62"/>
      <c r="DQ379" s="62"/>
      <c r="DR379" s="62"/>
      <c r="DS379" s="62"/>
      <c r="DT379" s="62"/>
      <c r="DU379" s="62"/>
      <c r="DV379" s="62"/>
    </row>
    <row r="380" spans="1:126" x14ac:dyDescent="0.2">
      <c r="A380" s="54"/>
      <c r="B380" s="54"/>
      <c r="C380" s="54"/>
      <c r="D380" s="54"/>
      <c r="E380" s="54"/>
      <c r="F380" s="54"/>
      <c r="G380" s="54"/>
      <c r="H380" s="54"/>
      <c r="I380" s="54"/>
      <c r="J380" s="54"/>
      <c r="K380" s="54"/>
      <c r="L380" s="54"/>
      <c r="M380" s="54"/>
      <c r="N380" s="54"/>
      <c r="O380" s="54"/>
      <c r="P380" s="54"/>
      <c r="Q380" s="54"/>
      <c r="R380" s="54"/>
      <c r="S380" s="54"/>
      <c r="T380" s="54"/>
      <c r="U380" s="54"/>
      <c r="V380" s="54"/>
      <c r="W380" s="54"/>
      <c r="X380" s="54"/>
      <c r="Y380" s="54"/>
      <c r="Z380" s="54"/>
      <c r="BB380" s="62"/>
      <c r="BC380" s="62"/>
      <c r="BD380" s="62"/>
      <c r="BE380" s="62"/>
      <c r="BF380" s="62"/>
      <c r="BG380" s="62"/>
      <c r="BH380" s="62"/>
      <c r="BI380" s="62"/>
      <c r="BJ380" s="62"/>
      <c r="BK380" s="62"/>
      <c r="BL380" s="62"/>
      <c r="BM380" s="62"/>
      <c r="BN380" s="62"/>
      <c r="BO380" s="62"/>
      <c r="BP380" s="62"/>
      <c r="BQ380" s="62"/>
      <c r="BR380" s="62"/>
      <c r="BS380" s="62"/>
      <c r="BT380" s="62"/>
      <c r="BU380" s="62"/>
      <c r="BV380" s="62"/>
      <c r="BW380" s="62"/>
      <c r="BX380" s="62"/>
      <c r="BY380" s="62"/>
      <c r="BZ380" s="62"/>
      <c r="CJ380" s="62"/>
      <c r="CK380" s="62"/>
      <c r="CL380" s="62"/>
      <c r="CM380" s="62"/>
      <c r="CN380" s="62"/>
      <c r="CO380" s="62"/>
      <c r="CP380" s="62"/>
      <c r="CQ380" s="62"/>
      <c r="DM380" s="62"/>
      <c r="DN380" s="62"/>
      <c r="DO380" s="62"/>
      <c r="DP380" s="62"/>
      <c r="DQ380" s="62"/>
      <c r="DR380" s="62"/>
      <c r="DS380" s="62"/>
      <c r="DT380" s="62"/>
      <c r="DU380" s="62"/>
      <c r="DV380" s="62"/>
    </row>
    <row r="381" spans="1:126" ht="14.25" customHeight="1" x14ac:dyDescent="0.2">
      <c r="A381" s="54"/>
      <c r="B381" s="248" t="s">
        <v>995</v>
      </c>
      <c r="C381" s="248"/>
      <c r="D381" s="248"/>
      <c r="E381" s="248"/>
      <c r="F381" s="248"/>
      <c r="G381" s="248"/>
      <c r="H381" s="248"/>
      <c r="I381" s="248"/>
      <c r="J381" s="248"/>
      <c r="K381" s="248"/>
      <c r="L381" s="248"/>
      <c r="M381" s="248"/>
      <c r="N381" s="248"/>
      <c r="O381" s="248"/>
      <c r="P381" s="248"/>
      <c r="Q381" s="248"/>
      <c r="R381" s="248"/>
      <c r="S381" s="248"/>
      <c r="T381" s="248"/>
      <c r="U381" s="248"/>
      <c r="V381" s="248"/>
      <c r="W381" s="248"/>
      <c r="X381" s="248"/>
      <c r="Y381" s="248"/>
      <c r="Z381" s="248"/>
      <c r="AA381" s="248"/>
      <c r="AB381" s="248"/>
      <c r="AC381" s="248"/>
      <c r="AD381" s="248"/>
      <c r="AE381" s="248"/>
      <c r="AF381" s="248"/>
      <c r="AG381" s="248"/>
      <c r="AH381" s="248"/>
      <c r="AI381" s="248"/>
      <c r="AJ381" s="248"/>
      <c r="AK381" s="176"/>
      <c r="BB381" s="62"/>
      <c r="BC381" s="62"/>
      <c r="BD381" s="62"/>
      <c r="BE381" s="62"/>
      <c r="BF381" s="62"/>
      <c r="BG381" s="62"/>
      <c r="BH381" s="62"/>
      <c r="BI381" s="62"/>
      <c r="BJ381" s="62"/>
      <c r="BK381" s="62"/>
      <c r="BL381" s="62"/>
      <c r="BM381" s="62"/>
      <c r="BN381" s="62"/>
      <c r="BO381" s="62"/>
      <c r="BP381" s="62"/>
      <c r="BQ381" s="62"/>
      <c r="BR381" s="62"/>
      <c r="BS381" s="62"/>
      <c r="BT381" s="62"/>
      <c r="BU381" s="62"/>
      <c r="BV381" s="62"/>
      <c r="BW381" s="62"/>
      <c r="BX381" s="62"/>
      <c r="BY381" s="62"/>
      <c r="BZ381" s="62"/>
      <c r="CJ381" s="62"/>
      <c r="CK381" s="62"/>
      <c r="CL381" s="62"/>
      <c r="CM381" s="62"/>
      <c r="CN381" s="62"/>
      <c r="CO381" s="62"/>
      <c r="CP381" s="62"/>
      <c r="CQ381" s="62"/>
      <c r="DM381" s="62"/>
      <c r="DN381" s="62"/>
      <c r="DO381" s="62"/>
      <c r="DP381" s="62"/>
      <c r="DQ381" s="62"/>
      <c r="DR381" s="62"/>
      <c r="DS381" s="62"/>
      <c r="DT381" s="62"/>
      <c r="DU381" s="62"/>
      <c r="DV381" s="62"/>
    </row>
    <row r="382" spans="1:126" ht="12.75" customHeight="1" x14ac:dyDescent="0.2">
      <c r="A382" s="54"/>
      <c r="B382" s="54"/>
      <c r="C382" s="54"/>
      <c r="D382" s="54"/>
      <c r="E382" s="54"/>
      <c r="F382" s="54"/>
      <c r="G382" s="54"/>
      <c r="H382" s="54"/>
      <c r="I382" s="54"/>
      <c r="J382" s="54"/>
      <c r="K382" s="54"/>
      <c r="L382" s="54"/>
      <c r="M382" s="54"/>
      <c r="N382" s="54"/>
      <c r="O382" s="54"/>
      <c r="P382" s="54"/>
      <c r="Q382" s="54"/>
      <c r="R382" s="54"/>
      <c r="S382" s="54"/>
      <c r="T382" s="54"/>
      <c r="U382" s="54"/>
      <c r="V382" s="54"/>
      <c r="W382" s="54"/>
      <c r="X382" s="54"/>
      <c r="Y382" s="54"/>
      <c r="Z382" s="54"/>
      <c r="BB382" s="62"/>
      <c r="BC382" s="62"/>
      <c r="BD382" s="62"/>
      <c r="BE382" s="62"/>
      <c r="BF382" s="62"/>
      <c r="BG382" s="62"/>
      <c r="BH382" s="62"/>
      <c r="BI382" s="62"/>
      <c r="BJ382" s="62"/>
      <c r="BK382" s="62"/>
      <c r="BL382" s="62"/>
      <c r="BM382" s="62"/>
      <c r="BN382" s="62"/>
      <c r="BO382" s="62"/>
      <c r="BP382" s="62"/>
      <c r="BQ382" s="62"/>
      <c r="BR382" s="62"/>
      <c r="BS382" s="62"/>
      <c r="BT382" s="62"/>
      <c r="BU382" s="62"/>
      <c r="BV382" s="62"/>
      <c r="BW382" s="62"/>
      <c r="BX382" s="62"/>
      <c r="BY382" s="62"/>
      <c r="BZ382" s="62"/>
      <c r="CJ382" s="62"/>
      <c r="CK382" s="62"/>
      <c r="CL382" s="62"/>
      <c r="CM382" s="62"/>
      <c r="CN382" s="62"/>
      <c r="CO382" s="62"/>
      <c r="CP382" s="62"/>
      <c r="CQ382" s="62"/>
      <c r="DM382" s="62"/>
      <c r="DN382" s="62"/>
      <c r="DO382" s="62"/>
      <c r="DP382" s="62"/>
      <c r="DQ382" s="62"/>
      <c r="DR382" s="62"/>
      <c r="DS382" s="62"/>
      <c r="DT382" s="62"/>
      <c r="DU382" s="62"/>
      <c r="DV382" s="62"/>
    </row>
    <row r="383" spans="1:126" ht="13.5" customHeight="1" x14ac:dyDescent="0.2">
      <c r="A383" s="54"/>
      <c r="B383" s="481"/>
      <c r="C383" s="481"/>
      <c r="D383" s="481"/>
      <c r="E383" s="481"/>
      <c r="F383" s="481"/>
      <c r="G383" s="481"/>
      <c r="H383" s="481"/>
      <c r="I383" s="481"/>
      <c r="J383" s="481"/>
      <c r="K383" s="481"/>
      <c r="L383" s="481"/>
      <c r="M383" s="492" t="s">
        <v>389</v>
      </c>
      <c r="N383" s="492"/>
      <c r="O383" s="492"/>
      <c r="P383" s="492"/>
      <c r="Q383" s="492"/>
      <c r="R383" s="492"/>
      <c r="S383" s="492" t="s">
        <v>388</v>
      </c>
      <c r="T383" s="492"/>
      <c r="U383" s="492"/>
      <c r="V383" s="492"/>
      <c r="W383" s="492"/>
      <c r="X383" s="492"/>
      <c r="Y383" s="492" t="s">
        <v>387</v>
      </c>
      <c r="Z383" s="492"/>
      <c r="AA383" s="492"/>
      <c r="AB383" s="492"/>
      <c r="AC383" s="492"/>
      <c r="AD383" s="492"/>
      <c r="AE383" s="492"/>
      <c r="AF383" s="492" t="s">
        <v>850</v>
      </c>
      <c r="AG383" s="492"/>
      <c r="AH383" s="492"/>
      <c r="AI383" s="492"/>
      <c r="AJ383" s="91"/>
      <c r="AK383" s="182"/>
      <c r="AY383" s="63"/>
      <c r="AZ383" s="63"/>
      <c r="BA383" s="63"/>
      <c r="BB383" s="62"/>
      <c r="BC383" s="62"/>
      <c r="BD383" s="62"/>
      <c r="BE383" s="62"/>
      <c r="BF383" s="62"/>
      <c r="BG383" s="62"/>
      <c r="BH383" s="62"/>
      <c r="BI383" s="62"/>
      <c r="BJ383" s="62"/>
      <c r="BK383" s="62"/>
      <c r="BL383" s="62"/>
      <c r="BM383" s="62"/>
      <c r="BN383" s="62"/>
      <c r="BO383" s="62"/>
      <c r="BP383" s="62"/>
      <c r="BQ383" s="62"/>
      <c r="BR383" s="62"/>
      <c r="BS383" s="62"/>
      <c r="BT383" s="62"/>
      <c r="BU383" s="62"/>
      <c r="BV383" s="62"/>
      <c r="BW383" s="62"/>
      <c r="BX383" s="62"/>
      <c r="BY383" s="62"/>
      <c r="BZ383" s="62"/>
      <c r="CI383" s="63"/>
      <c r="CJ383" s="62"/>
      <c r="CK383" s="62"/>
      <c r="CL383" s="62"/>
      <c r="CM383" s="62"/>
      <c r="CN383" s="62"/>
      <c r="CO383" s="62"/>
      <c r="CP383" s="62"/>
      <c r="CQ383" s="62"/>
      <c r="DJ383" s="63"/>
      <c r="DK383" s="63"/>
      <c r="DL383" s="63"/>
      <c r="DM383" s="62"/>
      <c r="DN383" s="62"/>
      <c r="DO383" s="62"/>
      <c r="DP383" s="62"/>
      <c r="DQ383" s="62"/>
      <c r="DR383" s="62"/>
      <c r="DS383" s="62"/>
      <c r="DT383" s="62"/>
      <c r="DU383" s="62"/>
      <c r="DV383" s="62"/>
    </row>
    <row r="384" spans="1:126" ht="15" thickBot="1" x14ac:dyDescent="0.25">
      <c r="A384" s="54"/>
      <c r="B384" s="482"/>
      <c r="C384" s="482"/>
      <c r="D384" s="482"/>
      <c r="E384" s="482"/>
      <c r="F384" s="482"/>
      <c r="G384" s="482"/>
      <c r="H384" s="482"/>
      <c r="I384" s="482"/>
      <c r="J384" s="482"/>
      <c r="K384" s="482"/>
      <c r="L384" s="482"/>
      <c r="M384" s="493"/>
      <c r="N384" s="493"/>
      <c r="O384" s="493"/>
      <c r="P384" s="493"/>
      <c r="Q384" s="493"/>
      <c r="R384" s="493"/>
      <c r="S384" s="493"/>
      <c r="T384" s="493"/>
      <c r="U384" s="493"/>
      <c r="V384" s="493"/>
      <c r="W384" s="493"/>
      <c r="X384" s="493"/>
      <c r="Y384" s="493"/>
      <c r="Z384" s="493"/>
      <c r="AA384" s="493"/>
      <c r="AB384" s="493"/>
      <c r="AC384" s="493"/>
      <c r="AD384" s="493"/>
      <c r="AE384" s="493"/>
      <c r="AF384" s="493"/>
      <c r="AG384" s="493"/>
      <c r="AH384" s="493"/>
      <c r="AI384" s="493"/>
      <c r="AJ384" s="91"/>
      <c r="AK384" s="182"/>
      <c r="BB384" s="62"/>
      <c r="BC384" s="62"/>
      <c r="BD384" s="62"/>
      <c r="BE384" s="62"/>
      <c r="BF384" s="62"/>
      <c r="BG384" s="62"/>
      <c r="BH384" s="62"/>
      <c r="BI384" s="62"/>
      <c r="BJ384" s="62"/>
      <c r="BK384" s="62"/>
      <c r="BL384" s="62"/>
      <c r="BM384" s="62"/>
      <c r="BN384" s="62"/>
      <c r="BO384" s="62"/>
      <c r="BP384" s="62"/>
      <c r="BQ384" s="62"/>
      <c r="BR384" s="62"/>
      <c r="BS384" s="62"/>
      <c r="BT384" s="62"/>
      <c r="BU384" s="62"/>
      <c r="BV384" s="62"/>
      <c r="BW384" s="62"/>
      <c r="BX384" s="62"/>
      <c r="BY384" s="62"/>
      <c r="BZ384" s="62"/>
      <c r="CJ384" s="62"/>
      <c r="CK384" s="62"/>
      <c r="CL384" s="62"/>
      <c r="CM384" s="62"/>
      <c r="CN384" s="62"/>
      <c r="CO384" s="62"/>
      <c r="CP384" s="62"/>
      <c r="CQ384" s="62"/>
      <c r="DM384" s="62"/>
      <c r="DN384" s="62"/>
      <c r="DO384" s="62"/>
      <c r="DP384" s="62"/>
      <c r="DQ384" s="62"/>
      <c r="DR384" s="62"/>
      <c r="DS384" s="62"/>
      <c r="DT384" s="62"/>
      <c r="DU384" s="62"/>
      <c r="DV384" s="62"/>
    </row>
    <row r="385" spans="1:126" ht="14.25" customHeight="1" x14ac:dyDescent="0.2">
      <c r="A385" s="54"/>
      <c r="B385" s="366" t="s">
        <v>524</v>
      </c>
      <c r="C385" s="367"/>
      <c r="D385" s="367"/>
      <c r="E385" s="367"/>
      <c r="F385" s="367"/>
      <c r="G385" s="367"/>
      <c r="H385" s="367"/>
      <c r="I385" s="367"/>
      <c r="J385" s="367"/>
      <c r="K385" s="367"/>
      <c r="L385" s="367"/>
      <c r="M385" s="368">
        <f>Q410</f>
        <v>36.75</v>
      </c>
      <c r="N385" s="368"/>
      <c r="O385" s="368"/>
      <c r="P385" s="368"/>
      <c r="Q385" s="368"/>
      <c r="R385" s="368"/>
      <c r="S385" s="368">
        <f>L410</f>
        <v>0</v>
      </c>
      <c r="T385" s="368"/>
      <c r="U385" s="368"/>
      <c r="V385" s="368"/>
      <c r="W385" s="368"/>
      <c r="X385" s="368"/>
      <c r="Y385" s="494" t="str">
        <f>V410</f>
        <v>-</v>
      </c>
      <c r="Z385" s="494"/>
      <c r="AA385" s="494"/>
      <c r="AB385" s="494"/>
      <c r="AC385" s="494"/>
      <c r="AD385" s="494"/>
      <c r="AE385" s="494"/>
      <c r="AF385" s="360" t="str">
        <f>IF(OR(Y385="",Y385="-"),"-",IF(Y385&lt;=100,"OK","N/A"))</f>
        <v>-</v>
      </c>
      <c r="AG385" s="360"/>
      <c r="AH385" s="360"/>
      <c r="AI385" s="360"/>
      <c r="BB385" s="62"/>
      <c r="BC385" s="62"/>
      <c r="BD385" s="62"/>
      <c r="BE385" s="62"/>
      <c r="BF385" s="62"/>
      <c r="BG385" s="62"/>
      <c r="BH385" s="62"/>
      <c r="BI385" s="62"/>
      <c r="BJ385" s="62"/>
      <c r="BK385" s="62"/>
      <c r="BL385" s="62"/>
      <c r="BM385" s="62"/>
      <c r="BN385" s="62"/>
      <c r="BO385" s="62"/>
      <c r="BP385" s="62"/>
      <c r="BQ385" s="62"/>
      <c r="BR385" s="62"/>
      <c r="BS385" s="62"/>
      <c r="BT385" s="62"/>
      <c r="BU385" s="62"/>
      <c r="BV385" s="62"/>
      <c r="BW385" s="62"/>
      <c r="BX385" s="62"/>
      <c r="BY385" s="62"/>
      <c r="BZ385" s="62"/>
      <c r="CJ385" s="62"/>
      <c r="CK385" s="62"/>
      <c r="CL385" s="62"/>
      <c r="CM385" s="62"/>
      <c r="CN385" s="62"/>
      <c r="CO385" s="62"/>
      <c r="CP385" s="62"/>
      <c r="CQ385" s="62"/>
      <c r="DM385" s="62"/>
      <c r="DN385" s="62"/>
      <c r="DO385" s="62"/>
      <c r="DP385" s="62"/>
      <c r="DQ385" s="62"/>
      <c r="DR385" s="62"/>
      <c r="DS385" s="62"/>
      <c r="DT385" s="62"/>
      <c r="DU385" s="62"/>
      <c r="DV385" s="62"/>
    </row>
    <row r="386" spans="1:126" ht="14.25" customHeight="1" x14ac:dyDescent="0.2">
      <c r="A386" s="54"/>
      <c r="B386" s="296" t="s">
        <v>525</v>
      </c>
      <c r="C386" s="354"/>
      <c r="D386" s="354"/>
      <c r="E386" s="354"/>
      <c r="F386" s="354"/>
      <c r="G386" s="354"/>
      <c r="H386" s="354"/>
      <c r="I386" s="354"/>
      <c r="J386" s="354"/>
      <c r="K386" s="354"/>
      <c r="L386" s="354"/>
      <c r="M386" s="355">
        <f>Q440</f>
        <v>41.5</v>
      </c>
      <c r="N386" s="355"/>
      <c r="O386" s="355"/>
      <c r="P386" s="355"/>
      <c r="Q386" s="355"/>
      <c r="R386" s="355"/>
      <c r="S386" s="355">
        <f>L440</f>
        <v>65.547043082374373</v>
      </c>
      <c r="T386" s="355"/>
      <c r="U386" s="355"/>
      <c r="V386" s="355"/>
      <c r="W386" s="355"/>
      <c r="X386" s="355"/>
      <c r="Y386" s="491">
        <f>V440</f>
        <v>63.313306059963772</v>
      </c>
      <c r="Z386" s="491"/>
      <c r="AA386" s="491"/>
      <c r="AB386" s="491"/>
      <c r="AC386" s="491"/>
      <c r="AD386" s="491"/>
      <c r="AE386" s="491"/>
      <c r="AF386" s="358" t="str">
        <f>IF(OR(Y386="",Y386="-"),"-",IF(Y386&lt;=100,"OK","N/A"))</f>
        <v>OK</v>
      </c>
      <c r="AG386" s="358"/>
      <c r="AH386" s="358"/>
      <c r="AI386" s="358"/>
      <c r="BB386" s="62"/>
      <c r="BC386" s="62"/>
      <c r="BD386" s="62"/>
      <c r="BE386" s="62"/>
      <c r="BF386" s="62"/>
      <c r="BG386" s="62"/>
      <c r="BH386" s="62"/>
      <c r="BI386" s="62"/>
      <c r="BJ386" s="62"/>
      <c r="BK386" s="62"/>
      <c r="BL386" s="62"/>
      <c r="BM386" s="62"/>
      <c r="BN386" s="62"/>
      <c r="BO386" s="62"/>
      <c r="BP386" s="62"/>
      <c r="BQ386" s="62"/>
      <c r="BR386" s="62"/>
      <c r="BS386" s="62"/>
      <c r="BT386" s="62"/>
      <c r="BU386" s="62"/>
      <c r="BV386" s="62"/>
      <c r="BW386" s="62"/>
      <c r="BX386" s="62"/>
      <c r="BY386" s="62"/>
      <c r="BZ386" s="62"/>
      <c r="CJ386" s="62"/>
      <c r="CK386" s="62"/>
      <c r="CL386" s="62"/>
      <c r="CM386" s="62"/>
      <c r="CN386" s="62"/>
      <c r="CO386" s="62"/>
      <c r="CP386" s="62"/>
      <c r="CQ386" s="62"/>
      <c r="DM386" s="62"/>
      <c r="DN386" s="62"/>
      <c r="DO386" s="62"/>
      <c r="DP386" s="62"/>
      <c r="DQ386" s="62"/>
      <c r="DR386" s="62"/>
      <c r="DS386" s="62"/>
      <c r="DT386" s="62"/>
      <c r="DU386" s="62"/>
      <c r="DV386" s="62"/>
    </row>
    <row r="387" spans="1:126" ht="14.25" customHeight="1" x14ac:dyDescent="0.2">
      <c r="A387" s="54"/>
      <c r="B387" s="296" t="s">
        <v>523</v>
      </c>
      <c r="C387" s="354"/>
      <c r="D387" s="354"/>
      <c r="E387" s="354"/>
      <c r="F387" s="354"/>
      <c r="G387" s="354"/>
      <c r="H387" s="354"/>
      <c r="I387" s="354"/>
      <c r="J387" s="354"/>
      <c r="K387" s="354"/>
      <c r="L387" s="354"/>
      <c r="M387" s="355" t="str">
        <f>Q462</f>
        <v>-</v>
      </c>
      <c r="N387" s="355"/>
      <c r="O387" s="355"/>
      <c r="P387" s="355"/>
      <c r="Q387" s="355"/>
      <c r="R387" s="355"/>
      <c r="S387" s="355" t="str">
        <f>L462</f>
        <v>-</v>
      </c>
      <c r="T387" s="355"/>
      <c r="U387" s="355"/>
      <c r="V387" s="355"/>
      <c r="W387" s="355"/>
      <c r="X387" s="355"/>
      <c r="Y387" s="491" t="str">
        <f>V462</f>
        <v>-</v>
      </c>
      <c r="Z387" s="491"/>
      <c r="AA387" s="491"/>
      <c r="AB387" s="491"/>
      <c r="AC387" s="491"/>
      <c r="AD387" s="491"/>
      <c r="AE387" s="491"/>
      <c r="AF387" s="357" t="str">
        <f>IF(OR(Y387="",Y387="-"),"-",IF(Y387&lt;=100,"OK","N/A"))</f>
        <v>-</v>
      </c>
      <c r="AG387" s="357"/>
      <c r="AH387" s="357"/>
      <c r="AI387" s="357"/>
      <c r="BB387" s="62"/>
      <c r="BC387" s="62"/>
      <c r="BD387" s="62"/>
      <c r="BE387" s="62"/>
      <c r="BF387" s="62"/>
      <c r="BG387" s="62"/>
      <c r="BH387" s="62"/>
      <c r="BI387" s="62"/>
      <c r="BJ387" s="62"/>
      <c r="BK387" s="62"/>
      <c r="BL387" s="62"/>
      <c r="BM387" s="62"/>
      <c r="BN387" s="62"/>
      <c r="BO387" s="62"/>
      <c r="BP387" s="62"/>
      <c r="BQ387" s="62"/>
      <c r="BR387" s="62"/>
      <c r="BS387" s="62"/>
      <c r="BT387" s="62"/>
      <c r="BU387" s="62"/>
      <c r="BV387" s="62"/>
      <c r="BW387" s="62"/>
      <c r="BX387" s="62"/>
      <c r="BY387" s="62"/>
      <c r="BZ387" s="62"/>
      <c r="CJ387" s="62"/>
      <c r="CK387" s="62"/>
      <c r="CL387" s="62"/>
      <c r="CM387" s="62"/>
      <c r="CN387" s="62"/>
      <c r="CO387" s="62"/>
      <c r="CP387" s="62"/>
      <c r="CQ387" s="62"/>
      <c r="DM387" s="62"/>
      <c r="DN387" s="62"/>
      <c r="DO387" s="62"/>
      <c r="DP387" s="62"/>
      <c r="DQ387" s="62"/>
      <c r="DR387" s="62"/>
      <c r="DS387" s="62"/>
      <c r="DT387" s="62"/>
      <c r="DU387" s="62"/>
      <c r="DV387" s="62"/>
    </row>
    <row r="388" spans="1:126" ht="14.25" customHeight="1" x14ac:dyDescent="0.2">
      <c r="A388" s="54"/>
      <c r="B388" s="296" t="s">
        <v>522</v>
      </c>
      <c r="C388" s="354"/>
      <c r="D388" s="354"/>
      <c r="E388" s="354"/>
      <c r="F388" s="354"/>
      <c r="G388" s="354"/>
      <c r="H388" s="354"/>
      <c r="I388" s="354"/>
      <c r="J388" s="354"/>
      <c r="K388" s="354"/>
      <c r="L388" s="354"/>
      <c r="M388" s="355" t="str">
        <f>Q493</f>
        <v>-</v>
      </c>
      <c r="N388" s="355"/>
      <c r="O388" s="355"/>
      <c r="P388" s="355"/>
      <c r="Q388" s="355"/>
      <c r="R388" s="355"/>
      <c r="S388" s="355" t="str">
        <f>L493</f>
        <v>-</v>
      </c>
      <c r="T388" s="355"/>
      <c r="U388" s="355"/>
      <c r="V388" s="355"/>
      <c r="W388" s="355"/>
      <c r="X388" s="355"/>
      <c r="Y388" s="491" t="str">
        <f>V493</f>
        <v>-</v>
      </c>
      <c r="Z388" s="491"/>
      <c r="AA388" s="491"/>
      <c r="AB388" s="491"/>
      <c r="AC388" s="491"/>
      <c r="AD388" s="491"/>
      <c r="AE388" s="491"/>
      <c r="AF388" s="358" t="str">
        <f>IF(OR(Y388="",Y388="-"),"-",IF(Y388&lt;=100,"OK","N/A"))</f>
        <v>-</v>
      </c>
      <c r="AG388" s="358"/>
      <c r="AH388" s="358"/>
      <c r="AI388" s="358"/>
      <c r="BB388" s="62"/>
      <c r="BC388" s="62"/>
      <c r="BD388" s="62"/>
      <c r="BE388" s="62"/>
      <c r="BF388" s="62"/>
      <c r="BG388" s="62"/>
      <c r="BH388" s="62"/>
      <c r="BI388" s="62"/>
      <c r="BJ388" s="62"/>
      <c r="BK388" s="62"/>
      <c r="BL388" s="62"/>
      <c r="BM388" s="62"/>
      <c r="BN388" s="62"/>
      <c r="BO388" s="62"/>
      <c r="BP388" s="62"/>
      <c r="BQ388" s="62"/>
      <c r="BR388" s="62"/>
      <c r="BS388" s="62"/>
      <c r="BT388" s="62"/>
      <c r="BU388" s="62"/>
      <c r="BV388" s="62"/>
      <c r="BW388" s="62"/>
      <c r="BX388" s="62"/>
      <c r="BY388" s="62"/>
      <c r="BZ388" s="62"/>
      <c r="CJ388" s="62"/>
      <c r="CK388" s="62"/>
      <c r="CL388" s="62"/>
      <c r="CM388" s="62"/>
      <c r="CN388" s="62"/>
      <c r="CO388" s="62"/>
      <c r="CP388" s="62"/>
      <c r="CQ388" s="62"/>
      <c r="DM388" s="62"/>
      <c r="DN388" s="62"/>
      <c r="DO388" s="62"/>
      <c r="DP388" s="62"/>
      <c r="DQ388" s="62"/>
      <c r="DR388" s="62"/>
      <c r="DS388" s="62"/>
      <c r="DT388" s="62"/>
      <c r="DU388" s="62"/>
      <c r="DV388" s="62"/>
    </row>
    <row r="389" spans="1:126" ht="14.25" customHeight="1" thickBot="1" x14ac:dyDescent="0.25">
      <c r="A389" s="54"/>
      <c r="B389" s="406" t="s">
        <v>526</v>
      </c>
      <c r="C389" s="499"/>
      <c r="D389" s="499"/>
      <c r="E389" s="499"/>
      <c r="F389" s="499"/>
      <c r="G389" s="499"/>
      <c r="H389" s="499"/>
      <c r="I389" s="499"/>
      <c r="J389" s="499"/>
      <c r="K389" s="499"/>
      <c r="L389" s="499"/>
      <c r="M389" s="381" t="str">
        <f>Q515</f>
        <v>-</v>
      </c>
      <c r="N389" s="381"/>
      <c r="O389" s="381"/>
      <c r="P389" s="381"/>
      <c r="Q389" s="381"/>
      <c r="R389" s="381"/>
      <c r="S389" s="381" t="str">
        <f>L515</f>
        <v>-</v>
      </c>
      <c r="T389" s="381"/>
      <c r="U389" s="381"/>
      <c r="V389" s="381"/>
      <c r="W389" s="381"/>
      <c r="X389" s="381"/>
      <c r="Y389" s="382" t="str">
        <f>V515</f>
        <v>-</v>
      </c>
      <c r="Z389" s="382"/>
      <c r="AA389" s="382"/>
      <c r="AB389" s="382"/>
      <c r="AC389" s="382"/>
      <c r="AD389" s="382"/>
      <c r="AE389" s="382"/>
      <c r="AF389" s="383" t="str">
        <f>IF(OR(Y389="",Y389="-"),"-",IF(Y389&lt;=100,"OK","N/A"))</f>
        <v>-</v>
      </c>
      <c r="AG389" s="383"/>
      <c r="AH389" s="383"/>
      <c r="AI389" s="383"/>
      <c r="BB389" s="62"/>
      <c r="BC389" s="62"/>
      <c r="BD389" s="62"/>
      <c r="BE389" s="62"/>
      <c r="BF389" s="62"/>
      <c r="BG389" s="62"/>
      <c r="BH389" s="62"/>
      <c r="BI389" s="62"/>
      <c r="BJ389" s="62"/>
      <c r="BK389" s="62"/>
      <c r="BL389" s="62"/>
      <c r="BM389" s="62"/>
      <c r="BN389" s="62"/>
      <c r="BO389" s="62"/>
      <c r="BP389" s="62"/>
      <c r="BQ389" s="62"/>
      <c r="BR389" s="62"/>
      <c r="BS389" s="62"/>
      <c r="BT389" s="62"/>
      <c r="BU389" s="62"/>
      <c r="BV389" s="62"/>
      <c r="BW389" s="62"/>
      <c r="BX389" s="62"/>
      <c r="BY389" s="62"/>
      <c r="BZ389" s="62"/>
      <c r="CJ389" s="62"/>
      <c r="CK389" s="62"/>
      <c r="CL389" s="62"/>
      <c r="CM389" s="62"/>
      <c r="CN389" s="62"/>
      <c r="CO389" s="62"/>
      <c r="CP389" s="62"/>
      <c r="CQ389" s="62"/>
      <c r="DM389" s="62"/>
      <c r="DN389" s="62"/>
      <c r="DO389" s="62"/>
      <c r="DP389" s="62"/>
      <c r="DQ389" s="62"/>
      <c r="DR389" s="62"/>
      <c r="DS389" s="62"/>
      <c r="DT389" s="62"/>
      <c r="DU389" s="62"/>
      <c r="DV389" s="62"/>
    </row>
    <row r="390" spans="1:126" x14ac:dyDescent="0.2">
      <c r="A390" s="54"/>
      <c r="B390" s="54"/>
      <c r="C390" s="54"/>
      <c r="D390" s="67"/>
      <c r="E390" s="68"/>
      <c r="F390" s="68"/>
      <c r="G390" s="68"/>
      <c r="H390" s="68"/>
      <c r="I390" s="68"/>
      <c r="J390" s="68"/>
      <c r="K390" s="68"/>
      <c r="L390" s="68"/>
      <c r="M390" s="68"/>
      <c r="N390" s="68"/>
      <c r="O390" s="68"/>
      <c r="P390" s="68"/>
      <c r="Q390" s="68"/>
      <c r="R390" s="68"/>
      <c r="S390" s="68"/>
      <c r="T390" s="68"/>
      <c r="U390" s="68"/>
      <c r="V390" s="68"/>
      <c r="W390" s="68"/>
      <c r="X390" s="68"/>
      <c r="Y390" s="68"/>
      <c r="Z390" s="68"/>
      <c r="AA390" s="68"/>
      <c r="AB390" s="68"/>
      <c r="AC390" s="68"/>
      <c r="AD390" s="68"/>
      <c r="AE390" s="68"/>
      <c r="AF390" s="68"/>
      <c r="AG390" s="68"/>
      <c r="AH390" s="68"/>
      <c r="AI390" s="68"/>
      <c r="AJ390" s="91"/>
      <c r="AK390" s="182"/>
      <c r="BB390" s="62"/>
      <c r="BC390" s="62"/>
      <c r="BD390" s="62"/>
      <c r="BE390" s="62"/>
      <c r="BF390" s="62"/>
      <c r="BG390" s="62"/>
      <c r="BH390" s="62"/>
      <c r="BI390" s="62"/>
      <c r="BJ390" s="62"/>
      <c r="BK390" s="62"/>
      <c r="BL390" s="62"/>
      <c r="BM390" s="62"/>
      <c r="BN390" s="62"/>
      <c r="BO390" s="62"/>
      <c r="BP390" s="62"/>
      <c r="BQ390" s="62"/>
      <c r="BR390" s="62"/>
      <c r="BS390" s="62"/>
      <c r="BT390" s="62"/>
      <c r="BU390" s="62"/>
      <c r="BV390" s="62"/>
      <c r="BW390" s="62"/>
      <c r="BX390" s="62"/>
      <c r="BY390" s="62"/>
      <c r="BZ390" s="62"/>
      <c r="CJ390" s="62"/>
      <c r="CK390" s="62"/>
      <c r="CL390" s="62"/>
      <c r="CM390" s="62"/>
      <c r="CN390" s="62"/>
      <c r="CO390" s="62"/>
      <c r="CP390" s="62"/>
      <c r="CQ390" s="62"/>
      <c r="DM390" s="62"/>
      <c r="DN390" s="62"/>
      <c r="DO390" s="62"/>
      <c r="DP390" s="62"/>
      <c r="DQ390" s="62"/>
      <c r="DR390" s="62"/>
      <c r="DS390" s="62"/>
      <c r="DT390" s="62"/>
      <c r="DU390" s="62"/>
      <c r="DV390" s="62"/>
    </row>
    <row r="391" spans="1:126" ht="12.75" customHeight="1" x14ac:dyDescent="0.2">
      <c r="A391" s="54"/>
      <c r="B391" s="54"/>
      <c r="C391" s="54"/>
      <c r="D391" s="67"/>
      <c r="E391" s="68"/>
      <c r="F391" s="68"/>
      <c r="G391" s="68"/>
      <c r="H391" s="68"/>
      <c r="I391" s="68"/>
      <c r="J391" s="68"/>
      <c r="K391" s="68"/>
      <c r="L391" s="68"/>
      <c r="M391" s="68"/>
      <c r="N391" s="68"/>
      <c r="O391" s="68"/>
      <c r="P391" s="68"/>
      <c r="Q391" s="68"/>
      <c r="R391" s="68"/>
      <c r="S391" s="68"/>
      <c r="T391" s="68"/>
      <c r="U391" s="68"/>
      <c r="V391" s="68"/>
      <c r="W391" s="68"/>
      <c r="X391" s="68"/>
      <c r="Y391" s="68"/>
      <c r="Z391" s="68"/>
      <c r="AA391" s="68"/>
      <c r="AB391" s="68"/>
      <c r="AC391" s="68"/>
      <c r="AD391" s="68"/>
      <c r="AE391" s="68"/>
      <c r="AF391" s="68"/>
      <c r="AG391" s="68"/>
      <c r="AH391" s="68"/>
      <c r="AI391" s="68"/>
      <c r="AJ391" s="91"/>
      <c r="AK391" s="182"/>
      <c r="AY391" s="65"/>
      <c r="AZ391" s="65"/>
      <c r="BA391" s="65"/>
      <c r="BB391" s="62"/>
      <c r="BC391" s="62"/>
      <c r="BD391" s="62"/>
      <c r="BE391" s="62"/>
      <c r="BF391" s="62"/>
      <c r="BG391" s="62"/>
      <c r="BH391" s="62"/>
      <c r="BI391" s="62"/>
      <c r="BJ391" s="62"/>
      <c r="BK391" s="62"/>
      <c r="BL391" s="62"/>
      <c r="BM391" s="62"/>
      <c r="BN391" s="62"/>
      <c r="BO391" s="62"/>
      <c r="BP391" s="62"/>
      <c r="BQ391" s="62"/>
      <c r="BR391" s="62"/>
      <c r="BS391" s="62"/>
      <c r="BT391" s="62"/>
      <c r="BU391" s="62"/>
      <c r="BV391" s="62"/>
      <c r="BW391" s="62"/>
      <c r="BX391" s="62"/>
      <c r="BY391" s="62"/>
      <c r="BZ391" s="62"/>
      <c r="CI391" s="65"/>
      <c r="CJ391" s="62"/>
      <c r="CK391" s="62"/>
      <c r="CL391" s="62"/>
      <c r="CM391" s="62"/>
      <c r="CN391" s="62"/>
      <c r="CO391" s="62"/>
      <c r="CP391" s="62"/>
      <c r="CQ391" s="62"/>
      <c r="DJ391" s="65"/>
      <c r="DK391" s="65"/>
      <c r="DL391" s="65"/>
      <c r="DM391" s="62"/>
      <c r="DN391" s="62"/>
      <c r="DO391" s="62"/>
      <c r="DP391" s="62"/>
      <c r="DQ391" s="62"/>
      <c r="DR391" s="62"/>
      <c r="DS391" s="62"/>
      <c r="DT391" s="62"/>
      <c r="DU391" s="62"/>
      <c r="DV391" s="62"/>
    </row>
    <row r="392" spans="1:126" ht="13.5" customHeight="1" x14ac:dyDescent="0.2">
      <c r="A392" s="54"/>
      <c r="B392" s="54"/>
      <c r="C392" s="324" t="s">
        <v>383</v>
      </c>
      <c r="D392" s="333"/>
      <c r="E392" s="333"/>
      <c r="F392" s="333"/>
      <c r="G392" s="333"/>
      <c r="H392" s="333"/>
      <c r="I392" s="333"/>
      <c r="J392" s="333"/>
      <c r="K392" s="333"/>
      <c r="L392" s="333"/>
      <c r="M392" s="333"/>
      <c r="N392" s="333"/>
      <c r="O392" s="333"/>
      <c r="P392" s="333"/>
      <c r="Q392" s="333"/>
      <c r="R392" s="333"/>
      <c r="S392" s="333"/>
      <c r="T392" s="333"/>
      <c r="U392" s="333"/>
      <c r="V392" s="333"/>
      <c r="W392" s="333"/>
      <c r="X392" s="333"/>
      <c r="Y392" s="333"/>
      <c r="Z392" s="333"/>
      <c r="AA392" s="333"/>
      <c r="AB392" s="333"/>
      <c r="AC392" s="333"/>
      <c r="AD392" s="333"/>
      <c r="AE392" s="333"/>
      <c r="AF392" s="333"/>
      <c r="AG392" s="333"/>
      <c r="AH392" s="333"/>
      <c r="AI392" s="333"/>
      <c r="AJ392" s="333"/>
      <c r="AK392" s="175"/>
      <c r="AY392" s="55"/>
      <c r="AZ392" s="55"/>
      <c r="BA392" s="55"/>
      <c r="BB392" s="55"/>
      <c r="BC392" s="62"/>
      <c r="BD392" s="62"/>
      <c r="BE392" s="55"/>
      <c r="BF392" s="55"/>
      <c r="BG392" s="62"/>
      <c r="BH392" s="62"/>
      <c r="BI392" s="62"/>
      <c r="BJ392" s="62"/>
      <c r="BK392" s="62"/>
      <c r="BL392" s="62"/>
      <c r="BM392" s="62"/>
      <c r="BN392" s="62"/>
      <c r="BO392" s="62"/>
      <c r="BP392" s="62"/>
      <c r="BQ392" s="55"/>
      <c r="BR392" s="55"/>
      <c r="BS392" s="62"/>
      <c r="BT392" s="62"/>
      <c r="BU392" s="62"/>
      <c r="BV392" s="62"/>
      <c r="BW392" s="62"/>
      <c r="BX392" s="62"/>
      <c r="BY392" s="62"/>
      <c r="BZ392" s="62"/>
      <c r="CJ392" s="62"/>
      <c r="CK392" s="62"/>
      <c r="CL392" s="62"/>
      <c r="CM392" s="62"/>
      <c r="CN392" s="62"/>
      <c r="CO392" s="62"/>
      <c r="CP392" s="62"/>
      <c r="CQ392" s="62"/>
      <c r="DM392" s="62"/>
      <c r="DN392" s="62"/>
      <c r="DO392" s="62"/>
      <c r="DP392" s="62"/>
      <c r="DQ392" s="62"/>
      <c r="DR392" s="62"/>
      <c r="DS392" s="62"/>
      <c r="DT392" s="62"/>
      <c r="DU392" s="62"/>
      <c r="DV392" s="62"/>
    </row>
    <row r="393" spans="1:126" x14ac:dyDescent="0.2">
      <c r="A393" s="56"/>
      <c r="B393" s="54"/>
      <c r="C393" s="54"/>
      <c r="D393" s="54"/>
      <c r="E393" s="223"/>
      <c r="F393" s="54"/>
      <c r="G393" s="54"/>
      <c r="H393" s="54"/>
      <c r="I393" s="54"/>
      <c r="J393" s="54"/>
      <c r="K393" s="54"/>
      <c r="L393" s="54"/>
      <c r="M393" s="54"/>
      <c r="N393" s="54"/>
      <c r="O393" s="54"/>
      <c r="P393" s="54"/>
      <c r="Q393" s="54"/>
      <c r="R393" s="54"/>
      <c r="S393" s="54"/>
      <c r="T393" s="54"/>
      <c r="U393" s="54"/>
      <c r="V393" s="54"/>
      <c r="W393" s="54"/>
      <c r="X393" s="54"/>
      <c r="Y393" s="54"/>
      <c r="Z393" s="54"/>
      <c r="AA393" s="223"/>
      <c r="AB393" s="223"/>
      <c r="AC393" s="223"/>
      <c r="AD393" s="223"/>
      <c r="AE393" s="223"/>
      <c r="AF393" s="223"/>
      <c r="AG393" s="223"/>
      <c r="AH393" s="223"/>
      <c r="AI393" s="223"/>
      <c r="AY393" s="55"/>
      <c r="AZ393" s="55"/>
      <c r="BA393" s="55"/>
      <c r="BB393" s="55"/>
      <c r="BC393" s="62"/>
      <c r="BD393" s="62"/>
      <c r="BE393" s="55"/>
      <c r="BF393" s="55"/>
      <c r="BG393" s="62"/>
      <c r="BH393" s="62"/>
      <c r="BI393" s="62"/>
      <c r="BJ393" s="62"/>
      <c r="BK393" s="62"/>
      <c r="BL393" s="62"/>
      <c r="BM393" s="62"/>
      <c r="BN393" s="62"/>
      <c r="BO393" s="62"/>
      <c r="BP393" s="62"/>
      <c r="BQ393" s="55"/>
      <c r="BR393" s="55"/>
      <c r="BS393" s="62"/>
      <c r="BT393" s="62"/>
      <c r="BU393" s="62"/>
      <c r="BV393" s="62"/>
      <c r="BW393" s="62"/>
      <c r="BX393" s="62"/>
      <c r="BY393" s="62"/>
      <c r="BZ393" s="62"/>
      <c r="CJ393" s="62"/>
      <c r="CK393" s="62"/>
      <c r="CL393" s="62"/>
      <c r="CM393" s="62"/>
      <c r="CN393" s="62"/>
      <c r="CO393" s="62"/>
      <c r="CP393" s="62"/>
      <c r="CQ393" s="62"/>
      <c r="DM393" s="62"/>
      <c r="DN393" s="62"/>
      <c r="DO393" s="62"/>
      <c r="DP393" s="62"/>
      <c r="DQ393" s="62"/>
      <c r="DR393" s="62"/>
      <c r="DS393" s="62"/>
      <c r="DT393" s="62"/>
      <c r="DU393" s="62"/>
      <c r="DV393" s="62"/>
    </row>
    <row r="394" spans="1:126" ht="15" customHeight="1" x14ac:dyDescent="0.2">
      <c r="A394" s="56"/>
      <c r="B394" s="59"/>
      <c r="C394" s="330"/>
      <c r="D394" s="330"/>
      <c r="E394" s="330"/>
      <c r="F394" s="330"/>
      <c r="G394" s="330"/>
      <c r="H394" s="330"/>
      <c r="I394" s="330"/>
      <c r="J394" s="330"/>
      <c r="K394" s="330"/>
      <c r="L394" s="330"/>
      <c r="M394" s="330"/>
      <c r="N394" s="330"/>
      <c r="O394" s="330"/>
      <c r="P394" s="330" t="s">
        <v>464</v>
      </c>
      <c r="Q394" s="330"/>
      <c r="R394" s="330"/>
      <c r="S394" s="330"/>
      <c r="T394" s="330"/>
      <c r="U394" s="330"/>
      <c r="V394" s="330"/>
      <c r="W394" s="330"/>
      <c r="X394" s="330"/>
      <c r="Y394" s="330"/>
      <c r="Z394" s="330"/>
      <c r="AA394" s="330"/>
      <c r="AB394" s="330"/>
      <c r="AC394" s="330"/>
      <c r="AD394" s="330"/>
      <c r="AE394" s="330"/>
      <c r="AF394" s="330"/>
      <c r="AG394" s="330"/>
      <c r="AH394" s="330"/>
      <c r="AI394" s="330"/>
      <c r="AY394" s="55"/>
      <c r="AZ394" s="55"/>
      <c r="BA394" s="55"/>
      <c r="BB394" s="55"/>
      <c r="BC394" s="62"/>
      <c r="BD394" s="62"/>
      <c r="BE394" s="55"/>
      <c r="BF394" s="55"/>
      <c r="BG394" s="62"/>
      <c r="BH394" s="62"/>
      <c r="BI394" s="62"/>
      <c r="BJ394" s="62"/>
      <c r="BK394" s="62"/>
      <c r="BL394" s="62"/>
      <c r="BM394" s="62"/>
      <c r="BN394" s="62"/>
      <c r="BO394" s="62"/>
      <c r="BP394" s="62"/>
      <c r="BQ394" s="55"/>
      <c r="BR394" s="55"/>
      <c r="BS394" s="62"/>
      <c r="BT394" s="62"/>
      <c r="BU394" s="62"/>
      <c r="BV394" s="62"/>
      <c r="BW394" s="62"/>
      <c r="BX394" s="62"/>
      <c r="BY394" s="62"/>
      <c r="BZ394" s="62"/>
      <c r="CJ394" s="62"/>
      <c r="CK394" s="62"/>
      <c r="CL394" s="62"/>
      <c r="CM394" s="62"/>
      <c r="CN394" s="62"/>
      <c r="CO394" s="62"/>
      <c r="CP394" s="62"/>
      <c r="CQ394" s="62"/>
      <c r="DM394" s="62"/>
      <c r="DN394" s="62"/>
      <c r="DO394" s="62"/>
      <c r="DP394" s="62"/>
      <c r="DQ394" s="62"/>
      <c r="DR394" s="62"/>
      <c r="DS394" s="62"/>
      <c r="DT394" s="62"/>
      <c r="DU394" s="62"/>
      <c r="DV394" s="62"/>
    </row>
    <row r="395" spans="1:126" ht="15" customHeight="1" x14ac:dyDescent="0.2">
      <c r="A395" s="56"/>
      <c r="B395" s="59"/>
      <c r="C395" s="330"/>
      <c r="D395" s="330"/>
      <c r="E395" s="330"/>
      <c r="F395" s="330"/>
      <c r="G395" s="330"/>
      <c r="H395" s="330"/>
      <c r="I395" s="330"/>
      <c r="J395" s="330"/>
      <c r="K395" s="330"/>
      <c r="L395" s="330"/>
      <c r="M395" s="330"/>
      <c r="N395" s="330"/>
      <c r="O395" s="330"/>
      <c r="P395" s="330" t="s">
        <v>1007</v>
      </c>
      <c r="Q395" s="330"/>
      <c r="R395" s="330"/>
      <c r="S395" s="330"/>
      <c r="T395" s="330"/>
      <c r="U395" s="330"/>
      <c r="V395" s="330"/>
      <c r="W395" s="330"/>
      <c r="X395" s="330"/>
      <c r="Y395" s="330"/>
      <c r="Z395" s="330"/>
      <c r="AA395" s="330"/>
      <c r="AB395" s="330"/>
      <c r="AC395" s="330"/>
      <c r="AD395" s="330"/>
      <c r="AE395" s="330"/>
      <c r="AF395" s="330"/>
      <c r="AG395" s="330"/>
      <c r="AH395" s="330"/>
      <c r="AI395" s="330"/>
      <c r="AY395" s="55"/>
      <c r="AZ395" s="55"/>
      <c r="BA395" s="55"/>
      <c r="BB395" s="55"/>
      <c r="BC395" s="62"/>
      <c r="BD395" s="62"/>
      <c r="BE395" s="55"/>
      <c r="BF395" s="55"/>
      <c r="BG395" s="62"/>
      <c r="BH395" s="62"/>
      <c r="BI395" s="62"/>
      <c r="BJ395" s="62"/>
      <c r="BK395" s="62"/>
      <c r="BL395" s="62"/>
      <c r="BM395" s="62"/>
      <c r="BN395" s="62"/>
      <c r="BO395" s="62"/>
      <c r="BP395" s="62"/>
      <c r="BQ395" s="55"/>
      <c r="BR395" s="55"/>
      <c r="BS395" s="62"/>
      <c r="BT395" s="62"/>
      <c r="BU395" s="62"/>
      <c r="BV395" s="62"/>
      <c r="BW395" s="62"/>
      <c r="BX395" s="62"/>
      <c r="BY395" s="62"/>
      <c r="BZ395" s="62"/>
      <c r="CJ395" s="62"/>
      <c r="CK395" s="62"/>
      <c r="CL395" s="62"/>
      <c r="CM395" s="62"/>
      <c r="CN395" s="62"/>
      <c r="CO395" s="62"/>
      <c r="CP395" s="62"/>
      <c r="CQ395" s="62"/>
      <c r="DM395" s="62"/>
      <c r="DN395" s="62"/>
      <c r="DO395" s="62"/>
      <c r="DP395" s="62"/>
      <c r="DQ395" s="62"/>
      <c r="DR395" s="62"/>
      <c r="DS395" s="62"/>
      <c r="DT395" s="62"/>
      <c r="DU395" s="62"/>
      <c r="DV395" s="62"/>
    </row>
    <row r="396" spans="1:126" x14ac:dyDescent="0.2">
      <c r="A396" s="56"/>
      <c r="B396" s="54"/>
      <c r="C396" s="54"/>
      <c r="D396" s="54"/>
      <c r="E396" s="223"/>
      <c r="F396" s="54"/>
      <c r="G396" s="54"/>
      <c r="H396" s="54"/>
      <c r="I396" s="54"/>
      <c r="J396" s="54"/>
      <c r="K396" s="54"/>
      <c r="L396" s="54"/>
      <c r="M396" s="54"/>
      <c r="N396" s="54"/>
      <c r="O396" s="54"/>
      <c r="P396" s="54"/>
      <c r="Q396" s="54"/>
      <c r="R396" s="54"/>
      <c r="S396" s="54"/>
      <c r="T396" s="54"/>
      <c r="U396" s="54"/>
      <c r="V396" s="54"/>
      <c r="W396" s="54"/>
      <c r="X396" s="54"/>
      <c r="Y396" s="54"/>
      <c r="Z396" s="54"/>
      <c r="AA396" s="223"/>
      <c r="AB396" s="223"/>
      <c r="AC396" s="223"/>
      <c r="AD396" s="223"/>
      <c r="AE396" s="223"/>
      <c r="AF396" s="223"/>
      <c r="AG396" s="223"/>
      <c r="AH396" s="223"/>
      <c r="AI396" s="223"/>
      <c r="AY396" s="55"/>
      <c r="AZ396" s="55"/>
      <c r="BA396" s="55"/>
      <c r="BB396" s="55"/>
      <c r="BC396" s="62"/>
      <c r="BD396" s="62"/>
      <c r="BE396" s="55"/>
      <c r="BF396" s="55"/>
      <c r="BG396" s="62"/>
      <c r="BH396" s="62"/>
      <c r="BI396" s="62"/>
      <c r="BJ396" s="62"/>
      <c r="BK396" s="62"/>
      <c r="BL396" s="62"/>
      <c r="BM396" s="62"/>
      <c r="BN396" s="62"/>
      <c r="BO396" s="62"/>
      <c r="BP396" s="62"/>
      <c r="BQ396" s="55"/>
      <c r="BR396" s="55"/>
      <c r="BS396" s="62"/>
      <c r="BT396" s="62"/>
      <c r="BU396" s="62"/>
      <c r="BV396" s="62"/>
      <c r="BW396" s="62"/>
      <c r="BX396" s="62"/>
      <c r="BY396" s="62"/>
      <c r="BZ396" s="62"/>
      <c r="CJ396" s="62"/>
      <c r="CK396" s="62"/>
      <c r="CL396" s="62"/>
      <c r="CM396" s="62"/>
      <c r="CN396" s="62"/>
      <c r="CO396" s="62"/>
      <c r="CP396" s="62"/>
      <c r="CQ396" s="62"/>
      <c r="DM396" s="62"/>
      <c r="DN396" s="62"/>
      <c r="DO396" s="62"/>
      <c r="DP396" s="62"/>
      <c r="DQ396" s="62"/>
      <c r="DR396" s="62"/>
      <c r="DS396" s="62"/>
      <c r="DT396" s="62"/>
      <c r="DU396" s="62"/>
      <c r="DV396" s="62"/>
    </row>
    <row r="397" spans="1:126" x14ac:dyDescent="0.2">
      <c r="A397" s="54"/>
      <c r="B397" s="54"/>
      <c r="C397" s="54"/>
      <c r="D397" s="325" t="s">
        <v>384</v>
      </c>
      <c r="E397" s="325"/>
      <c r="F397" s="325"/>
      <c r="G397" s="325"/>
      <c r="H397" s="325"/>
      <c r="I397" s="325"/>
      <c r="J397" s="325"/>
      <c r="K397" s="325"/>
      <c r="L397" s="325"/>
      <c r="M397" s="325"/>
      <c r="N397" s="325"/>
      <c r="O397" s="325"/>
      <c r="P397" s="325"/>
      <c r="Q397" s="325"/>
      <c r="R397" s="325"/>
      <c r="S397" s="325"/>
      <c r="T397" s="325"/>
      <c r="U397" s="325"/>
      <c r="V397" s="325"/>
      <c r="W397" s="325"/>
      <c r="X397" s="325"/>
      <c r="Y397" s="325"/>
      <c r="Z397" s="325"/>
      <c r="AA397" s="325"/>
      <c r="AB397" s="325"/>
      <c r="AC397" s="325"/>
      <c r="AD397" s="325"/>
      <c r="AE397" s="325"/>
      <c r="AF397" s="325"/>
      <c r="AG397" s="325"/>
      <c r="AH397" s="325"/>
      <c r="AI397" s="325"/>
      <c r="AJ397" s="325"/>
      <c r="AK397" s="174"/>
      <c r="AY397" s="55"/>
      <c r="AZ397" s="55"/>
      <c r="BA397" s="55"/>
      <c r="BB397" s="55"/>
      <c r="BC397" s="62"/>
      <c r="BD397" s="62"/>
      <c r="BE397" s="55"/>
      <c r="BF397" s="55"/>
      <c r="BG397" s="62"/>
      <c r="BH397" s="62"/>
      <c r="BI397" s="62"/>
      <c r="BJ397" s="62"/>
      <c r="BK397" s="62"/>
      <c r="BL397" s="62"/>
      <c r="BM397" s="62"/>
      <c r="BN397" s="62"/>
      <c r="BO397" s="62"/>
      <c r="BP397" s="62"/>
      <c r="BQ397" s="55"/>
      <c r="BR397" s="55"/>
      <c r="BS397" s="62"/>
      <c r="BT397" s="62"/>
      <c r="BU397" s="62"/>
      <c r="BV397" s="62"/>
      <c r="BW397" s="62"/>
      <c r="BX397" s="62"/>
      <c r="BY397" s="62"/>
      <c r="BZ397" s="62"/>
      <c r="CK397" s="62"/>
      <c r="CL397" s="62"/>
      <c r="CM397" s="62"/>
      <c r="CN397" s="62"/>
      <c r="CO397" s="62"/>
      <c r="CP397" s="62"/>
      <c r="CQ397" s="62"/>
      <c r="DP397" s="62"/>
      <c r="DQ397" s="62"/>
      <c r="DR397" s="62"/>
      <c r="DS397" s="62"/>
      <c r="DT397" s="62"/>
      <c r="DU397" s="62"/>
      <c r="DV397" s="62"/>
    </row>
    <row r="398" spans="1:126" x14ac:dyDescent="0.2">
      <c r="A398" s="54"/>
      <c r="B398" s="54"/>
      <c r="C398" s="54"/>
      <c r="D398" s="54"/>
      <c r="E398" s="54"/>
      <c r="F398" s="54"/>
      <c r="G398" s="54"/>
      <c r="H398" s="54"/>
      <c r="I398" s="54"/>
      <c r="J398" s="54"/>
      <c r="K398" s="54"/>
      <c r="L398" s="54"/>
      <c r="M398" s="54"/>
      <c r="N398" s="54"/>
      <c r="O398" s="54"/>
      <c r="P398" s="54"/>
      <c r="Q398" s="54"/>
      <c r="R398" s="54"/>
      <c r="S398" s="54"/>
      <c r="T398" s="54"/>
      <c r="U398" s="54"/>
      <c r="V398" s="223"/>
      <c r="W398" s="223"/>
      <c r="X398" s="223"/>
      <c r="Y398" s="223"/>
      <c r="Z398" s="223"/>
      <c r="AA398" s="223"/>
      <c r="AB398" s="223"/>
      <c r="AC398" s="223"/>
      <c r="AD398" s="223"/>
      <c r="AE398" s="223"/>
      <c r="AF398" s="223"/>
      <c r="AG398" s="223"/>
      <c r="AH398" s="223"/>
      <c r="AI398" s="223"/>
      <c r="AY398" s="55"/>
      <c r="AZ398" s="55"/>
      <c r="BA398" s="55"/>
      <c r="BB398" s="55"/>
      <c r="BC398" s="62"/>
      <c r="BD398" s="62"/>
      <c r="BE398" s="55"/>
      <c r="BF398" s="55"/>
      <c r="BG398" s="62"/>
      <c r="BH398" s="62"/>
      <c r="BI398" s="62"/>
      <c r="BJ398" s="62"/>
      <c r="BK398" s="62"/>
      <c r="BL398" s="62"/>
      <c r="BM398" s="62"/>
      <c r="BN398" s="62"/>
      <c r="BO398" s="62"/>
      <c r="BP398" s="62"/>
      <c r="BQ398" s="55"/>
      <c r="BR398" s="55"/>
      <c r="BS398" s="62"/>
      <c r="BT398" s="62"/>
      <c r="BU398" s="62"/>
      <c r="BV398" s="62"/>
      <c r="BW398" s="62"/>
      <c r="BX398" s="62"/>
      <c r="BY398" s="62"/>
      <c r="BZ398" s="62"/>
      <c r="CJ398" s="62"/>
      <c r="CK398" s="62"/>
      <c r="CL398" s="62"/>
      <c r="CM398" s="62"/>
      <c r="CN398" s="62"/>
      <c r="CO398" s="62"/>
      <c r="CP398" s="62"/>
      <c r="CQ398" s="62"/>
      <c r="DM398" s="62"/>
      <c r="DN398" s="62"/>
      <c r="DO398" s="62"/>
      <c r="DP398" s="62"/>
      <c r="DQ398" s="62"/>
      <c r="DR398" s="62"/>
      <c r="DS398" s="62"/>
      <c r="DT398" s="62"/>
      <c r="DU398" s="62"/>
      <c r="DV398" s="62"/>
    </row>
    <row r="399" spans="1:126" ht="12.75" customHeight="1" x14ac:dyDescent="0.2">
      <c r="A399" s="54"/>
      <c r="B399" s="280" t="s">
        <v>382</v>
      </c>
      <c r="C399" s="280"/>
      <c r="D399" s="280"/>
      <c r="E399" s="280"/>
      <c r="F399" s="280"/>
      <c r="G399" s="280" t="s">
        <v>537</v>
      </c>
      <c r="H399" s="280"/>
      <c r="I399" s="280"/>
      <c r="J399" s="280"/>
      <c r="K399" s="280"/>
      <c r="L399" s="280" t="s">
        <v>564</v>
      </c>
      <c r="M399" s="280"/>
      <c r="N399" s="280"/>
      <c r="O399" s="280"/>
      <c r="P399" s="280"/>
      <c r="Q399" s="54"/>
      <c r="R399" s="54"/>
      <c r="S399" s="223"/>
      <c r="T399" s="223"/>
      <c r="U399" s="223"/>
      <c r="V399" s="223"/>
      <c r="W399" s="223"/>
      <c r="X399" s="223"/>
      <c r="Y399" s="223"/>
      <c r="Z399" s="223"/>
      <c r="AA399" s="223"/>
      <c r="AB399" s="223"/>
      <c r="AC399" s="223"/>
      <c r="AD399" s="223"/>
      <c r="AE399" s="223"/>
      <c r="AF399" s="223"/>
      <c r="AG399" s="223"/>
      <c r="AH399" s="223"/>
      <c r="AI399" s="223"/>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J399" s="62"/>
      <c r="CK399" s="62"/>
      <c r="CL399" s="62"/>
      <c r="CM399" s="62"/>
      <c r="CN399" s="62"/>
      <c r="CO399" s="62"/>
      <c r="CP399" s="62"/>
      <c r="CQ399" s="62"/>
      <c r="DM399" s="62"/>
      <c r="DN399" s="62"/>
      <c r="DO399" s="62"/>
      <c r="DP399" s="62"/>
      <c r="DQ399" s="62"/>
      <c r="DR399" s="62"/>
      <c r="DS399" s="62"/>
      <c r="DT399" s="62"/>
      <c r="DU399" s="62"/>
      <c r="DV399" s="62"/>
    </row>
    <row r="400" spans="1:126" ht="13.5" customHeight="1" x14ac:dyDescent="0.2">
      <c r="A400" s="54"/>
      <c r="B400" s="316">
        <v>1</v>
      </c>
      <c r="C400" s="316"/>
      <c r="D400" s="316"/>
      <c r="E400" s="316"/>
      <c r="F400" s="316"/>
      <c r="G400" s="316">
        <f>IFERROR(IF(IFERROR(FIND("Roscada",O$63,1),0)=0, (0.7846*(Z$66^2))+(0.0147*Z$66)+(0.8073), (PI()*((Z$66-(25.4*0.9743/ROUND(73.142*(Z$66^(-0.683)),0) ))^2)/4)),"-")</f>
        <v>390.80178909343022</v>
      </c>
      <c r="H400" s="316"/>
      <c r="I400" s="316"/>
      <c r="J400" s="316"/>
      <c r="K400" s="316"/>
      <c r="L400" s="305">
        <f>IFERROR(MIN($Z$122,MIN(1.9*$Z$121,125000*0.0069)),"-")</f>
        <v>0</v>
      </c>
      <c r="M400" s="305"/>
      <c r="N400" s="305"/>
      <c r="O400" s="305"/>
      <c r="P400" s="305"/>
      <c r="Q400" s="54"/>
      <c r="R400" s="54"/>
      <c r="S400" s="54"/>
      <c r="T400" s="54"/>
      <c r="U400" s="54"/>
      <c r="V400" s="223"/>
      <c r="W400" s="223"/>
      <c r="X400" s="223"/>
      <c r="Y400" s="223"/>
      <c r="Z400" s="223"/>
      <c r="AA400" s="223"/>
      <c r="AB400" s="223"/>
      <c r="AC400" s="223"/>
      <c r="AD400" s="223"/>
      <c r="AE400" s="223"/>
      <c r="AF400" s="223"/>
      <c r="AG400" s="223"/>
      <c r="AH400" s="223"/>
      <c r="AI400" s="223"/>
      <c r="BB400" s="62"/>
      <c r="BC400" s="62"/>
      <c r="BD400" s="62"/>
      <c r="BE400" s="62"/>
      <c r="BF400" s="62"/>
      <c r="BG400" s="62"/>
      <c r="BH400" s="62"/>
      <c r="BI400" s="62"/>
      <c r="BJ400" s="62"/>
      <c r="BK400" s="62"/>
      <c r="BL400" s="62"/>
      <c r="BM400" s="62"/>
      <c r="BN400" s="62"/>
      <c r="BO400" s="62"/>
      <c r="BP400" s="62"/>
      <c r="BQ400" s="62"/>
      <c r="BR400" s="62"/>
      <c r="BS400" s="62"/>
      <c r="BT400" s="62"/>
      <c r="BU400" s="62"/>
      <c r="BV400" s="62"/>
      <c r="BW400" s="62"/>
      <c r="BX400" s="62"/>
      <c r="BY400" s="62"/>
      <c r="BZ400" s="62"/>
      <c r="CJ400" s="62"/>
      <c r="CK400" s="62"/>
      <c r="CL400" s="62"/>
      <c r="CM400" s="62"/>
      <c r="CN400" s="62"/>
      <c r="CO400" s="62"/>
      <c r="CP400" s="62"/>
      <c r="CQ400" s="62"/>
      <c r="DM400" s="62"/>
      <c r="DN400" s="62"/>
      <c r="DO400" s="62"/>
      <c r="DP400" s="62"/>
      <c r="DQ400" s="62"/>
      <c r="DR400" s="62"/>
      <c r="DS400" s="62"/>
      <c r="DT400" s="62"/>
      <c r="DU400" s="62"/>
      <c r="DV400" s="62"/>
    </row>
    <row r="401" spans="1:126" x14ac:dyDescent="0.2">
      <c r="A401" s="54"/>
      <c r="B401" s="54"/>
      <c r="C401" s="54"/>
      <c r="D401" s="54"/>
      <c r="E401" s="54"/>
      <c r="F401" s="54"/>
      <c r="G401" s="54"/>
      <c r="H401" s="54"/>
      <c r="I401" s="54"/>
      <c r="J401" s="54"/>
      <c r="K401" s="54"/>
      <c r="L401" s="54"/>
      <c r="M401" s="54"/>
      <c r="N401" s="54"/>
      <c r="O401" s="54"/>
      <c r="P401" s="54"/>
      <c r="Q401" s="54"/>
      <c r="R401" s="54"/>
      <c r="S401" s="54"/>
      <c r="T401" s="54"/>
      <c r="U401" s="54"/>
      <c r="V401" s="54"/>
      <c r="W401" s="54"/>
      <c r="X401" s="54"/>
      <c r="Y401" s="54"/>
      <c r="Z401" s="54"/>
      <c r="AA401" s="223"/>
      <c r="AB401" s="223"/>
      <c r="AC401" s="223"/>
      <c r="AD401" s="223"/>
      <c r="AE401" s="223"/>
      <c r="AF401" s="223"/>
      <c r="AG401" s="223"/>
      <c r="AH401" s="223"/>
      <c r="AI401" s="223"/>
      <c r="BB401" s="62"/>
      <c r="BC401" s="62"/>
      <c r="BD401" s="62"/>
      <c r="BE401" s="62"/>
      <c r="BF401" s="62"/>
      <c r="BG401" s="62"/>
      <c r="BH401" s="62"/>
      <c r="BI401" s="62"/>
      <c r="BJ401" s="62"/>
      <c r="BK401" s="62"/>
      <c r="BL401" s="62"/>
      <c r="BM401" s="62"/>
      <c r="BN401" s="62"/>
      <c r="BO401" s="62"/>
      <c r="BP401" s="62"/>
      <c r="BQ401" s="62"/>
      <c r="BR401" s="62"/>
      <c r="BS401" s="62"/>
      <c r="BT401" s="62"/>
      <c r="BU401" s="62"/>
      <c r="BV401" s="62"/>
      <c r="BW401" s="62"/>
      <c r="BX401" s="62"/>
      <c r="BY401" s="62"/>
      <c r="BZ401" s="62"/>
      <c r="CJ401" s="62"/>
      <c r="CK401" s="62"/>
      <c r="CL401" s="62"/>
      <c r="CM401" s="62"/>
      <c r="CN401" s="62"/>
      <c r="CO401" s="62"/>
      <c r="CP401" s="62"/>
      <c r="CQ401" s="62"/>
      <c r="DM401" s="62"/>
      <c r="DN401" s="62"/>
      <c r="DO401" s="62"/>
      <c r="DP401" s="62"/>
      <c r="DQ401" s="62"/>
      <c r="DR401" s="62"/>
      <c r="DS401" s="62"/>
      <c r="DT401" s="62"/>
      <c r="DU401" s="62"/>
      <c r="DV401" s="62"/>
    </row>
    <row r="402" spans="1:126" x14ac:dyDescent="0.2">
      <c r="A402" s="54"/>
      <c r="B402" s="54"/>
      <c r="C402" s="54"/>
      <c r="D402" s="325" t="s">
        <v>385</v>
      </c>
      <c r="E402" s="325"/>
      <c r="F402" s="325"/>
      <c r="G402" s="325"/>
      <c r="H402" s="325"/>
      <c r="I402" s="325"/>
      <c r="J402" s="325"/>
      <c r="K402" s="325"/>
      <c r="L402" s="325"/>
      <c r="M402" s="325"/>
      <c r="N402" s="325"/>
      <c r="O402" s="325"/>
      <c r="P402" s="325"/>
      <c r="Q402" s="325"/>
      <c r="R402" s="325"/>
      <c r="S402" s="325"/>
      <c r="T402" s="325"/>
      <c r="U402" s="325"/>
      <c r="V402" s="325"/>
      <c r="W402" s="325"/>
      <c r="X402" s="325"/>
      <c r="Y402" s="325"/>
      <c r="Z402" s="325"/>
      <c r="AA402" s="325"/>
      <c r="AB402" s="325"/>
      <c r="AC402" s="325"/>
      <c r="AD402" s="325"/>
      <c r="AE402" s="325"/>
      <c r="AF402" s="325"/>
      <c r="AG402" s="325"/>
      <c r="AH402" s="325"/>
      <c r="AI402" s="325"/>
      <c r="AJ402" s="325"/>
      <c r="AK402" s="174"/>
      <c r="AX402" s="59"/>
      <c r="BB402" s="62"/>
      <c r="BC402" s="62"/>
      <c r="BD402" s="62"/>
      <c r="BE402" s="62"/>
      <c r="BF402" s="62"/>
      <c r="BG402" s="62"/>
      <c r="BH402" s="62"/>
      <c r="BI402" s="62"/>
      <c r="BJ402" s="62"/>
      <c r="BK402" s="62"/>
      <c r="BL402" s="62"/>
      <c r="BM402" s="62"/>
      <c r="BN402" s="62"/>
      <c r="BO402" s="62"/>
      <c r="BP402" s="62"/>
      <c r="BQ402" s="62"/>
      <c r="BR402" s="62"/>
      <c r="BS402" s="62"/>
      <c r="BT402" s="62"/>
      <c r="BU402" s="62"/>
      <c r="BV402" s="62"/>
      <c r="BW402" s="62"/>
      <c r="BX402" s="62"/>
      <c r="BY402" s="62"/>
      <c r="BZ402" s="62"/>
      <c r="CJ402" s="62"/>
      <c r="CK402" s="62"/>
      <c r="CL402" s="62"/>
      <c r="CM402" s="62"/>
      <c r="CN402" s="62"/>
      <c r="CO402" s="62"/>
      <c r="CP402" s="62"/>
      <c r="CQ402" s="62"/>
      <c r="DM402" s="62"/>
      <c r="DN402" s="62"/>
      <c r="DO402" s="62"/>
      <c r="DP402" s="62"/>
      <c r="DQ402" s="62"/>
      <c r="DR402" s="62"/>
      <c r="DS402" s="62"/>
      <c r="DT402" s="62"/>
      <c r="DU402" s="62"/>
      <c r="DV402" s="62"/>
    </row>
    <row r="403" spans="1:126" x14ac:dyDescent="0.2">
      <c r="A403" s="54"/>
      <c r="B403" s="54"/>
      <c r="C403" s="54"/>
      <c r="D403" s="54"/>
      <c r="E403" s="54"/>
      <c r="F403" s="54"/>
      <c r="G403" s="54"/>
      <c r="H403" s="54"/>
      <c r="I403" s="54"/>
      <c r="J403" s="54"/>
      <c r="K403" s="54"/>
      <c r="L403" s="54"/>
      <c r="M403" s="54"/>
      <c r="N403" s="54"/>
      <c r="O403" s="54"/>
      <c r="P403" s="54"/>
      <c r="Q403" s="54"/>
      <c r="R403" s="54"/>
      <c r="S403" s="54"/>
      <c r="T403" s="54"/>
      <c r="U403" s="54"/>
      <c r="V403" s="54"/>
      <c r="W403" s="54"/>
      <c r="X403" s="54"/>
      <c r="Y403" s="54"/>
      <c r="Z403" s="54"/>
      <c r="AA403" s="223"/>
      <c r="AB403" s="223"/>
      <c r="AC403" s="223"/>
      <c r="AD403" s="223"/>
      <c r="AE403" s="223"/>
      <c r="AF403" s="223"/>
      <c r="AG403" s="223"/>
      <c r="AH403" s="223"/>
      <c r="AI403" s="223"/>
      <c r="BB403" s="62"/>
      <c r="BC403" s="62"/>
      <c r="BD403" s="62"/>
      <c r="BE403" s="62"/>
      <c r="BF403" s="62"/>
      <c r="BG403" s="62"/>
      <c r="BH403" s="62"/>
      <c r="BI403" s="62"/>
      <c r="BJ403" s="62"/>
      <c r="BK403" s="62"/>
      <c r="BL403" s="62"/>
      <c r="BM403" s="62"/>
      <c r="BN403" s="62"/>
      <c r="BO403" s="62"/>
      <c r="BP403" s="62"/>
      <c r="BQ403" s="62"/>
      <c r="BR403" s="62"/>
      <c r="BS403" s="62"/>
      <c r="BT403" s="62"/>
      <c r="BU403" s="62"/>
      <c r="BV403" s="62"/>
      <c r="BW403" s="62"/>
      <c r="BX403" s="62"/>
      <c r="BY403" s="62"/>
      <c r="BZ403" s="62"/>
      <c r="CJ403" s="62"/>
      <c r="CK403" s="62"/>
      <c r="CL403" s="62"/>
      <c r="CM403" s="62"/>
      <c r="CN403" s="62"/>
      <c r="CO403" s="62"/>
      <c r="CP403" s="62"/>
      <c r="CQ403" s="62"/>
      <c r="DM403" s="62"/>
      <c r="DN403" s="62"/>
      <c r="DO403" s="62"/>
      <c r="DP403" s="62"/>
      <c r="DQ403" s="62"/>
      <c r="DR403" s="62"/>
      <c r="DS403" s="62"/>
      <c r="DT403" s="62"/>
      <c r="DU403" s="62"/>
      <c r="DV403" s="62"/>
    </row>
    <row r="404" spans="1:126" ht="12.75" customHeight="1" x14ac:dyDescent="0.2">
      <c r="A404" s="54"/>
      <c r="B404" s="280" t="s">
        <v>454</v>
      </c>
      <c r="C404" s="280"/>
      <c r="D404" s="280"/>
      <c r="E404" s="280"/>
      <c r="F404" s="280"/>
      <c r="G404" s="54"/>
      <c r="H404" s="54"/>
      <c r="I404" s="223"/>
      <c r="J404" s="223"/>
      <c r="K404" s="223"/>
      <c r="L404" s="223"/>
      <c r="M404" s="223"/>
      <c r="N404" s="54"/>
      <c r="O404" s="54"/>
      <c r="P404" s="54"/>
      <c r="Q404" s="54"/>
      <c r="R404" s="54"/>
      <c r="S404" s="54"/>
      <c r="T404" s="54"/>
      <c r="U404" s="54"/>
      <c r="V404" s="54"/>
      <c r="W404" s="54"/>
      <c r="X404" s="54"/>
      <c r="Y404" s="54"/>
      <c r="Z404" s="54"/>
      <c r="AA404" s="54"/>
      <c r="AB404" s="54"/>
      <c r="AC404" s="54"/>
      <c r="AD404" s="54"/>
      <c r="AE404" s="54"/>
      <c r="AF404" s="54"/>
      <c r="AG404" s="54"/>
      <c r="AH404" s="54"/>
      <c r="AI404" s="54"/>
      <c r="AJ404" s="222"/>
      <c r="AK404" s="180"/>
      <c r="AX404" s="59"/>
      <c r="BB404" s="62"/>
      <c r="BC404" s="62"/>
      <c r="BD404" s="62"/>
      <c r="BE404" s="62"/>
      <c r="BF404" s="62"/>
      <c r="BG404" s="62"/>
      <c r="BH404" s="62"/>
      <c r="BI404" s="62"/>
      <c r="BJ404" s="62"/>
      <c r="BK404" s="62"/>
      <c r="BL404" s="62"/>
      <c r="BM404" s="62"/>
      <c r="BN404" s="62"/>
      <c r="BO404" s="62"/>
      <c r="BP404" s="62"/>
      <c r="BQ404" s="62"/>
      <c r="BR404" s="62"/>
      <c r="BS404" s="62"/>
      <c r="BT404" s="62"/>
      <c r="BU404" s="62"/>
      <c r="BV404" s="62"/>
      <c r="BW404" s="62"/>
      <c r="BX404" s="62"/>
      <c r="BY404" s="62"/>
      <c r="BZ404" s="62"/>
      <c r="CJ404" s="62"/>
      <c r="CK404" s="62"/>
      <c r="CL404" s="62"/>
      <c r="CM404" s="62"/>
      <c r="CN404" s="62"/>
      <c r="CO404" s="62"/>
      <c r="CP404" s="62"/>
      <c r="CQ404" s="62"/>
      <c r="DM404" s="62"/>
      <c r="DN404" s="62"/>
      <c r="DO404" s="62"/>
      <c r="DP404" s="62"/>
      <c r="DQ404" s="62"/>
      <c r="DR404" s="62"/>
      <c r="DS404" s="62"/>
      <c r="DT404" s="62"/>
      <c r="DU404" s="62"/>
      <c r="DV404" s="62"/>
    </row>
    <row r="405" spans="1:126" ht="13.5" customHeight="1" x14ac:dyDescent="0.2">
      <c r="A405" s="54"/>
      <c r="B405" s="305">
        <f>IFERROR( $B$400*G$400*L$400/1000,"-")</f>
        <v>0</v>
      </c>
      <c r="C405" s="305"/>
      <c r="D405" s="305"/>
      <c r="E405" s="305"/>
      <c r="F405" s="305"/>
      <c r="G405" s="54"/>
      <c r="H405" s="54"/>
      <c r="I405" s="54"/>
      <c r="J405" s="54"/>
      <c r="K405" s="54"/>
      <c r="L405" s="54"/>
      <c r="M405" s="54"/>
      <c r="N405" s="54"/>
      <c r="O405" s="54"/>
      <c r="P405" s="54"/>
      <c r="Q405" s="54"/>
      <c r="R405" s="54"/>
      <c r="S405" s="54"/>
      <c r="T405" s="54"/>
      <c r="U405" s="54"/>
      <c r="V405" s="54"/>
      <c r="W405" s="54"/>
      <c r="X405" s="54"/>
      <c r="Y405" s="54"/>
      <c r="Z405" s="54"/>
      <c r="AA405" s="54"/>
      <c r="AB405" s="54"/>
      <c r="AC405" s="54"/>
      <c r="AD405" s="54"/>
      <c r="AE405" s="54"/>
      <c r="AF405" s="54"/>
      <c r="AG405" s="54"/>
      <c r="AH405" s="54"/>
      <c r="AI405" s="54"/>
      <c r="AJ405" s="222"/>
      <c r="AK405" s="180"/>
      <c r="AY405" s="65"/>
      <c r="AZ405" s="65"/>
      <c r="BA405" s="65"/>
      <c r="BB405" s="62"/>
      <c r="BC405" s="62"/>
      <c r="BD405" s="62"/>
      <c r="BE405" s="62"/>
      <c r="BF405" s="62"/>
      <c r="BG405" s="62"/>
      <c r="BH405" s="62"/>
      <c r="BI405" s="62"/>
      <c r="BJ405" s="62"/>
      <c r="BK405" s="62"/>
      <c r="BL405" s="62"/>
      <c r="BM405" s="62"/>
      <c r="BN405" s="62"/>
      <c r="BO405" s="62"/>
      <c r="BP405" s="62"/>
      <c r="BQ405" s="62"/>
      <c r="BR405" s="62"/>
      <c r="BS405" s="62"/>
      <c r="BT405" s="62"/>
      <c r="BU405" s="62"/>
      <c r="BV405" s="62"/>
      <c r="BW405" s="62"/>
      <c r="BX405" s="62"/>
      <c r="BY405" s="62"/>
      <c r="BZ405" s="62"/>
      <c r="CI405" s="65"/>
      <c r="CJ405" s="62"/>
      <c r="CK405" s="62"/>
      <c r="CL405" s="62"/>
      <c r="CM405" s="62"/>
      <c r="CN405" s="62"/>
      <c r="CO405" s="62"/>
      <c r="CP405" s="62"/>
      <c r="CQ405" s="62"/>
      <c r="DJ405" s="65"/>
      <c r="DK405" s="65"/>
      <c r="DL405" s="65"/>
      <c r="DM405" s="62"/>
      <c r="DN405" s="62"/>
      <c r="DO405" s="62"/>
      <c r="DP405" s="62"/>
      <c r="DQ405" s="62"/>
      <c r="DR405" s="62"/>
      <c r="DS405" s="62"/>
      <c r="DT405" s="62"/>
      <c r="DU405" s="62"/>
      <c r="DV405" s="62"/>
    </row>
    <row r="406" spans="1:126" x14ac:dyDescent="0.2">
      <c r="A406" s="54"/>
      <c r="B406" s="54"/>
      <c r="C406" s="54"/>
      <c r="D406" s="54"/>
      <c r="E406" s="54"/>
      <c r="F406" s="54"/>
      <c r="G406" s="54"/>
      <c r="H406" s="54"/>
      <c r="I406" s="54"/>
      <c r="J406" s="54"/>
      <c r="K406" s="54"/>
      <c r="L406" s="54"/>
      <c r="M406" s="54"/>
      <c r="N406" s="54"/>
      <c r="O406" s="54"/>
      <c r="P406" s="54"/>
      <c r="Q406" s="54"/>
      <c r="R406" s="54"/>
      <c r="S406" s="54"/>
      <c r="T406" s="54"/>
      <c r="U406" s="54"/>
      <c r="V406" s="54"/>
      <c r="W406" s="54"/>
      <c r="X406" s="54"/>
      <c r="Y406" s="54"/>
      <c r="Z406" s="54"/>
      <c r="AA406" s="223"/>
      <c r="AB406" s="223"/>
      <c r="AC406" s="223"/>
      <c r="AD406" s="223"/>
      <c r="AE406" s="223"/>
      <c r="AF406" s="223"/>
      <c r="AG406" s="223"/>
      <c r="AH406" s="223"/>
      <c r="AI406" s="223"/>
      <c r="AX406" s="59"/>
      <c r="BB406" s="62"/>
      <c r="BC406" s="62"/>
      <c r="BD406" s="62"/>
      <c r="BE406" s="62"/>
      <c r="BF406" s="62"/>
      <c r="BG406" s="62"/>
      <c r="BH406" s="62"/>
      <c r="BI406" s="62"/>
      <c r="BJ406" s="62"/>
      <c r="BK406" s="62"/>
      <c r="BL406" s="62"/>
      <c r="BM406" s="62"/>
      <c r="BN406" s="62"/>
      <c r="BO406" s="62"/>
      <c r="BP406" s="62"/>
      <c r="BQ406" s="62"/>
      <c r="BR406" s="62"/>
      <c r="BS406" s="62"/>
      <c r="BT406" s="62"/>
      <c r="BU406" s="62"/>
      <c r="BV406" s="62"/>
      <c r="BW406" s="62"/>
      <c r="BX406" s="62"/>
      <c r="BY406" s="62"/>
      <c r="BZ406" s="62"/>
      <c r="CJ406" s="62"/>
      <c r="CK406" s="62"/>
      <c r="CL406" s="62"/>
      <c r="CM406" s="62"/>
      <c r="CN406" s="62"/>
      <c r="CO406" s="62"/>
      <c r="CP406" s="62"/>
      <c r="CQ406" s="62"/>
      <c r="DM406" s="62"/>
      <c r="DN406" s="62"/>
      <c r="DO406" s="62"/>
      <c r="DP406" s="62"/>
      <c r="DQ406" s="62"/>
      <c r="DR406" s="62"/>
      <c r="DS406" s="62"/>
      <c r="DT406" s="62"/>
      <c r="DU406" s="62"/>
      <c r="DV406" s="62"/>
    </row>
    <row r="407" spans="1:126" x14ac:dyDescent="0.2">
      <c r="A407" s="54"/>
      <c r="B407" s="54"/>
      <c r="C407" s="54"/>
      <c r="D407" s="325" t="s">
        <v>386</v>
      </c>
      <c r="E407" s="325"/>
      <c r="F407" s="325"/>
      <c r="G407" s="325"/>
      <c r="H407" s="325"/>
      <c r="I407" s="325"/>
      <c r="J407" s="325"/>
      <c r="K407" s="325"/>
      <c r="L407" s="325"/>
      <c r="M407" s="325"/>
      <c r="N407" s="325"/>
      <c r="O407" s="325"/>
      <c r="P407" s="325"/>
      <c r="Q407" s="325"/>
      <c r="R407" s="325"/>
      <c r="S407" s="325"/>
      <c r="T407" s="325"/>
      <c r="U407" s="325"/>
      <c r="V407" s="325"/>
      <c r="W407" s="325"/>
      <c r="X407" s="325"/>
      <c r="Y407" s="325"/>
      <c r="Z407" s="325"/>
      <c r="AA407" s="325"/>
      <c r="AB407" s="325"/>
      <c r="AC407" s="325"/>
      <c r="AD407" s="325"/>
      <c r="AE407" s="325"/>
      <c r="AF407" s="325"/>
      <c r="AG407" s="325"/>
      <c r="AH407" s="325"/>
      <c r="AI407" s="325"/>
      <c r="AJ407" s="325"/>
      <c r="AK407" s="174"/>
      <c r="AX407" s="59"/>
      <c r="BB407" s="62"/>
      <c r="BC407" s="62"/>
      <c r="BD407" s="62"/>
      <c r="BE407" s="62"/>
      <c r="BF407" s="62"/>
      <c r="BG407" s="62"/>
      <c r="BH407" s="62"/>
      <c r="BI407" s="62"/>
      <c r="BJ407" s="62"/>
      <c r="BK407" s="62"/>
      <c r="BL407" s="62"/>
      <c r="BM407" s="62"/>
      <c r="BN407" s="62"/>
      <c r="BO407" s="62"/>
      <c r="BP407" s="62"/>
      <c r="BQ407" s="62"/>
      <c r="BR407" s="62"/>
      <c r="BS407" s="62"/>
      <c r="BT407" s="62"/>
      <c r="BU407" s="62"/>
      <c r="BV407" s="62"/>
      <c r="BW407" s="62"/>
      <c r="BX407" s="62"/>
      <c r="BY407" s="62"/>
      <c r="BZ407" s="62"/>
      <c r="CJ407" s="62"/>
      <c r="CK407" s="62"/>
      <c r="CL407" s="62"/>
      <c r="CM407" s="62"/>
      <c r="CN407" s="62"/>
      <c r="CO407" s="62"/>
      <c r="CP407" s="62"/>
      <c r="CQ407" s="62"/>
      <c r="DM407" s="62"/>
      <c r="DN407" s="62"/>
      <c r="DO407" s="62"/>
      <c r="DP407" s="62"/>
      <c r="DQ407" s="62"/>
      <c r="DR407" s="62"/>
      <c r="DS407" s="62"/>
      <c r="DT407" s="62"/>
      <c r="DU407" s="62"/>
      <c r="DV407" s="62"/>
    </row>
    <row r="408" spans="1:126" x14ac:dyDescent="0.2">
      <c r="A408" s="54"/>
      <c r="B408" s="54"/>
      <c r="C408" s="54"/>
      <c r="D408" s="54"/>
      <c r="E408" s="54"/>
      <c r="F408" s="54"/>
      <c r="G408" s="54"/>
      <c r="H408" s="54"/>
      <c r="I408" s="54"/>
      <c r="J408" s="54"/>
      <c r="K408" s="54"/>
      <c r="L408" s="54"/>
      <c r="M408" s="54"/>
      <c r="N408" s="54"/>
      <c r="O408" s="54"/>
      <c r="P408" s="54"/>
      <c r="Q408" s="54"/>
      <c r="R408" s="54"/>
      <c r="S408" s="54"/>
      <c r="T408" s="54"/>
      <c r="U408" s="54"/>
      <c r="V408" s="54"/>
      <c r="W408" s="54"/>
      <c r="X408" s="54"/>
      <c r="Y408" s="54"/>
      <c r="Z408" s="54"/>
      <c r="AA408" s="223"/>
      <c r="AB408" s="223"/>
      <c r="AC408" s="223"/>
      <c r="AD408" s="223"/>
      <c r="AE408" s="223"/>
      <c r="AF408" s="223"/>
      <c r="AG408" s="223"/>
      <c r="AH408" s="223"/>
      <c r="AI408" s="223"/>
      <c r="BB408" s="62"/>
      <c r="BC408" s="62"/>
      <c r="BD408" s="62"/>
      <c r="BE408" s="62"/>
      <c r="BF408" s="62"/>
      <c r="BG408" s="62"/>
      <c r="BH408" s="62"/>
      <c r="BI408" s="62"/>
      <c r="BJ408" s="62"/>
      <c r="BK408" s="62"/>
      <c r="BL408" s="62"/>
      <c r="BM408" s="62"/>
      <c r="BN408" s="62"/>
      <c r="BO408" s="62"/>
      <c r="BP408" s="62"/>
      <c r="BQ408" s="62"/>
      <c r="BR408" s="62"/>
      <c r="BS408" s="62"/>
      <c r="BT408" s="62"/>
      <c r="BU408" s="62"/>
      <c r="BV408" s="62"/>
      <c r="BW408" s="62"/>
      <c r="BX408" s="62"/>
      <c r="BY408" s="62"/>
      <c r="BZ408" s="62"/>
      <c r="CJ408" s="62"/>
      <c r="CK408" s="62"/>
      <c r="CL408" s="62"/>
      <c r="CM408" s="62"/>
      <c r="CN408" s="62"/>
      <c r="CO408" s="62"/>
      <c r="CP408" s="62"/>
      <c r="CQ408" s="62"/>
      <c r="DM408" s="62"/>
      <c r="DN408" s="62"/>
      <c r="DO408" s="62"/>
      <c r="DP408" s="62"/>
      <c r="DQ408" s="62"/>
      <c r="DR408" s="62"/>
      <c r="DS408" s="62"/>
      <c r="DT408" s="62"/>
      <c r="DU408" s="62"/>
      <c r="DV408" s="62"/>
    </row>
    <row r="409" spans="1:126" ht="14.25" customHeight="1" x14ac:dyDescent="0.2">
      <c r="A409" s="54"/>
      <c r="B409" s="322" t="s">
        <v>458</v>
      </c>
      <c r="C409" s="280"/>
      <c r="D409" s="280"/>
      <c r="E409" s="280"/>
      <c r="F409" s="280"/>
      <c r="G409" s="280" t="s">
        <v>457</v>
      </c>
      <c r="H409" s="280"/>
      <c r="I409" s="280"/>
      <c r="J409" s="280"/>
      <c r="K409" s="280"/>
      <c r="L409" s="280" t="s">
        <v>459</v>
      </c>
      <c r="M409" s="280"/>
      <c r="N409" s="280"/>
      <c r="O409" s="280"/>
      <c r="P409" s="280"/>
      <c r="Q409" s="322" t="s">
        <v>460</v>
      </c>
      <c r="R409" s="280"/>
      <c r="S409" s="280"/>
      <c r="T409" s="280"/>
      <c r="U409" s="280"/>
      <c r="V409" s="280" t="s">
        <v>909</v>
      </c>
      <c r="W409" s="280"/>
      <c r="X409" s="280"/>
      <c r="Y409" s="280"/>
      <c r="Z409" s="280"/>
      <c r="AA409" s="496" t="s">
        <v>1003</v>
      </c>
      <c r="AB409" s="496"/>
      <c r="AC409" s="496"/>
      <c r="AD409" s="496"/>
      <c r="AE409" s="496"/>
      <c r="AF409" s="223"/>
      <c r="AG409" s="223"/>
      <c r="AH409" s="223"/>
      <c r="AI409" s="223"/>
      <c r="AJ409" s="223"/>
      <c r="BB409" s="62"/>
      <c r="BC409" s="62"/>
      <c r="BD409" s="62"/>
      <c r="BE409" s="62"/>
      <c r="BF409" s="62"/>
      <c r="BG409" s="62"/>
      <c r="BH409" s="62"/>
      <c r="BI409" s="62"/>
      <c r="BJ409" s="62"/>
      <c r="BK409" s="62"/>
      <c r="BL409" s="62"/>
      <c r="BM409" s="62"/>
      <c r="BN409" s="62"/>
      <c r="BO409" s="62"/>
      <c r="BP409" s="62"/>
      <c r="BQ409" s="62"/>
      <c r="BR409" s="62"/>
      <c r="BS409" s="62"/>
      <c r="BT409" s="62"/>
      <c r="BU409" s="62"/>
      <c r="BV409" s="62"/>
      <c r="BW409" s="62"/>
      <c r="BX409" s="62"/>
      <c r="BY409" s="62"/>
      <c r="BZ409" s="62"/>
      <c r="CJ409" s="62"/>
      <c r="CK409" s="62"/>
      <c r="CL409" s="62"/>
      <c r="CM409" s="62"/>
      <c r="CN409" s="62"/>
      <c r="CO409" s="62"/>
      <c r="CP409" s="62"/>
      <c r="CQ409" s="62"/>
      <c r="DM409" s="62"/>
      <c r="DN409" s="62"/>
      <c r="DO409" s="62"/>
      <c r="DP409" s="62"/>
      <c r="DQ409" s="62"/>
      <c r="DR409" s="62"/>
      <c r="DS409" s="62"/>
      <c r="DT409" s="62"/>
      <c r="DU409" s="62"/>
      <c r="DV409" s="62"/>
    </row>
    <row r="410" spans="1:126" x14ac:dyDescent="0.2">
      <c r="A410" s="54"/>
      <c r="B410" s="305">
        <f>B405</f>
        <v>0</v>
      </c>
      <c r="C410" s="305"/>
      <c r="D410" s="305"/>
      <c r="E410" s="305"/>
      <c r="F410" s="305"/>
      <c r="G410" s="282">
        <f>IFERROR(IF( $L$176="-",IF($Z$120="(dúctil)",0.75,IF($Z$120="(no dúctil)",0.65,"-")),1),"-")</f>
        <v>1</v>
      </c>
      <c r="H410" s="282"/>
      <c r="I410" s="282"/>
      <c r="J410" s="282"/>
      <c r="K410" s="282"/>
      <c r="L410" s="305">
        <f>IFERROR(IF($B410="-","-",$B410*$G410),"-")</f>
        <v>0</v>
      </c>
      <c r="M410" s="305"/>
      <c r="N410" s="305"/>
      <c r="O410" s="305"/>
      <c r="P410" s="305"/>
      <c r="Q410" s="305">
        <f>IF($B$410="-","-",$S$196)</f>
        <v>36.75</v>
      </c>
      <c r="R410" s="305"/>
      <c r="S410" s="305"/>
      <c r="T410" s="305"/>
      <c r="U410" s="305"/>
      <c r="V410" s="305" t="str">
        <f>IFERROR(100*$Q410/($L410/$AA410),"-")</f>
        <v>-</v>
      </c>
      <c r="W410" s="305"/>
      <c r="X410" s="305"/>
      <c r="Y410" s="305"/>
      <c r="Z410" s="305"/>
      <c r="AA410" s="282">
        <f>IFERROR($L$176,1)</f>
        <v>1</v>
      </c>
      <c r="AB410" s="282"/>
      <c r="AC410" s="282"/>
      <c r="AD410" s="282"/>
      <c r="AE410" s="282"/>
      <c r="AF410" s="223"/>
      <c r="AG410" s="223"/>
      <c r="AH410" s="223"/>
      <c r="AI410" s="223"/>
      <c r="AJ410" s="223"/>
      <c r="AV410" s="59"/>
      <c r="AW410" s="59"/>
      <c r="BB410" s="62"/>
      <c r="BC410" s="62"/>
      <c r="BD410" s="62"/>
      <c r="BE410" s="62"/>
      <c r="BF410" s="62"/>
      <c r="BG410" s="62"/>
      <c r="BH410" s="62"/>
      <c r="BI410" s="62"/>
      <c r="BJ410" s="62"/>
      <c r="BK410" s="62"/>
      <c r="BL410" s="62"/>
      <c r="BM410" s="62"/>
      <c r="BN410" s="62"/>
      <c r="BO410" s="62"/>
      <c r="BP410" s="62"/>
      <c r="BQ410" s="62"/>
      <c r="BR410" s="62"/>
      <c r="BS410" s="62"/>
      <c r="BT410" s="62"/>
      <c r="BU410" s="62"/>
      <c r="BV410" s="62"/>
      <c r="BW410" s="62"/>
      <c r="BX410" s="62"/>
      <c r="BY410" s="62"/>
      <c r="BZ410" s="62"/>
      <c r="CJ410" s="62"/>
      <c r="CK410" s="62"/>
      <c r="CL410" s="62"/>
      <c r="CM410" s="62"/>
      <c r="CN410" s="62"/>
      <c r="CO410" s="62"/>
      <c r="CP410" s="62"/>
      <c r="CQ410" s="62"/>
      <c r="DM410" s="62"/>
      <c r="DN410" s="62"/>
      <c r="DO410" s="62"/>
      <c r="DP410" s="62"/>
      <c r="DQ410" s="62"/>
      <c r="DR410" s="62"/>
      <c r="DS410" s="62"/>
      <c r="DT410" s="62"/>
      <c r="DU410" s="62"/>
      <c r="DV410" s="62"/>
    </row>
    <row r="411" spans="1:126" x14ac:dyDescent="0.2">
      <c r="A411" s="54"/>
      <c r="B411" s="54"/>
      <c r="C411" s="54"/>
      <c r="D411" s="54"/>
      <c r="E411" s="54"/>
      <c r="F411" s="54"/>
      <c r="G411" s="54"/>
      <c r="H411" s="54"/>
      <c r="I411" s="54"/>
      <c r="J411" s="54"/>
      <c r="K411" s="54"/>
      <c r="L411" s="54"/>
      <c r="M411" s="54"/>
      <c r="N411" s="54"/>
      <c r="O411" s="54"/>
      <c r="P411" s="54"/>
      <c r="Q411" s="54"/>
      <c r="R411" s="54"/>
      <c r="S411" s="54"/>
      <c r="T411" s="54"/>
      <c r="U411" s="54"/>
      <c r="V411" s="54"/>
      <c r="W411" s="54"/>
      <c r="X411" s="54"/>
      <c r="Y411" s="54"/>
      <c r="Z411" s="54"/>
      <c r="AA411" s="223"/>
      <c r="AB411" s="223"/>
      <c r="AC411" s="223"/>
      <c r="AD411" s="223"/>
      <c r="AE411" s="223"/>
      <c r="AF411" s="223"/>
      <c r="AG411" s="223"/>
      <c r="AH411" s="223"/>
      <c r="AI411" s="223"/>
      <c r="BB411" s="62"/>
      <c r="BC411" s="62"/>
      <c r="BD411" s="62"/>
      <c r="BE411" s="62"/>
      <c r="BF411" s="62"/>
      <c r="BG411" s="62"/>
      <c r="BH411" s="62"/>
      <c r="BI411" s="62"/>
      <c r="BJ411" s="62"/>
      <c r="BK411" s="62"/>
      <c r="BL411" s="62"/>
      <c r="BM411" s="62"/>
      <c r="BN411" s="62"/>
      <c r="BO411" s="62"/>
      <c r="BP411" s="62"/>
      <c r="BQ411" s="62"/>
      <c r="BR411" s="62"/>
      <c r="BS411" s="62"/>
      <c r="BT411" s="62"/>
      <c r="BU411" s="62"/>
      <c r="BV411" s="62"/>
      <c r="BW411" s="62"/>
      <c r="BX411" s="62"/>
      <c r="BY411" s="62"/>
      <c r="BZ411" s="62"/>
      <c r="CJ411" s="62"/>
      <c r="CK411" s="62"/>
      <c r="CL411" s="62"/>
      <c r="CM411" s="62"/>
      <c r="CN411" s="62"/>
      <c r="CO411" s="62"/>
      <c r="CP411" s="62"/>
      <c r="CQ411" s="62"/>
      <c r="DM411" s="62"/>
      <c r="DN411" s="62"/>
      <c r="DO411" s="62"/>
      <c r="DP411" s="62"/>
      <c r="DQ411" s="62"/>
      <c r="DR411" s="62"/>
      <c r="DS411" s="62"/>
      <c r="DT411" s="62"/>
      <c r="DU411" s="62"/>
      <c r="DV411" s="62"/>
    </row>
    <row r="412" spans="1:126" ht="12.75" customHeight="1" x14ac:dyDescent="0.2">
      <c r="A412" s="54"/>
      <c r="B412" s="54"/>
      <c r="C412" s="54"/>
      <c r="D412" s="54"/>
      <c r="E412" s="54"/>
      <c r="F412" s="54"/>
      <c r="G412" s="54"/>
      <c r="H412" s="54"/>
      <c r="I412" s="54"/>
      <c r="J412" s="54"/>
      <c r="K412" s="54"/>
      <c r="L412" s="54"/>
      <c r="M412" s="54"/>
      <c r="N412" s="54"/>
      <c r="O412" s="54"/>
      <c r="P412" s="54"/>
      <c r="Q412" s="54"/>
      <c r="R412" s="54"/>
      <c r="S412" s="54"/>
      <c r="T412" s="54"/>
      <c r="U412" s="54"/>
      <c r="V412" s="54"/>
      <c r="W412" s="54"/>
      <c r="X412" s="54"/>
      <c r="Y412" s="54"/>
      <c r="Z412" s="54"/>
      <c r="AA412" s="223"/>
      <c r="AB412" s="223"/>
      <c r="AC412" s="223"/>
      <c r="AD412" s="223"/>
      <c r="AE412" s="223"/>
      <c r="AF412" s="223"/>
      <c r="AG412" s="223"/>
      <c r="AH412" s="223"/>
      <c r="AI412" s="223"/>
      <c r="AV412" s="59"/>
      <c r="AW412" s="59"/>
      <c r="BB412" s="62"/>
      <c r="BC412" s="62"/>
      <c r="BD412" s="62"/>
      <c r="BE412" s="62"/>
      <c r="BF412" s="62"/>
      <c r="BG412" s="62"/>
      <c r="BH412" s="62"/>
      <c r="BI412" s="62"/>
      <c r="BJ412" s="62"/>
      <c r="BK412" s="62"/>
      <c r="BL412" s="62"/>
      <c r="BM412" s="62"/>
      <c r="BN412" s="62"/>
      <c r="BO412" s="62"/>
      <c r="BP412" s="62"/>
      <c r="BQ412" s="62"/>
      <c r="BR412" s="62"/>
      <c r="BS412" s="62"/>
      <c r="BT412" s="62"/>
      <c r="BU412" s="62"/>
      <c r="BV412" s="62"/>
      <c r="BW412" s="62"/>
      <c r="BX412" s="62"/>
      <c r="BY412" s="62"/>
      <c r="BZ412" s="62"/>
      <c r="CJ412" s="62"/>
      <c r="CK412" s="62"/>
      <c r="CL412" s="62"/>
      <c r="CM412" s="62"/>
      <c r="CN412" s="62"/>
      <c r="CO412" s="62"/>
      <c r="CP412" s="62"/>
      <c r="CQ412" s="62"/>
      <c r="DM412" s="62"/>
      <c r="DN412" s="62"/>
      <c r="DO412" s="62"/>
      <c r="DP412" s="62"/>
      <c r="DQ412" s="62"/>
      <c r="DR412" s="62"/>
      <c r="DS412" s="62"/>
      <c r="DT412" s="62"/>
      <c r="DU412" s="62"/>
      <c r="DV412" s="62"/>
    </row>
    <row r="413" spans="1:126" ht="13.5" customHeight="1" x14ac:dyDescent="0.2">
      <c r="A413" s="54"/>
      <c r="B413" s="54"/>
      <c r="C413" s="324" t="s">
        <v>467</v>
      </c>
      <c r="D413" s="333"/>
      <c r="E413" s="333"/>
      <c r="F413" s="333"/>
      <c r="G413" s="333"/>
      <c r="H413" s="333"/>
      <c r="I413" s="333"/>
      <c r="J413" s="333"/>
      <c r="K413" s="333"/>
      <c r="L413" s="333"/>
      <c r="M413" s="333"/>
      <c r="N413" s="333"/>
      <c r="O413" s="333"/>
      <c r="P413" s="333"/>
      <c r="Q413" s="333"/>
      <c r="R413" s="333"/>
      <c r="S413" s="333"/>
      <c r="T413" s="333"/>
      <c r="U413" s="333"/>
      <c r="V413" s="333"/>
      <c r="W413" s="333"/>
      <c r="X413" s="333"/>
      <c r="Y413" s="333"/>
      <c r="Z413" s="333"/>
      <c r="AA413" s="333"/>
      <c r="AB413" s="333"/>
      <c r="AC413" s="333"/>
      <c r="AD413" s="333"/>
      <c r="AE413" s="333"/>
      <c r="AF413" s="333"/>
      <c r="AG413" s="333"/>
      <c r="AH413" s="333"/>
      <c r="AI413" s="333"/>
      <c r="AJ413" s="333"/>
      <c r="AK413" s="175"/>
      <c r="BB413" s="62"/>
      <c r="BC413" s="62"/>
      <c r="BD413" s="62"/>
      <c r="BE413" s="62"/>
      <c r="BF413" s="62"/>
      <c r="BG413" s="62"/>
      <c r="BH413" s="62"/>
      <c r="BI413" s="62"/>
      <c r="BJ413" s="62"/>
      <c r="BK413" s="62"/>
      <c r="BL413" s="62"/>
      <c r="BM413" s="62"/>
      <c r="BN413" s="62"/>
      <c r="BO413" s="62"/>
      <c r="BP413" s="62"/>
      <c r="BQ413" s="62"/>
      <c r="BR413" s="62"/>
      <c r="BS413" s="62"/>
      <c r="BT413" s="62"/>
      <c r="BU413" s="62"/>
      <c r="BV413" s="62"/>
      <c r="BW413" s="62"/>
      <c r="BX413" s="62"/>
      <c r="BY413" s="62"/>
      <c r="BZ413" s="62"/>
      <c r="CJ413" s="62"/>
      <c r="CK413" s="62"/>
      <c r="CL413" s="62"/>
      <c r="CM413" s="62"/>
      <c r="CN413" s="62"/>
      <c r="CO413" s="62"/>
      <c r="CP413" s="62"/>
      <c r="CQ413" s="62"/>
      <c r="DM413" s="62"/>
      <c r="DN413" s="62"/>
      <c r="DO413" s="62"/>
      <c r="DP413" s="62"/>
      <c r="DQ413" s="62"/>
      <c r="DR413" s="62"/>
      <c r="DS413" s="62"/>
      <c r="DT413" s="62"/>
      <c r="DU413" s="62"/>
      <c r="DV413" s="62"/>
    </row>
    <row r="414" spans="1:126" x14ac:dyDescent="0.2">
      <c r="A414" s="56"/>
      <c r="B414" s="54"/>
      <c r="C414" s="54"/>
      <c r="D414" s="54"/>
      <c r="E414" s="223"/>
      <c r="F414" s="54"/>
      <c r="G414" s="54"/>
      <c r="H414" s="54"/>
      <c r="I414" s="54"/>
      <c r="J414" s="54"/>
      <c r="K414" s="54"/>
      <c r="L414" s="54"/>
      <c r="M414" s="54"/>
      <c r="N414" s="54"/>
      <c r="O414" s="54"/>
      <c r="P414" s="54"/>
      <c r="Q414" s="54"/>
      <c r="R414" s="54"/>
      <c r="S414" s="54"/>
      <c r="T414" s="54"/>
      <c r="U414" s="54"/>
      <c r="V414" s="54"/>
      <c r="W414" s="54"/>
      <c r="X414" s="54"/>
      <c r="Y414" s="54"/>
      <c r="Z414" s="54"/>
      <c r="AA414" s="223"/>
      <c r="AB414" s="223"/>
      <c r="AC414" s="223"/>
      <c r="AD414" s="223"/>
      <c r="AE414" s="223"/>
      <c r="AF414" s="223"/>
      <c r="AG414" s="223"/>
      <c r="AH414" s="223"/>
      <c r="AI414" s="223"/>
      <c r="AV414" s="59"/>
      <c r="AW414" s="59"/>
      <c r="AY414" s="65"/>
      <c r="AZ414" s="65"/>
      <c r="BA414" s="65"/>
      <c r="BB414" s="62"/>
      <c r="BC414" s="62"/>
      <c r="BD414" s="62"/>
      <c r="BE414" s="62"/>
      <c r="BF414" s="62"/>
      <c r="BG414" s="62"/>
      <c r="BH414" s="62"/>
      <c r="BI414" s="62"/>
      <c r="BJ414" s="62"/>
      <c r="BK414" s="62"/>
      <c r="BL414" s="62"/>
      <c r="BM414" s="62"/>
      <c r="BN414" s="62"/>
      <c r="BO414" s="62"/>
      <c r="BP414" s="62"/>
      <c r="BQ414" s="62"/>
      <c r="BR414" s="62"/>
      <c r="BS414" s="62"/>
      <c r="BT414" s="62"/>
      <c r="BU414" s="62"/>
      <c r="BV414" s="62"/>
      <c r="BW414" s="62"/>
      <c r="BX414" s="62"/>
      <c r="BY414" s="62"/>
      <c r="BZ414" s="62"/>
      <c r="CI414" s="65"/>
      <c r="CJ414" s="62"/>
      <c r="CK414" s="62"/>
      <c r="CL414" s="62"/>
      <c r="CM414" s="62"/>
      <c r="CN414" s="62"/>
      <c r="CO414" s="62"/>
      <c r="CP414" s="62"/>
      <c r="CQ414" s="62"/>
      <c r="DJ414" s="65"/>
      <c r="DK414" s="65"/>
      <c r="DL414" s="65"/>
      <c r="DM414" s="62"/>
      <c r="DN414" s="62"/>
      <c r="DO414" s="62"/>
      <c r="DP414" s="62"/>
      <c r="DQ414" s="62"/>
      <c r="DR414" s="62"/>
      <c r="DS414" s="62"/>
      <c r="DT414" s="62"/>
      <c r="DU414" s="62"/>
      <c r="DV414" s="62"/>
    </row>
    <row r="415" spans="1:126" ht="29.25" customHeight="1" x14ac:dyDescent="0.2">
      <c r="A415" s="56"/>
      <c r="B415" s="54"/>
      <c r="C415" s="330"/>
      <c r="D415" s="330"/>
      <c r="E415" s="330"/>
      <c r="F415" s="330"/>
      <c r="G415" s="330"/>
      <c r="H415" s="330"/>
      <c r="I415" s="330"/>
      <c r="J415" s="330"/>
      <c r="K415" s="330"/>
      <c r="L415" s="330"/>
      <c r="M415" s="330"/>
      <c r="N415" s="330"/>
      <c r="O415" s="330"/>
      <c r="P415" s="330" t="s">
        <v>1008</v>
      </c>
      <c r="Q415" s="330"/>
      <c r="R415" s="330"/>
      <c r="S415" s="330"/>
      <c r="T415" s="330"/>
      <c r="U415" s="330"/>
      <c r="V415" s="330"/>
      <c r="W415" s="330"/>
      <c r="X415" s="330"/>
      <c r="Y415" s="330"/>
      <c r="Z415" s="330"/>
      <c r="AA415" s="330"/>
      <c r="AB415" s="330"/>
      <c r="AC415" s="330"/>
      <c r="AD415" s="330"/>
      <c r="AE415" s="330"/>
      <c r="AF415" s="330"/>
      <c r="AG415" s="330"/>
      <c r="AH415" s="330"/>
      <c r="AI415" s="330"/>
      <c r="AL415" s="59"/>
      <c r="AM415" s="59"/>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H415" s="59"/>
      <c r="CJ415" s="62"/>
      <c r="CK415" s="62"/>
      <c r="CL415" s="62"/>
      <c r="CM415" s="62"/>
      <c r="CN415" s="62"/>
      <c r="CO415" s="62"/>
      <c r="CP415" s="62"/>
      <c r="CQ415" s="62"/>
      <c r="DM415" s="62"/>
      <c r="DN415" s="62"/>
      <c r="DO415" s="62"/>
      <c r="DP415" s="62"/>
      <c r="DQ415" s="62"/>
      <c r="DR415" s="62"/>
      <c r="DS415" s="62"/>
      <c r="DT415" s="62"/>
      <c r="DU415" s="62"/>
      <c r="DV415" s="62"/>
    </row>
    <row r="416" spans="1:126" ht="15" customHeight="1" x14ac:dyDescent="0.2">
      <c r="A416" s="56"/>
      <c r="B416" s="59"/>
      <c r="C416" s="330"/>
      <c r="D416" s="330"/>
      <c r="E416" s="330"/>
      <c r="F416" s="330"/>
      <c r="G416" s="330"/>
      <c r="H416" s="330"/>
      <c r="I416" s="330"/>
      <c r="J416" s="330"/>
      <c r="K416" s="330"/>
      <c r="L416" s="330"/>
      <c r="M416" s="330"/>
      <c r="N416" s="330"/>
      <c r="O416" s="330"/>
      <c r="P416" s="330" t="s">
        <v>1007</v>
      </c>
      <c r="Q416" s="330"/>
      <c r="R416" s="330"/>
      <c r="S416" s="330"/>
      <c r="T416" s="330"/>
      <c r="U416" s="330"/>
      <c r="V416" s="330"/>
      <c r="W416" s="330"/>
      <c r="X416" s="330"/>
      <c r="Y416" s="330"/>
      <c r="Z416" s="330"/>
      <c r="AA416" s="330"/>
      <c r="AB416" s="330"/>
      <c r="AC416" s="330"/>
      <c r="AD416" s="330"/>
      <c r="AE416" s="330"/>
      <c r="AF416" s="330"/>
      <c r="AG416" s="330"/>
      <c r="AH416" s="330"/>
      <c r="AI416" s="330"/>
      <c r="BB416" s="62"/>
      <c r="BE416" s="62"/>
      <c r="BQ416" s="62"/>
      <c r="CJ416" s="62"/>
      <c r="DM416" s="62"/>
      <c r="DN416" s="62"/>
      <c r="DO416" s="62"/>
    </row>
    <row r="417" spans="1:126" ht="14.25" customHeight="1" x14ac:dyDescent="0.2">
      <c r="A417" s="56"/>
      <c r="B417" s="54"/>
      <c r="C417" s="330"/>
      <c r="D417" s="330"/>
      <c r="E417" s="330"/>
      <c r="F417" s="330"/>
      <c r="G417" s="330"/>
      <c r="H417" s="330"/>
      <c r="I417" s="330"/>
      <c r="J417" s="330"/>
      <c r="K417" s="330"/>
      <c r="L417" s="330"/>
      <c r="M417" s="330"/>
      <c r="N417" s="330"/>
      <c r="O417" s="330"/>
      <c r="P417" s="330" t="s">
        <v>1010</v>
      </c>
      <c r="Q417" s="330"/>
      <c r="R417" s="330"/>
      <c r="S417" s="330"/>
      <c r="T417" s="330"/>
      <c r="U417" s="330"/>
      <c r="V417" s="330"/>
      <c r="W417" s="330"/>
      <c r="X417" s="330"/>
      <c r="Y417" s="330"/>
      <c r="Z417" s="330"/>
      <c r="AA417" s="330"/>
      <c r="AB417" s="330"/>
      <c r="AC417" s="330"/>
      <c r="AD417" s="330"/>
      <c r="AE417" s="330"/>
      <c r="AF417" s="330"/>
      <c r="AG417" s="330"/>
      <c r="AH417" s="330"/>
      <c r="AI417" s="330"/>
      <c r="AL417" s="59"/>
      <c r="AM417" s="59"/>
      <c r="BB417" s="62"/>
      <c r="BE417" s="62"/>
      <c r="BQ417" s="62"/>
      <c r="CH417" s="59"/>
      <c r="CJ417" s="62"/>
      <c r="DM417" s="62"/>
      <c r="DN417" s="62"/>
      <c r="DO417" s="62"/>
    </row>
    <row r="418" spans="1:126" ht="16.5" customHeight="1" x14ac:dyDescent="0.2">
      <c r="A418" s="56"/>
      <c r="B418" s="54"/>
      <c r="C418" s="330"/>
      <c r="D418" s="330"/>
      <c r="E418" s="330"/>
      <c r="F418" s="330"/>
      <c r="G418" s="330"/>
      <c r="H418" s="330"/>
      <c r="I418" s="330"/>
      <c r="J418" s="330"/>
      <c r="K418" s="330"/>
      <c r="L418" s="330"/>
      <c r="M418" s="330"/>
      <c r="N418" s="330"/>
      <c r="O418" s="330"/>
      <c r="P418" s="330" t="s">
        <v>1009</v>
      </c>
      <c r="Q418" s="330"/>
      <c r="R418" s="330"/>
      <c r="S418" s="330"/>
      <c r="T418" s="330"/>
      <c r="U418" s="330"/>
      <c r="V418" s="330"/>
      <c r="W418" s="330"/>
      <c r="X418" s="330"/>
      <c r="Y418" s="330"/>
      <c r="Z418" s="330"/>
      <c r="AA418" s="330"/>
      <c r="AB418" s="330"/>
      <c r="AC418" s="330"/>
      <c r="AD418" s="330"/>
      <c r="AE418" s="330"/>
      <c r="AF418" s="330"/>
      <c r="AG418" s="330"/>
      <c r="AH418" s="330"/>
      <c r="AI418" s="330"/>
      <c r="BB418" s="62"/>
      <c r="BE418" s="62"/>
      <c r="BQ418" s="62"/>
      <c r="CJ418" s="62"/>
      <c r="DM418" s="62"/>
      <c r="DN418" s="62"/>
      <c r="DO418" s="62"/>
    </row>
    <row r="419" spans="1:126" ht="41.25" customHeight="1" x14ac:dyDescent="0.2">
      <c r="A419" s="56"/>
      <c r="B419" s="59"/>
      <c r="C419" s="330"/>
      <c r="D419" s="330"/>
      <c r="E419" s="330"/>
      <c r="F419" s="330"/>
      <c r="G419" s="330"/>
      <c r="H419" s="330"/>
      <c r="I419" s="330"/>
      <c r="J419" s="330"/>
      <c r="K419" s="330"/>
      <c r="L419" s="330"/>
      <c r="M419" s="330"/>
      <c r="N419" s="330"/>
      <c r="O419" s="330"/>
      <c r="P419" s="330" t="s">
        <v>1012</v>
      </c>
      <c r="Q419" s="330"/>
      <c r="R419" s="330"/>
      <c r="S419" s="330"/>
      <c r="T419" s="330"/>
      <c r="U419" s="330"/>
      <c r="V419" s="330"/>
      <c r="W419" s="330"/>
      <c r="X419" s="330"/>
      <c r="Y419" s="330"/>
      <c r="Z419" s="330"/>
      <c r="AA419" s="330"/>
      <c r="AB419" s="330"/>
      <c r="AC419" s="330"/>
      <c r="AD419" s="330"/>
      <c r="AE419" s="330"/>
      <c r="AF419" s="330"/>
      <c r="AG419" s="330"/>
      <c r="AH419" s="330"/>
      <c r="AI419" s="330"/>
      <c r="AL419" s="59"/>
      <c r="AM419" s="59"/>
      <c r="BB419" s="62"/>
      <c r="BC419" s="63"/>
      <c r="BD419" s="63"/>
      <c r="BE419" s="62"/>
      <c r="BF419" s="63"/>
      <c r="BG419" s="63"/>
      <c r="BH419" s="63"/>
      <c r="BI419" s="63"/>
      <c r="BJ419" s="63"/>
      <c r="BK419" s="63"/>
      <c r="BL419" s="63"/>
      <c r="BM419" s="63"/>
      <c r="BN419" s="63"/>
      <c r="BO419" s="63"/>
      <c r="BP419" s="63"/>
      <c r="BQ419" s="62"/>
      <c r="BR419" s="63"/>
      <c r="BS419" s="63"/>
      <c r="BT419" s="63"/>
      <c r="BU419" s="63"/>
      <c r="BV419" s="63"/>
      <c r="BW419" s="63"/>
      <c r="BX419" s="63"/>
      <c r="BY419" s="63"/>
      <c r="BZ419" s="63"/>
      <c r="CH419" s="59"/>
      <c r="CJ419" s="62"/>
      <c r="CK419" s="63"/>
      <c r="CL419" s="63"/>
      <c r="CM419" s="63"/>
      <c r="CN419" s="63"/>
      <c r="CO419" s="63"/>
      <c r="CP419" s="63"/>
      <c r="CQ419" s="63"/>
      <c r="DM419" s="62"/>
      <c r="DN419" s="62"/>
      <c r="DO419" s="62"/>
      <c r="DP419" s="63"/>
      <c r="DQ419" s="63"/>
      <c r="DR419" s="63"/>
      <c r="DS419" s="63"/>
      <c r="DT419" s="63"/>
      <c r="DU419" s="63"/>
      <c r="DV419" s="63"/>
    </row>
    <row r="420" spans="1:126" ht="30" customHeight="1" x14ac:dyDescent="0.2">
      <c r="A420" s="56"/>
      <c r="B420" s="54"/>
      <c r="C420" s="330"/>
      <c r="D420" s="330"/>
      <c r="E420" s="330"/>
      <c r="F420" s="330"/>
      <c r="G420" s="330"/>
      <c r="H420" s="330"/>
      <c r="I420" s="330"/>
      <c r="J420" s="330"/>
      <c r="K420" s="330"/>
      <c r="L420" s="330"/>
      <c r="M420" s="330"/>
      <c r="N420" s="330"/>
      <c r="O420" s="330"/>
      <c r="P420" s="330" t="s">
        <v>1013</v>
      </c>
      <c r="Q420" s="330"/>
      <c r="R420" s="330"/>
      <c r="S420" s="330"/>
      <c r="T420" s="330"/>
      <c r="U420" s="330"/>
      <c r="V420" s="330"/>
      <c r="W420" s="330"/>
      <c r="X420" s="330"/>
      <c r="Y420" s="330"/>
      <c r="Z420" s="330"/>
      <c r="AA420" s="330"/>
      <c r="AB420" s="330"/>
      <c r="AC420" s="330"/>
      <c r="AD420" s="330"/>
      <c r="AE420" s="330"/>
      <c r="AF420" s="330"/>
      <c r="AG420" s="330"/>
      <c r="AH420" s="330"/>
      <c r="AI420" s="330"/>
      <c r="AL420" s="59"/>
      <c r="AM420" s="59"/>
      <c r="BB420" s="62"/>
      <c r="BE420" s="62"/>
      <c r="BQ420" s="62"/>
      <c r="CH420" s="59"/>
      <c r="CJ420" s="62"/>
      <c r="DM420" s="62"/>
      <c r="DN420" s="62"/>
      <c r="DO420" s="62"/>
    </row>
    <row r="421" spans="1:126" ht="30" customHeight="1" x14ac:dyDescent="0.2">
      <c r="A421" s="56"/>
      <c r="B421" s="59"/>
      <c r="C421" s="330"/>
      <c r="D421" s="330"/>
      <c r="E421" s="330"/>
      <c r="F421" s="330"/>
      <c r="G421" s="330"/>
      <c r="H421" s="330"/>
      <c r="I421" s="330"/>
      <c r="J421" s="330"/>
      <c r="K421" s="330"/>
      <c r="L421" s="330"/>
      <c r="M421" s="330"/>
      <c r="N421" s="330"/>
      <c r="O421" s="330"/>
      <c r="P421" s="330" t="s">
        <v>1026</v>
      </c>
      <c r="Q421" s="330"/>
      <c r="R421" s="330"/>
      <c r="S421" s="330"/>
      <c r="T421" s="330"/>
      <c r="U421" s="330"/>
      <c r="V421" s="330"/>
      <c r="W421" s="330"/>
      <c r="X421" s="330"/>
      <c r="Y421" s="330"/>
      <c r="Z421" s="330"/>
      <c r="AA421" s="330"/>
      <c r="AB421" s="330"/>
      <c r="AC421" s="330"/>
      <c r="AD421" s="330"/>
      <c r="AE421" s="330"/>
      <c r="AF421" s="330"/>
      <c r="AG421" s="330"/>
      <c r="AH421" s="330"/>
      <c r="AI421" s="330"/>
      <c r="BB421" s="62"/>
      <c r="BE421" s="62"/>
      <c r="BQ421" s="62"/>
      <c r="CJ421" s="62"/>
      <c r="DM421" s="62"/>
      <c r="DN421" s="62"/>
      <c r="DO421" s="62"/>
    </row>
    <row r="422" spans="1:126" ht="18" customHeight="1" x14ac:dyDescent="0.2">
      <c r="A422" s="56"/>
      <c r="B422" s="54"/>
      <c r="C422" s="330"/>
      <c r="D422" s="330"/>
      <c r="E422" s="330"/>
      <c r="F422" s="330"/>
      <c r="G422" s="330"/>
      <c r="H422" s="330"/>
      <c r="I422" s="330"/>
      <c r="J422" s="330"/>
      <c r="K422" s="330"/>
      <c r="L422" s="330"/>
      <c r="M422" s="330"/>
      <c r="N422" s="330"/>
      <c r="O422" s="330"/>
      <c r="P422" s="330" t="s">
        <v>1011</v>
      </c>
      <c r="Q422" s="330"/>
      <c r="R422" s="330"/>
      <c r="S422" s="330"/>
      <c r="T422" s="330"/>
      <c r="U422" s="330"/>
      <c r="V422" s="330"/>
      <c r="W422" s="330"/>
      <c r="X422" s="330"/>
      <c r="Y422" s="330"/>
      <c r="Z422" s="330"/>
      <c r="AA422" s="330"/>
      <c r="AB422" s="330"/>
      <c r="AC422" s="330"/>
      <c r="AD422" s="330"/>
      <c r="AE422" s="330"/>
      <c r="AF422" s="330"/>
      <c r="AG422" s="330"/>
      <c r="AH422" s="330"/>
      <c r="AI422" s="330"/>
      <c r="BB422" s="62"/>
      <c r="BE422" s="62"/>
      <c r="BQ422" s="62"/>
      <c r="CJ422" s="62"/>
      <c r="DM422" s="62"/>
      <c r="DN422" s="62"/>
      <c r="DO422" s="62"/>
    </row>
    <row r="423" spans="1:126" ht="13.5" customHeight="1" x14ac:dyDescent="0.2">
      <c r="A423" s="56"/>
      <c r="B423" s="54"/>
      <c r="C423" s="54"/>
      <c r="D423" s="54"/>
      <c r="E423" s="223"/>
      <c r="F423" s="54"/>
      <c r="G423" s="54"/>
      <c r="H423" s="54"/>
      <c r="I423" s="54"/>
      <c r="J423" s="54"/>
      <c r="K423" s="54"/>
      <c r="L423" s="54"/>
      <c r="M423" s="54"/>
      <c r="N423" s="54"/>
      <c r="O423" s="54"/>
      <c r="P423" s="54"/>
      <c r="Q423" s="54"/>
      <c r="R423" s="54"/>
      <c r="S423" s="54"/>
      <c r="T423" s="54"/>
      <c r="U423" s="54"/>
      <c r="V423" s="54"/>
      <c r="W423" s="54"/>
      <c r="X423" s="54"/>
      <c r="Y423" s="54"/>
      <c r="Z423" s="54"/>
      <c r="AA423" s="223"/>
      <c r="AB423" s="223"/>
      <c r="AC423" s="223"/>
      <c r="AD423" s="223"/>
      <c r="AE423" s="223"/>
      <c r="AF423" s="223"/>
      <c r="AG423" s="223"/>
      <c r="AH423" s="223"/>
      <c r="AI423" s="223"/>
      <c r="AN423" s="330"/>
      <c r="AO423" s="330"/>
      <c r="AP423" s="330"/>
      <c r="AQ423" s="330"/>
      <c r="AR423" s="330"/>
      <c r="AS423" s="330"/>
      <c r="AT423" s="330"/>
      <c r="AU423" s="330"/>
      <c r="AV423" s="330"/>
      <c r="AW423" s="330"/>
      <c r="AX423" s="330"/>
      <c r="AY423" s="330"/>
      <c r="AZ423" s="330"/>
      <c r="BA423" s="63"/>
      <c r="BB423" s="62"/>
      <c r="BE423" s="62"/>
      <c r="BQ423" s="62"/>
      <c r="CI423" s="63"/>
      <c r="CJ423" s="62"/>
      <c r="DJ423" s="63"/>
      <c r="DK423" s="63"/>
      <c r="DL423" s="63"/>
      <c r="DM423" s="62"/>
      <c r="DN423" s="62"/>
      <c r="DO423" s="62"/>
    </row>
    <row r="424" spans="1:126" x14ac:dyDescent="0.2">
      <c r="A424" s="54"/>
      <c r="B424" s="54"/>
      <c r="C424" s="54"/>
      <c r="D424" s="325" t="s">
        <v>384</v>
      </c>
      <c r="E424" s="325"/>
      <c r="F424" s="325"/>
      <c r="G424" s="325"/>
      <c r="H424" s="325"/>
      <c r="I424" s="325"/>
      <c r="J424" s="325"/>
      <c r="K424" s="325"/>
      <c r="L424" s="325"/>
      <c r="M424" s="325"/>
      <c r="N424" s="325"/>
      <c r="O424" s="325"/>
      <c r="P424" s="325"/>
      <c r="Q424" s="325"/>
      <c r="R424" s="325"/>
      <c r="S424" s="325"/>
      <c r="T424" s="325"/>
      <c r="U424" s="325"/>
      <c r="V424" s="325"/>
      <c r="W424" s="325"/>
      <c r="X424" s="325"/>
      <c r="Y424" s="325"/>
      <c r="Z424" s="325"/>
      <c r="AA424" s="325"/>
      <c r="AB424" s="325"/>
      <c r="AC424" s="325"/>
      <c r="AD424" s="325"/>
      <c r="AE424" s="325"/>
      <c r="AF424" s="325"/>
      <c r="AG424" s="325"/>
      <c r="AH424" s="325"/>
      <c r="AI424" s="325"/>
      <c r="AJ424" s="325"/>
      <c r="AK424" s="174"/>
      <c r="BB424" s="62"/>
      <c r="BE424" s="62"/>
      <c r="BQ424" s="62"/>
      <c r="CJ424" s="62"/>
      <c r="DM424" s="62"/>
      <c r="DN424" s="62"/>
      <c r="DO424" s="62"/>
    </row>
    <row r="425" spans="1:126" x14ac:dyDescent="0.2">
      <c r="A425" s="54"/>
      <c r="B425" s="54"/>
      <c r="C425" s="54"/>
      <c r="D425" s="54"/>
      <c r="E425" s="54"/>
      <c r="F425" s="54"/>
      <c r="G425" s="54"/>
      <c r="H425" s="54"/>
      <c r="I425" s="54"/>
      <c r="J425" s="54"/>
      <c r="K425" s="54"/>
      <c r="L425" s="54"/>
      <c r="M425" s="54"/>
      <c r="N425" s="54"/>
      <c r="O425" s="54"/>
      <c r="P425" s="54"/>
      <c r="Q425" s="54"/>
      <c r="R425" s="54"/>
      <c r="S425" s="54"/>
      <c r="T425" s="54"/>
      <c r="U425" s="54"/>
      <c r="V425" s="54"/>
      <c r="W425" s="54"/>
      <c r="X425" s="54"/>
      <c r="Y425" s="54"/>
      <c r="Z425" s="54"/>
      <c r="AA425" s="223"/>
      <c r="AB425" s="223"/>
      <c r="AC425" s="223"/>
      <c r="AD425" s="223"/>
      <c r="AE425" s="223"/>
      <c r="AF425" s="223"/>
      <c r="AG425" s="223"/>
      <c r="AH425" s="223"/>
      <c r="AI425" s="223"/>
      <c r="BB425" s="62"/>
      <c r="BE425" s="62"/>
      <c r="BQ425" s="62"/>
      <c r="CJ425" s="62"/>
      <c r="DM425" s="62"/>
      <c r="DN425" s="62"/>
      <c r="DO425" s="62"/>
    </row>
    <row r="426" spans="1:126" ht="14.25" customHeight="1" x14ac:dyDescent="0.2">
      <c r="A426" s="54"/>
      <c r="B426" s="280" t="s">
        <v>450</v>
      </c>
      <c r="C426" s="280"/>
      <c r="D426" s="280"/>
      <c r="E426" s="280"/>
      <c r="F426" s="280"/>
      <c r="G426" s="280" t="s">
        <v>483</v>
      </c>
      <c r="H426" s="280"/>
      <c r="I426" s="280"/>
      <c r="J426" s="280"/>
      <c r="K426" s="280"/>
      <c r="L426" s="280" t="s">
        <v>484</v>
      </c>
      <c r="M426" s="280"/>
      <c r="N426" s="280"/>
      <c r="O426" s="280"/>
      <c r="P426" s="280"/>
      <c r="Q426" s="280" t="s">
        <v>481</v>
      </c>
      <c r="R426" s="280"/>
      <c r="S426" s="280"/>
      <c r="T426" s="280"/>
      <c r="U426" s="280"/>
      <c r="V426" s="280" t="s">
        <v>482</v>
      </c>
      <c r="W426" s="280"/>
      <c r="X426" s="280"/>
      <c r="Y426" s="280"/>
      <c r="Z426" s="280"/>
      <c r="AA426" s="280" t="s">
        <v>485</v>
      </c>
      <c r="AB426" s="280"/>
      <c r="AC426" s="280"/>
      <c r="AD426" s="280"/>
      <c r="AE426" s="280"/>
      <c r="AF426" s="223"/>
      <c r="AG426" s="223"/>
      <c r="AH426" s="223"/>
      <c r="AI426" s="223"/>
      <c r="BB426" s="62"/>
      <c r="BC426" s="65"/>
      <c r="BD426" s="65"/>
      <c r="BE426" s="62"/>
      <c r="BF426" s="65"/>
      <c r="BG426" s="65"/>
      <c r="BH426" s="65"/>
      <c r="BI426" s="65"/>
      <c r="BJ426" s="65"/>
      <c r="BK426" s="65"/>
      <c r="BL426" s="65"/>
      <c r="BM426" s="65"/>
      <c r="BN426" s="65"/>
      <c r="BO426" s="65"/>
      <c r="BP426" s="65"/>
      <c r="BQ426" s="62"/>
      <c r="BR426" s="65"/>
      <c r="BS426" s="65"/>
      <c r="BT426" s="65"/>
      <c r="BU426" s="65"/>
      <c r="BV426" s="65"/>
      <c r="BW426" s="65"/>
      <c r="BX426" s="65"/>
      <c r="BY426" s="65"/>
      <c r="BZ426" s="65"/>
      <c r="CJ426" s="62"/>
      <c r="CK426" s="65"/>
      <c r="CL426" s="65"/>
      <c r="CM426" s="65"/>
      <c r="CN426" s="65"/>
      <c r="CO426" s="65"/>
      <c r="CP426" s="65"/>
      <c r="CQ426" s="65"/>
      <c r="DM426" s="62"/>
      <c r="DN426" s="62"/>
      <c r="DO426" s="62"/>
      <c r="DP426" s="65"/>
      <c r="DQ426" s="65"/>
      <c r="DR426" s="65"/>
      <c r="DS426" s="65"/>
      <c r="DT426" s="65"/>
      <c r="DU426" s="65"/>
      <c r="DV426" s="65"/>
    </row>
    <row r="427" spans="1:126" x14ac:dyDescent="0.2">
      <c r="A427" s="54"/>
      <c r="B427" s="316">
        <f>IF(COUNTIF($BF$213:$BI$282,"&gt;2")&gt;=1,MAX(MAX($BB$213:$BE$282)/1.5,(MAX($BL$213:$BO$282,$BR$213:$BU$282,$BX$213:$CA$282,$CD$213:$CG$282)/3)),$Z$68)</f>
        <v>450</v>
      </c>
      <c r="C427" s="316"/>
      <c r="D427" s="316"/>
      <c r="E427" s="316"/>
      <c r="F427" s="316"/>
      <c r="G427" s="316">
        <f>MIN($Z$75:$AF$76)</f>
        <v>100</v>
      </c>
      <c r="H427" s="316"/>
      <c r="I427" s="316"/>
      <c r="J427" s="316"/>
      <c r="K427" s="316"/>
      <c r="L427" s="316">
        <f>$Z$112</f>
        <v>0</v>
      </c>
      <c r="M427" s="316"/>
      <c r="N427" s="316"/>
      <c r="O427" s="316"/>
      <c r="P427" s="316"/>
      <c r="Q427" s="316">
        <f>ABS(0-$Q$185)</f>
        <v>125</v>
      </c>
      <c r="R427" s="316"/>
      <c r="S427" s="316"/>
      <c r="T427" s="316"/>
      <c r="U427" s="316"/>
      <c r="V427" s="316">
        <f>ABS(0-$T$185)</f>
        <v>96.385542168674704</v>
      </c>
      <c r="W427" s="316"/>
      <c r="X427" s="316"/>
      <c r="Y427" s="316"/>
      <c r="Z427" s="316"/>
      <c r="AA427" s="282">
        <f>$Z$127</f>
        <v>10</v>
      </c>
      <c r="AB427" s="282"/>
      <c r="AC427" s="282"/>
      <c r="AD427" s="282"/>
      <c r="AE427" s="282"/>
      <c r="AF427" s="223"/>
      <c r="AG427" s="223"/>
      <c r="AH427" s="223"/>
      <c r="AI427" s="223"/>
      <c r="BB427" s="62"/>
      <c r="BE427" s="62"/>
      <c r="BQ427" s="62"/>
      <c r="CJ427" s="62"/>
      <c r="DM427" s="62"/>
      <c r="DN427" s="62"/>
      <c r="DO427" s="62"/>
    </row>
    <row r="428" spans="1:126" ht="12.75" customHeight="1" x14ac:dyDescent="0.2">
      <c r="A428" s="54"/>
      <c r="B428" s="54"/>
      <c r="C428" s="54"/>
      <c r="D428" s="54"/>
      <c r="E428" s="54"/>
      <c r="F428" s="54"/>
      <c r="G428" s="54"/>
      <c r="H428" s="54"/>
      <c r="I428" s="54"/>
      <c r="J428" s="54"/>
      <c r="K428" s="54"/>
      <c r="L428" s="223"/>
      <c r="M428" s="223"/>
      <c r="N428" s="223"/>
      <c r="O428" s="223"/>
      <c r="P428" s="223"/>
      <c r="Q428" s="223"/>
      <c r="R428" s="223"/>
      <c r="S428" s="223"/>
      <c r="T428" s="223"/>
      <c r="U428" s="223"/>
      <c r="V428" s="223"/>
      <c r="W428" s="223"/>
      <c r="X428" s="223"/>
      <c r="Y428" s="223"/>
      <c r="Z428" s="223"/>
      <c r="AA428" s="223"/>
      <c r="AB428" s="223"/>
      <c r="AC428" s="223"/>
      <c r="AD428" s="223"/>
      <c r="AE428" s="223"/>
      <c r="AF428" s="223"/>
      <c r="AG428" s="223"/>
      <c r="AH428" s="223"/>
      <c r="AI428" s="223"/>
      <c r="BB428" s="62"/>
      <c r="BE428" s="62"/>
      <c r="BQ428" s="62"/>
      <c r="CJ428" s="62"/>
      <c r="DM428" s="62"/>
      <c r="DN428" s="62"/>
      <c r="DO428" s="62"/>
    </row>
    <row r="429" spans="1:126" ht="14.25" customHeight="1" x14ac:dyDescent="0.2">
      <c r="A429" s="54"/>
      <c r="B429" s="280" t="s">
        <v>517</v>
      </c>
      <c r="C429" s="280"/>
      <c r="D429" s="280"/>
      <c r="E429" s="280"/>
      <c r="F429" s="280"/>
      <c r="G429" s="280" t="s">
        <v>486</v>
      </c>
      <c r="H429" s="280"/>
      <c r="I429" s="280" t="s">
        <v>379</v>
      </c>
      <c r="J429" s="280"/>
      <c r="K429" s="280"/>
      <c r="L429" s="223"/>
      <c r="M429" s="223"/>
      <c r="N429" s="223"/>
      <c r="O429" s="223"/>
      <c r="P429" s="223"/>
      <c r="Q429" s="223"/>
      <c r="R429" s="223"/>
      <c r="S429" s="223"/>
      <c r="T429" s="223"/>
      <c r="U429" s="223"/>
      <c r="V429" s="223"/>
      <c r="W429" s="223"/>
      <c r="X429" s="223"/>
      <c r="Y429" s="223"/>
      <c r="Z429" s="223"/>
      <c r="AA429" s="223"/>
      <c r="AB429" s="223"/>
      <c r="AC429" s="223"/>
      <c r="AD429" s="223"/>
      <c r="AE429" s="223"/>
      <c r="AF429" s="223"/>
      <c r="AG429" s="223"/>
      <c r="AH429" s="223"/>
      <c r="AI429" s="223"/>
      <c r="BB429" s="62"/>
      <c r="BC429" s="65"/>
      <c r="BD429" s="65"/>
      <c r="BE429" s="62"/>
      <c r="BF429" s="65"/>
      <c r="BG429" s="65"/>
      <c r="BH429" s="65"/>
      <c r="BI429" s="65"/>
      <c r="BJ429" s="65"/>
      <c r="BK429" s="65"/>
      <c r="BL429" s="65"/>
      <c r="BM429" s="65"/>
      <c r="BN429" s="65"/>
      <c r="BO429" s="65"/>
      <c r="BP429" s="65"/>
      <c r="BQ429" s="62"/>
      <c r="BR429" s="65"/>
      <c r="BS429" s="65"/>
      <c r="BT429" s="65"/>
      <c r="BU429" s="65"/>
      <c r="BV429" s="65"/>
      <c r="BW429" s="65"/>
      <c r="BX429" s="65"/>
      <c r="BY429" s="65"/>
      <c r="BZ429" s="65"/>
      <c r="CJ429" s="62"/>
      <c r="CK429" s="65"/>
      <c r="CL429" s="65"/>
      <c r="CM429" s="65"/>
      <c r="CN429" s="65"/>
      <c r="CO429" s="65"/>
      <c r="CP429" s="65"/>
      <c r="CQ429" s="65"/>
      <c r="DM429" s="62"/>
      <c r="DN429" s="62"/>
      <c r="DO429" s="62"/>
      <c r="DP429" s="65"/>
      <c r="DQ429" s="65"/>
      <c r="DR429" s="65"/>
      <c r="DS429" s="65"/>
      <c r="DT429" s="65"/>
      <c r="DU429" s="65"/>
      <c r="DV429" s="65"/>
    </row>
    <row r="430" spans="1:126" x14ac:dyDescent="0.2">
      <c r="A430" s="54"/>
      <c r="B430" s="305">
        <f>IF($O$61="Embebido",MIN(68.947572932,$Z$97),IF($O$61="Postinstalado",MIN(55.158058345,$Z$97),"-"))</f>
        <v>55.158058345000001</v>
      </c>
      <c r="C430" s="305"/>
      <c r="D430" s="305"/>
      <c r="E430" s="305"/>
      <c r="F430" s="305"/>
      <c r="G430" s="282">
        <f>IF($D$103="Peso normal",1,IF(OR((O$62="Adhesivo"),(IFERROR(FIND("Expansivo",O$63,1)&gt;0,FALSE()) )),0.8,1))*Z$103</f>
        <v>1</v>
      </c>
      <c r="H430" s="282"/>
      <c r="I430" s="282"/>
      <c r="J430" s="282"/>
      <c r="K430" s="282"/>
      <c r="L430" s="223"/>
      <c r="M430" s="223"/>
      <c r="N430" s="223"/>
      <c r="O430" s="223"/>
      <c r="P430" s="223"/>
      <c r="Q430" s="223"/>
      <c r="R430" s="223"/>
      <c r="S430" s="223"/>
      <c r="T430" s="223"/>
      <c r="U430" s="223"/>
      <c r="V430" s="223"/>
      <c r="W430" s="223"/>
      <c r="X430" s="223"/>
      <c r="Y430" s="223"/>
      <c r="Z430" s="223"/>
      <c r="AA430" s="223"/>
      <c r="AB430" s="223"/>
      <c r="AC430" s="223"/>
      <c r="AD430" s="223"/>
      <c r="AE430" s="223"/>
      <c r="AF430" s="223"/>
      <c r="AG430" s="223"/>
      <c r="AH430" s="223"/>
      <c r="AI430" s="223"/>
      <c r="BB430" s="62"/>
      <c r="BE430" s="62"/>
      <c r="BQ430" s="62"/>
      <c r="CJ430" s="62"/>
      <c r="DM430" s="62"/>
      <c r="DN430" s="62"/>
      <c r="DO430" s="62"/>
    </row>
    <row r="431" spans="1:126" ht="12.75" customHeight="1" x14ac:dyDescent="0.2">
      <c r="A431" s="54"/>
      <c r="B431" s="54"/>
      <c r="C431" s="54"/>
      <c r="D431" s="54"/>
      <c r="E431" s="54"/>
      <c r="F431" s="54"/>
      <c r="G431" s="54"/>
      <c r="H431" s="54"/>
      <c r="I431" s="54"/>
      <c r="J431" s="54"/>
      <c r="K431" s="54"/>
      <c r="L431" s="223"/>
      <c r="M431" s="223"/>
      <c r="N431" s="223"/>
      <c r="O431" s="223"/>
      <c r="P431" s="223"/>
      <c r="Q431" s="223"/>
      <c r="R431" s="223"/>
      <c r="S431" s="223"/>
      <c r="T431" s="223"/>
      <c r="U431" s="223"/>
      <c r="V431" s="223"/>
      <c r="W431" s="223"/>
      <c r="X431" s="223"/>
      <c r="Y431" s="223"/>
      <c r="Z431" s="223"/>
      <c r="AA431" s="223"/>
      <c r="AB431" s="223"/>
      <c r="AC431" s="223"/>
      <c r="AD431" s="223"/>
      <c r="AE431" s="223"/>
      <c r="AF431" s="223"/>
      <c r="AG431" s="223"/>
      <c r="AH431" s="223"/>
      <c r="AI431" s="223"/>
      <c r="BB431" s="62"/>
      <c r="BE431" s="62"/>
      <c r="BQ431" s="62"/>
      <c r="CJ431" s="62"/>
      <c r="DM431" s="62"/>
      <c r="DN431" s="62"/>
      <c r="DO431" s="62"/>
    </row>
    <row r="432" spans="1:126" x14ac:dyDescent="0.2">
      <c r="A432" s="54"/>
      <c r="B432" s="54"/>
      <c r="C432" s="54"/>
      <c r="D432" s="325" t="s">
        <v>385</v>
      </c>
      <c r="E432" s="325"/>
      <c r="F432" s="325"/>
      <c r="G432" s="325"/>
      <c r="H432" s="325"/>
      <c r="I432" s="325"/>
      <c r="J432" s="325"/>
      <c r="K432" s="325"/>
      <c r="L432" s="325"/>
      <c r="M432" s="325"/>
      <c r="N432" s="325"/>
      <c r="O432" s="325"/>
      <c r="P432" s="325"/>
      <c r="Q432" s="325"/>
      <c r="R432" s="325"/>
      <c r="S432" s="325"/>
      <c r="T432" s="325"/>
      <c r="U432" s="325"/>
      <c r="V432" s="325"/>
      <c r="W432" s="325"/>
      <c r="X432" s="325"/>
      <c r="Y432" s="325"/>
      <c r="Z432" s="325"/>
      <c r="AA432" s="325"/>
      <c r="AB432" s="325"/>
      <c r="AC432" s="325"/>
      <c r="AD432" s="325"/>
      <c r="AE432" s="325"/>
      <c r="AF432" s="325"/>
      <c r="AG432" s="325"/>
      <c r="AH432" s="325"/>
      <c r="AI432" s="325"/>
      <c r="AJ432" s="325"/>
      <c r="AK432" s="174"/>
      <c r="BB432" s="62"/>
      <c r="BE432" s="62"/>
      <c r="BQ432" s="62"/>
      <c r="CJ432" s="62"/>
      <c r="DM432" s="62"/>
      <c r="DN432" s="62"/>
      <c r="DO432" s="62"/>
    </row>
    <row r="433" spans="1:126" ht="13.5" customHeight="1" x14ac:dyDescent="0.2">
      <c r="A433" s="54"/>
      <c r="B433" s="54"/>
      <c r="C433" s="54"/>
      <c r="D433" s="54"/>
      <c r="E433" s="54"/>
      <c r="F433" s="54"/>
      <c r="G433" s="54"/>
      <c r="H433" s="54"/>
      <c r="I433" s="54"/>
      <c r="J433" s="54"/>
      <c r="K433" s="54"/>
      <c r="L433" s="54"/>
      <c r="M433" s="54"/>
      <c r="N433" s="54"/>
      <c r="O433" s="54"/>
      <c r="P433" s="54"/>
      <c r="Q433" s="54"/>
      <c r="R433" s="54"/>
      <c r="S433" s="54"/>
      <c r="T433" s="54"/>
      <c r="U433" s="54"/>
      <c r="V433" s="54"/>
      <c r="W433" s="54"/>
      <c r="X433" s="54"/>
      <c r="Y433" s="54"/>
      <c r="Z433" s="54"/>
      <c r="AA433" s="223"/>
      <c r="AB433" s="223"/>
      <c r="AC433" s="223"/>
      <c r="AD433" s="223"/>
      <c r="AE433" s="223"/>
      <c r="AF433" s="223"/>
      <c r="AG433" s="223"/>
      <c r="AH433" s="223"/>
      <c r="AI433" s="223"/>
    </row>
    <row r="434" spans="1:126" x14ac:dyDescent="0.2">
      <c r="A434" s="54"/>
      <c r="B434" s="280" t="s">
        <v>983</v>
      </c>
      <c r="C434" s="280"/>
      <c r="D434" s="280"/>
      <c r="E434" s="280"/>
      <c r="F434" s="280" t="s">
        <v>536</v>
      </c>
      <c r="G434" s="280"/>
      <c r="H434" s="280"/>
      <c r="I434" s="280"/>
      <c r="J434" s="280" t="s">
        <v>475</v>
      </c>
      <c r="K434" s="280"/>
      <c r="L434" s="280"/>
      <c r="M434" s="280"/>
      <c r="N434" s="280" t="s">
        <v>476</v>
      </c>
      <c r="O434" s="280"/>
      <c r="P434" s="280"/>
      <c r="Q434" s="280"/>
      <c r="R434" s="280" t="s">
        <v>477</v>
      </c>
      <c r="S434" s="280"/>
      <c r="T434" s="280"/>
      <c r="U434" s="280"/>
      <c r="V434" s="280" t="s">
        <v>478</v>
      </c>
      <c r="W434" s="280"/>
      <c r="X434" s="280"/>
      <c r="Y434" s="280"/>
      <c r="Z434" s="280" t="s">
        <v>473</v>
      </c>
      <c r="AA434" s="280"/>
      <c r="AB434" s="280"/>
      <c r="AC434" s="280"/>
      <c r="AD434" s="280"/>
      <c r="AE434" s="280" t="s">
        <v>474</v>
      </c>
      <c r="AF434" s="280"/>
      <c r="AG434" s="280"/>
      <c r="AH434" s="280"/>
      <c r="AI434" s="280"/>
      <c r="AJ434" s="221"/>
      <c r="AK434" s="182"/>
    </row>
    <row r="435" spans="1:126" x14ac:dyDescent="0.2">
      <c r="A435" s="54"/>
      <c r="B435" s="281">
        <f>IFERROR(IF($Z$134="-", SUM($CH$213:$CM$282),"-"),"-")</f>
        <v>0.68125000000000002</v>
      </c>
      <c r="C435" s="281"/>
      <c r="D435" s="281"/>
      <c r="E435" s="281"/>
      <c r="F435" s="495">
        <f>IFERROR(IF($Z$134="-", 9*($B$427^2)/1000000,"-"),"-")</f>
        <v>1.8225</v>
      </c>
      <c r="G435" s="495"/>
      <c r="H435" s="495"/>
      <c r="I435" s="495"/>
      <c r="J435" s="282">
        <f>IFERROR( IF($B$435="-","-", IF(AND($B$378="Grupo",$S$196&gt;0),MIN(1,(1/(1+(2*$Q$427/(3*$B$427)))))*MIN(1,(1/(1+(2*$V$427/(3*$B$427))))), "-")),"-")</f>
        <v>0.73832243264349873</v>
      </c>
      <c r="K435" s="282"/>
      <c r="L435" s="282"/>
      <c r="M435" s="282"/>
      <c r="N435" s="282">
        <f>IFERROR( IF($B$435="-","-",  IF($G$427&gt;=(1.5*$B$427),1,(0.7+(0.3*($G$427/(1.5*$B$427)))))),"-")</f>
        <v>0.74444444444444435</v>
      </c>
      <c r="O435" s="282"/>
      <c r="P435" s="282"/>
      <c r="Q435" s="282"/>
      <c r="R435" s="282">
        <f>IFERROR( IF($B$435="-","-",  IF($Z$99="Fisurado",1,IF($O$61="Embebido",1.25,IF($Z$128="-",1.4,$Z$128)))),"-")</f>
        <v>1</v>
      </c>
      <c r="S435" s="282"/>
      <c r="T435" s="282"/>
      <c r="U435" s="282"/>
      <c r="V435" s="282">
        <f>IFERROR( IF($B$435="-","-",  IF(AND($O$61="Postinstalado",$Z$99="No fisurado",$Z$101="B"), MIN(1,MAX($G$427/$L$427,(1.5*$B$427/$L$427))), 1 )),"-")</f>
        <v>1</v>
      </c>
      <c r="W435" s="282"/>
      <c r="X435" s="282"/>
      <c r="Y435" s="282"/>
      <c r="Z435" s="305">
        <f>IFERROR( IF($B$435="-","-",  $AA$427 * $G$430 * ($B$430^0.5) * ($B$427^1.5)/1000),"-")</f>
        <v>708.96248608005556</v>
      </c>
      <c r="AA435" s="305"/>
      <c r="AB435" s="305"/>
      <c r="AC435" s="305"/>
      <c r="AD435" s="305"/>
      <c r="AE435" s="305">
        <f>IFERROR( IF($B$435="-","-", IF($B$378="Grupo", (B$435/F$435)*MIN(1,J$435)*N$435*R$435*V$435*Z$435,"-")),"-")</f>
        <v>145.66009573860973</v>
      </c>
      <c r="AF435" s="305"/>
      <c r="AG435" s="305"/>
      <c r="AH435" s="305"/>
      <c r="AI435" s="305"/>
    </row>
    <row r="436" spans="1:126" ht="13.5" customHeight="1" x14ac:dyDescent="0.2">
      <c r="A436" s="54"/>
      <c r="B436" s="54"/>
      <c r="C436" s="54"/>
      <c r="D436" s="54"/>
      <c r="E436" s="54"/>
      <c r="F436" s="54"/>
      <c r="G436" s="54"/>
      <c r="H436" s="54"/>
      <c r="I436" s="54"/>
      <c r="J436" s="54"/>
      <c r="K436" s="54"/>
      <c r="L436" s="54"/>
      <c r="M436" s="54"/>
      <c r="N436" s="54"/>
      <c r="O436" s="54"/>
      <c r="P436" s="54"/>
      <c r="Q436" s="54"/>
      <c r="R436" s="54"/>
      <c r="S436" s="54"/>
      <c r="T436" s="54"/>
      <c r="U436" s="54"/>
      <c r="V436" s="54"/>
      <c r="W436" s="54"/>
      <c r="X436" s="54"/>
      <c r="Y436" s="54"/>
      <c r="Z436" s="54"/>
      <c r="AA436" s="223"/>
      <c r="AB436" s="223"/>
      <c r="AC436" s="223"/>
      <c r="AD436" s="223"/>
      <c r="AE436" s="223"/>
      <c r="AF436" s="223"/>
      <c r="AG436" s="223"/>
      <c r="AH436" s="223"/>
      <c r="AI436" s="223"/>
      <c r="BB436" s="63"/>
      <c r="BE436" s="63"/>
      <c r="BQ436" s="63"/>
      <c r="CJ436" s="63"/>
      <c r="DM436" s="63"/>
      <c r="DN436" s="63"/>
      <c r="DO436" s="63"/>
    </row>
    <row r="437" spans="1:126" x14ac:dyDescent="0.2">
      <c r="A437" s="54"/>
      <c r="B437" s="54"/>
      <c r="C437" s="54"/>
      <c r="D437" s="325" t="s">
        <v>386</v>
      </c>
      <c r="E437" s="325"/>
      <c r="F437" s="325"/>
      <c r="G437" s="325"/>
      <c r="H437" s="325"/>
      <c r="I437" s="325"/>
      <c r="J437" s="325"/>
      <c r="K437" s="325"/>
      <c r="L437" s="325"/>
      <c r="M437" s="325"/>
      <c r="N437" s="325"/>
      <c r="O437" s="325"/>
      <c r="P437" s="325"/>
      <c r="Q437" s="325"/>
      <c r="R437" s="325"/>
      <c r="S437" s="325"/>
      <c r="T437" s="325"/>
      <c r="U437" s="325"/>
      <c r="V437" s="325"/>
      <c r="W437" s="325"/>
      <c r="X437" s="325"/>
      <c r="Y437" s="325"/>
      <c r="Z437" s="325"/>
      <c r="AA437" s="325"/>
      <c r="AB437" s="325"/>
      <c r="AC437" s="325"/>
      <c r="AD437" s="325"/>
      <c r="AE437" s="325"/>
      <c r="AF437" s="325"/>
      <c r="AG437" s="325"/>
      <c r="AH437" s="325"/>
      <c r="AI437" s="325"/>
      <c r="AJ437" s="325"/>
      <c r="AK437" s="174"/>
      <c r="AY437" s="63"/>
      <c r="AZ437" s="63"/>
      <c r="BA437" s="63"/>
      <c r="CI437" s="63"/>
      <c r="DJ437" s="63"/>
      <c r="DK437" s="63"/>
      <c r="DL437" s="63"/>
    </row>
    <row r="438" spans="1:126" x14ac:dyDescent="0.2">
      <c r="A438" s="54"/>
      <c r="B438" s="54"/>
      <c r="C438" s="54"/>
      <c r="D438" s="54"/>
      <c r="E438" s="54"/>
      <c r="F438" s="54"/>
      <c r="G438" s="54"/>
      <c r="H438" s="54"/>
      <c r="I438" s="54"/>
      <c r="J438" s="54"/>
      <c r="K438" s="54"/>
      <c r="L438" s="54"/>
      <c r="M438" s="54"/>
      <c r="N438" s="54"/>
      <c r="O438" s="54"/>
      <c r="P438" s="54"/>
      <c r="Q438" s="54"/>
      <c r="R438" s="54"/>
      <c r="S438" s="54"/>
      <c r="T438" s="54"/>
      <c r="U438" s="54"/>
      <c r="V438" s="54"/>
      <c r="W438" s="54"/>
      <c r="X438" s="54"/>
      <c r="Y438" s="54"/>
      <c r="Z438" s="54"/>
      <c r="AA438" s="223"/>
      <c r="AB438" s="223"/>
      <c r="AC438" s="223"/>
      <c r="AD438" s="223"/>
      <c r="AE438" s="223"/>
      <c r="AF438" s="223"/>
      <c r="AG438" s="223"/>
      <c r="AH438" s="223"/>
      <c r="AI438" s="223"/>
    </row>
    <row r="439" spans="1:126" ht="14.25" customHeight="1" x14ac:dyDescent="0.2">
      <c r="A439" s="54"/>
      <c r="B439" s="322" t="s">
        <v>470</v>
      </c>
      <c r="C439" s="280"/>
      <c r="D439" s="280"/>
      <c r="E439" s="280"/>
      <c r="F439" s="280"/>
      <c r="G439" s="280" t="s">
        <v>471</v>
      </c>
      <c r="H439" s="280"/>
      <c r="I439" s="280"/>
      <c r="J439" s="280"/>
      <c r="K439" s="280"/>
      <c r="L439" s="280" t="s">
        <v>472</v>
      </c>
      <c r="M439" s="280"/>
      <c r="N439" s="280"/>
      <c r="O439" s="280"/>
      <c r="P439" s="280"/>
      <c r="Q439" s="322" t="s">
        <v>460</v>
      </c>
      <c r="R439" s="280"/>
      <c r="S439" s="280"/>
      <c r="T439" s="280"/>
      <c r="U439" s="280"/>
      <c r="V439" s="280" t="s">
        <v>909</v>
      </c>
      <c r="W439" s="280"/>
      <c r="X439" s="280"/>
      <c r="Y439" s="280"/>
      <c r="Z439" s="280"/>
      <c r="AA439" s="496" t="s">
        <v>1003</v>
      </c>
      <c r="AB439" s="496"/>
      <c r="AC439" s="496"/>
      <c r="AD439" s="496"/>
      <c r="AE439" s="496"/>
      <c r="AF439" s="223"/>
      <c r="AG439" s="223"/>
      <c r="AH439" s="223"/>
      <c r="AI439" s="223"/>
    </row>
    <row r="440" spans="1:126" x14ac:dyDescent="0.2">
      <c r="A440" s="54"/>
      <c r="B440" s="305">
        <f>IF($Z$134="-", AE435,$Z$134)</f>
        <v>145.66009573860973</v>
      </c>
      <c r="C440" s="305"/>
      <c r="D440" s="305"/>
      <c r="E440" s="305"/>
      <c r="F440" s="305"/>
      <c r="G440" s="282">
        <f>IF($B$440="-","-",IFERROR(IF($O$61="Embebido",IF($Z$101="A",0.75,0.7),IF($Z$101="A",IF($Z$90="Baja",0.75,IF($Z$90="Moderada",0.65,0.55)),IF($Z$90="Baja",0.65,IF($Z$90="Moderada",0.55,0.45)))),"-"))</f>
        <v>0.45</v>
      </c>
      <c r="H440" s="282"/>
      <c r="I440" s="282"/>
      <c r="J440" s="282"/>
      <c r="K440" s="282"/>
      <c r="L440" s="305">
        <f>IF($B440="-","-",$B440*$G440)</f>
        <v>65.547043082374373</v>
      </c>
      <c r="M440" s="305"/>
      <c r="N440" s="305"/>
      <c r="O440" s="305"/>
      <c r="P440" s="305"/>
      <c r="Q440" s="305">
        <f>IF($B$440="-","-",$L$185)</f>
        <v>41.5</v>
      </c>
      <c r="R440" s="305"/>
      <c r="S440" s="305"/>
      <c r="T440" s="305"/>
      <c r="U440" s="305"/>
      <c r="V440" s="305">
        <f>IFERROR(100*$Q440/($L440/$AA440),"-")</f>
        <v>63.313306059963772</v>
      </c>
      <c r="W440" s="305"/>
      <c r="X440" s="305"/>
      <c r="Y440" s="305"/>
      <c r="Z440" s="305"/>
      <c r="AA440" s="282">
        <f>IFERROR($L$176,1)</f>
        <v>1</v>
      </c>
      <c r="AB440" s="282"/>
      <c r="AC440" s="282"/>
      <c r="AD440" s="282"/>
      <c r="AE440" s="282"/>
      <c r="AF440" s="223"/>
      <c r="AG440" s="223"/>
      <c r="AH440" s="223"/>
      <c r="AI440" s="223"/>
      <c r="BC440" s="65"/>
      <c r="BD440" s="65"/>
      <c r="BF440" s="65"/>
      <c r="BG440" s="65"/>
      <c r="BH440" s="65"/>
      <c r="BI440" s="65"/>
      <c r="BJ440" s="65"/>
      <c r="BK440" s="65"/>
      <c r="BL440" s="65"/>
      <c r="BM440" s="65"/>
      <c r="BN440" s="65"/>
      <c r="BO440" s="65"/>
      <c r="BP440" s="65"/>
      <c r="BR440" s="65"/>
      <c r="BS440" s="65"/>
      <c r="BT440" s="65"/>
      <c r="BU440" s="65"/>
      <c r="BV440" s="65"/>
      <c r="BW440" s="65"/>
      <c r="BX440" s="65"/>
      <c r="BY440" s="65"/>
      <c r="BZ440" s="65"/>
      <c r="CK440" s="65"/>
      <c r="CL440" s="65"/>
      <c r="CM440" s="65"/>
      <c r="CN440" s="65"/>
      <c r="CO440" s="65"/>
      <c r="CP440" s="65"/>
      <c r="CQ440" s="65"/>
      <c r="DP440" s="65"/>
      <c r="DQ440" s="65"/>
      <c r="DR440" s="65"/>
      <c r="DS440" s="65"/>
      <c r="DT440" s="65"/>
      <c r="DU440" s="65"/>
      <c r="DV440" s="65"/>
    </row>
    <row r="441" spans="1:126" x14ac:dyDescent="0.2">
      <c r="A441" s="54"/>
      <c r="B441" s="54"/>
      <c r="C441" s="54"/>
      <c r="D441" s="54"/>
      <c r="E441" s="54"/>
      <c r="F441" s="54"/>
      <c r="G441" s="54"/>
      <c r="H441" s="54"/>
      <c r="I441" s="54"/>
      <c r="J441" s="54"/>
      <c r="K441" s="54"/>
      <c r="L441" s="54"/>
      <c r="M441" s="54"/>
      <c r="N441" s="54"/>
      <c r="O441" s="54"/>
      <c r="P441" s="54"/>
      <c r="Q441" s="54"/>
      <c r="R441" s="54"/>
      <c r="S441" s="54"/>
      <c r="T441" s="54"/>
      <c r="U441" s="54"/>
      <c r="V441" s="54"/>
      <c r="W441" s="54"/>
      <c r="X441" s="54"/>
      <c r="Y441" s="54"/>
      <c r="Z441" s="54"/>
      <c r="AA441" s="223"/>
      <c r="AB441" s="223"/>
      <c r="AC441" s="223"/>
      <c r="AD441" s="223"/>
      <c r="AE441" s="223"/>
      <c r="AF441" s="223"/>
      <c r="AG441" s="223"/>
      <c r="AH441" s="223"/>
      <c r="AI441" s="223"/>
    </row>
    <row r="442" spans="1:126" ht="15.75" customHeight="1" x14ac:dyDescent="0.2">
      <c r="A442" s="54"/>
      <c r="B442" s="54"/>
      <c r="C442" s="54"/>
      <c r="D442" s="54"/>
      <c r="E442" s="54"/>
      <c r="F442" s="54"/>
      <c r="G442" s="54"/>
      <c r="H442" s="54"/>
      <c r="I442" s="54"/>
      <c r="J442" s="54"/>
      <c r="K442" s="54"/>
      <c r="L442" s="54"/>
      <c r="M442" s="54"/>
      <c r="N442" s="54"/>
      <c r="O442" s="54"/>
      <c r="P442" s="54"/>
      <c r="Q442" s="54"/>
      <c r="R442" s="54"/>
      <c r="S442" s="54"/>
      <c r="T442" s="54"/>
      <c r="U442" s="54"/>
      <c r="V442" s="54"/>
      <c r="W442" s="54"/>
      <c r="X442" s="54"/>
      <c r="Y442" s="54"/>
      <c r="Z442" s="54"/>
      <c r="AA442" s="223"/>
      <c r="AB442" s="223"/>
      <c r="AC442" s="223"/>
      <c r="AD442" s="223"/>
      <c r="AE442" s="223"/>
      <c r="AF442" s="223"/>
      <c r="AG442" s="223"/>
      <c r="AH442" s="223"/>
      <c r="AI442" s="223"/>
    </row>
    <row r="443" spans="1:126" ht="12.75" customHeight="1" x14ac:dyDescent="0.2">
      <c r="A443" s="54"/>
      <c r="B443" s="54"/>
      <c r="C443" s="324" t="s">
        <v>468</v>
      </c>
      <c r="D443" s="333"/>
      <c r="E443" s="333"/>
      <c r="F443" s="333"/>
      <c r="G443" s="333"/>
      <c r="H443" s="333"/>
      <c r="I443" s="333"/>
      <c r="J443" s="333"/>
      <c r="K443" s="333"/>
      <c r="L443" s="333"/>
      <c r="M443" s="333"/>
      <c r="N443" s="333"/>
      <c r="O443" s="333"/>
      <c r="P443" s="333"/>
      <c r="Q443" s="333"/>
      <c r="R443" s="333"/>
      <c r="S443" s="333"/>
      <c r="T443" s="333"/>
      <c r="U443" s="333"/>
      <c r="V443" s="333"/>
      <c r="W443" s="333"/>
      <c r="X443" s="333"/>
      <c r="Y443" s="333"/>
      <c r="Z443" s="333"/>
      <c r="AA443" s="333"/>
      <c r="AB443" s="333"/>
      <c r="AC443" s="333"/>
      <c r="AD443" s="333"/>
      <c r="AE443" s="333"/>
      <c r="AF443" s="333"/>
      <c r="AG443" s="333"/>
      <c r="AH443" s="333"/>
      <c r="AI443" s="333"/>
      <c r="AJ443" s="333"/>
      <c r="AK443" s="175"/>
      <c r="BB443" s="65"/>
      <c r="BE443" s="65"/>
      <c r="BQ443" s="65"/>
      <c r="CJ443" s="65"/>
      <c r="DM443" s="65"/>
      <c r="DN443" s="65"/>
      <c r="DO443" s="65"/>
    </row>
    <row r="444" spans="1:126" ht="13.5" customHeight="1" x14ac:dyDescent="0.2">
      <c r="A444" s="56"/>
      <c r="B444" s="54"/>
      <c r="C444" s="54"/>
      <c r="D444" s="54"/>
      <c r="E444" s="223"/>
      <c r="F444" s="54"/>
      <c r="G444" s="54"/>
      <c r="H444" s="54"/>
      <c r="I444" s="54"/>
      <c r="J444" s="54"/>
      <c r="K444" s="54"/>
      <c r="L444" s="54"/>
      <c r="M444" s="54"/>
      <c r="N444" s="54"/>
      <c r="O444" s="54"/>
      <c r="P444" s="54"/>
      <c r="Q444" s="54"/>
      <c r="R444" s="54"/>
      <c r="S444" s="54"/>
      <c r="T444" s="54"/>
      <c r="U444" s="54"/>
      <c r="V444" s="54"/>
      <c r="W444" s="54"/>
      <c r="X444" s="54"/>
      <c r="Y444" s="54"/>
      <c r="Z444" s="54"/>
      <c r="AA444" s="223"/>
      <c r="AB444" s="223"/>
      <c r="AC444" s="223"/>
      <c r="AD444" s="223"/>
      <c r="AE444" s="223"/>
      <c r="AF444" s="223"/>
      <c r="AG444" s="223"/>
      <c r="AH444" s="223"/>
      <c r="AI444" s="223"/>
      <c r="AY444" s="55"/>
      <c r="AZ444" s="55"/>
      <c r="BA444" s="55"/>
      <c r="BB444" s="55"/>
      <c r="BE444" s="55"/>
      <c r="BF444" s="55"/>
      <c r="BG444" s="55"/>
      <c r="BQ444" s="55"/>
      <c r="BR444" s="55"/>
      <c r="BS444" s="55"/>
    </row>
    <row r="445" spans="1:126" ht="15.75" customHeight="1" x14ac:dyDescent="0.2">
      <c r="A445" s="56"/>
      <c r="B445" s="59"/>
      <c r="C445" s="330"/>
      <c r="D445" s="330"/>
      <c r="E445" s="330"/>
      <c r="F445" s="330"/>
      <c r="G445" s="330"/>
      <c r="H445" s="330"/>
      <c r="I445" s="330"/>
      <c r="J445" s="330"/>
      <c r="K445" s="330"/>
      <c r="L445" s="330"/>
      <c r="M445" s="330"/>
      <c r="N445" s="330"/>
      <c r="O445" s="330"/>
      <c r="P445" s="330" t="s">
        <v>1015</v>
      </c>
      <c r="Q445" s="330"/>
      <c r="R445" s="330"/>
      <c r="S445" s="330"/>
      <c r="T445" s="330"/>
      <c r="U445" s="330"/>
      <c r="V445" s="330"/>
      <c r="W445" s="330"/>
      <c r="X445" s="330"/>
      <c r="Y445" s="330"/>
      <c r="Z445" s="330"/>
      <c r="AA445" s="330"/>
      <c r="AB445" s="330"/>
      <c r="AC445" s="330"/>
      <c r="AD445" s="330"/>
      <c r="AE445" s="330"/>
      <c r="AF445" s="330"/>
      <c r="AG445" s="330"/>
      <c r="AH445" s="330"/>
      <c r="AI445" s="330"/>
      <c r="AY445" s="55"/>
      <c r="AZ445" s="55"/>
      <c r="BA445" s="55"/>
      <c r="BB445" s="55"/>
      <c r="BE445" s="55"/>
      <c r="BF445" s="55"/>
      <c r="BG445" s="55"/>
      <c r="BQ445" s="55"/>
      <c r="BR445" s="55"/>
      <c r="BS445" s="55"/>
    </row>
    <row r="446" spans="1:126" ht="15.75" customHeight="1" x14ac:dyDescent="0.2">
      <c r="A446" s="56"/>
      <c r="B446" s="54"/>
      <c r="C446" s="330"/>
      <c r="D446" s="330"/>
      <c r="E446" s="330"/>
      <c r="F446" s="330"/>
      <c r="G446" s="330"/>
      <c r="H446" s="330"/>
      <c r="I446" s="330"/>
      <c r="J446" s="330"/>
      <c r="K446" s="330"/>
      <c r="L446" s="330"/>
      <c r="M446" s="330"/>
      <c r="N446" s="330"/>
      <c r="O446" s="330"/>
      <c r="P446" s="330" t="s">
        <v>1014</v>
      </c>
      <c r="Q446" s="330"/>
      <c r="R446" s="330"/>
      <c r="S446" s="330"/>
      <c r="T446" s="330"/>
      <c r="U446" s="330"/>
      <c r="V446" s="330"/>
      <c r="W446" s="330"/>
      <c r="X446" s="330"/>
      <c r="Y446" s="330"/>
      <c r="Z446" s="330"/>
      <c r="AA446" s="330"/>
      <c r="AB446" s="330"/>
      <c r="AC446" s="330"/>
      <c r="AD446" s="330"/>
      <c r="AE446" s="330"/>
      <c r="AF446" s="330"/>
      <c r="AG446" s="330"/>
      <c r="AH446" s="330"/>
      <c r="AI446" s="330"/>
      <c r="AY446" s="55"/>
      <c r="AZ446" s="55"/>
      <c r="BA446" s="55"/>
      <c r="BB446" s="55"/>
      <c r="BE446" s="55"/>
      <c r="BF446" s="55"/>
      <c r="BG446" s="55"/>
      <c r="BQ446" s="55"/>
      <c r="BR446" s="55"/>
      <c r="BS446" s="55"/>
    </row>
    <row r="447" spans="1:126" ht="15.75" customHeight="1" x14ac:dyDescent="0.2">
      <c r="A447" s="56"/>
      <c r="B447" s="59"/>
      <c r="C447" s="330"/>
      <c r="D447" s="330"/>
      <c r="E447" s="330"/>
      <c r="F447" s="330"/>
      <c r="G447" s="330"/>
      <c r="H447" s="330"/>
      <c r="I447" s="330"/>
      <c r="J447" s="330"/>
      <c r="K447" s="330"/>
      <c r="L447" s="330"/>
      <c r="M447" s="330"/>
      <c r="N447" s="330"/>
      <c r="O447" s="330"/>
      <c r="P447" s="330" t="s">
        <v>1007</v>
      </c>
      <c r="Q447" s="330"/>
      <c r="R447" s="330"/>
      <c r="S447" s="330"/>
      <c r="T447" s="330"/>
      <c r="U447" s="330"/>
      <c r="V447" s="330"/>
      <c r="W447" s="330"/>
      <c r="X447" s="330"/>
      <c r="Y447" s="330"/>
      <c r="Z447" s="330"/>
      <c r="AA447" s="330"/>
      <c r="AB447" s="330"/>
      <c r="AC447" s="330"/>
      <c r="AD447" s="330"/>
      <c r="AE447" s="330"/>
      <c r="AF447" s="330"/>
      <c r="AG447" s="330"/>
      <c r="AH447" s="330"/>
      <c r="AI447" s="330"/>
      <c r="AY447" s="55"/>
      <c r="AZ447" s="55"/>
      <c r="BA447" s="55"/>
      <c r="BB447" s="55"/>
      <c r="BE447" s="55"/>
      <c r="BF447" s="55"/>
      <c r="BG447" s="55"/>
      <c r="BQ447" s="55"/>
      <c r="BR447" s="55"/>
      <c r="BS447" s="55"/>
    </row>
    <row r="448" spans="1:126" x14ac:dyDescent="0.2">
      <c r="A448" s="56"/>
      <c r="B448" s="54"/>
      <c r="C448" s="54"/>
      <c r="D448" s="54"/>
      <c r="E448" s="223"/>
      <c r="F448" s="54"/>
      <c r="G448" s="54"/>
      <c r="H448" s="54"/>
      <c r="I448" s="54"/>
      <c r="J448" s="54"/>
      <c r="K448" s="54"/>
      <c r="L448" s="54"/>
      <c r="M448" s="54"/>
      <c r="N448" s="54"/>
      <c r="O448" s="54"/>
      <c r="P448" s="54"/>
      <c r="Q448" s="54"/>
      <c r="R448" s="54"/>
      <c r="S448" s="54"/>
      <c r="T448" s="54"/>
      <c r="U448" s="54"/>
      <c r="V448" s="54"/>
      <c r="W448" s="54"/>
      <c r="X448" s="54"/>
      <c r="Y448" s="54"/>
      <c r="Z448" s="54"/>
      <c r="AA448" s="223"/>
      <c r="AB448" s="223"/>
      <c r="AC448" s="223"/>
      <c r="AD448" s="223"/>
      <c r="AE448" s="223"/>
      <c r="AF448" s="223"/>
      <c r="AG448" s="223"/>
      <c r="AH448" s="223"/>
      <c r="AI448" s="223"/>
      <c r="AY448" s="55"/>
      <c r="AZ448" s="55"/>
      <c r="BA448" s="55"/>
      <c r="BB448" s="55"/>
      <c r="BE448" s="55"/>
      <c r="BF448" s="55"/>
      <c r="BG448" s="55"/>
      <c r="BQ448" s="55"/>
      <c r="BR448" s="55"/>
      <c r="BS448" s="55"/>
      <c r="CI448" s="63"/>
      <c r="DJ448" s="63"/>
      <c r="DK448" s="63"/>
      <c r="DL448" s="63"/>
    </row>
    <row r="449" spans="1:126" ht="12.75" customHeight="1" x14ac:dyDescent="0.2">
      <c r="A449" s="54"/>
      <c r="B449" s="54"/>
      <c r="C449" s="54"/>
      <c r="D449" s="325" t="s">
        <v>384</v>
      </c>
      <c r="E449" s="325"/>
      <c r="F449" s="325"/>
      <c r="G449" s="325"/>
      <c r="H449" s="325"/>
      <c r="I449" s="325"/>
      <c r="J449" s="325"/>
      <c r="K449" s="325"/>
      <c r="L449" s="325"/>
      <c r="M449" s="325"/>
      <c r="N449" s="325"/>
      <c r="O449" s="325"/>
      <c r="P449" s="325"/>
      <c r="Q449" s="325"/>
      <c r="R449" s="325"/>
      <c r="S449" s="325"/>
      <c r="T449" s="325"/>
      <c r="U449" s="325"/>
      <c r="V449" s="325"/>
      <c r="W449" s="325"/>
      <c r="X449" s="325"/>
      <c r="Y449" s="325"/>
      <c r="Z449" s="325"/>
      <c r="AA449" s="325"/>
      <c r="AB449" s="325"/>
      <c r="AC449" s="325"/>
      <c r="AD449" s="325"/>
      <c r="AE449" s="325"/>
      <c r="AF449" s="325"/>
      <c r="AG449" s="325"/>
      <c r="AH449" s="325"/>
      <c r="AI449" s="325"/>
      <c r="AJ449" s="325"/>
      <c r="AK449" s="174"/>
      <c r="AY449" s="55"/>
      <c r="AZ449" s="55"/>
      <c r="BA449" s="55"/>
      <c r="BB449" s="55"/>
      <c r="BE449" s="55"/>
      <c r="BF449" s="55"/>
      <c r="BG449" s="55"/>
      <c r="BQ449" s="55"/>
      <c r="BR449" s="55"/>
      <c r="BS449" s="55"/>
    </row>
    <row r="450" spans="1:126" ht="13.5" customHeight="1" x14ac:dyDescent="0.2">
      <c r="A450" s="54"/>
      <c r="B450" s="54"/>
      <c r="C450" s="54"/>
      <c r="D450" s="54"/>
      <c r="E450" s="54"/>
      <c r="F450" s="54"/>
      <c r="G450" s="54"/>
      <c r="H450" s="54"/>
      <c r="I450" s="54"/>
      <c r="J450" s="54"/>
      <c r="K450" s="54"/>
      <c r="L450" s="54"/>
      <c r="M450" s="54"/>
      <c r="N450" s="54"/>
      <c r="O450" s="54"/>
      <c r="P450" s="54"/>
      <c r="Q450" s="54"/>
      <c r="R450" s="54"/>
      <c r="S450" s="54"/>
      <c r="T450" s="54"/>
      <c r="U450" s="54"/>
      <c r="V450" s="54"/>
      <c r="W450" s="54"/>
      <c r="X450" s="54"/>
      <c r="Y450" s="54"/>
      <c r="Z450" s="54"/>
      <c r="AA450" s="54"/>
      <c r="AB450" s="54"/>
      <c r="AC450" s="54"/>
      <c r="AD450" s="54"/>
      <c r="AE450" s="54"/>
      <c r="AF450" s="54"/>
      <c r="AG450" s="54"/>
      <c r="AH450" s="54"/>
      <c r="AI450" s="54"/>
      <c r="AY450" s="55"/>
      <c r="AZ450" s="55"/>
      <c r="BA450" s="55"/>
      <c r="BB450" s="55"/>
      <c r="BC450" s="65"/>
      <c r="BD450" s="65"/>
      <c r="BE450" s="55"/>
      <c r="BF450" s="55"/>
      <c r="BG450" s="55"/>
      <c r="BH450" s="65"/>
      <c r="BI450" s="65"/>
      <c r="BJ450" s="65"/>
      <c r="BK450" s="65"/>
      <c r="BL450" s="65"/>
      <c r="BM450" s="65"/>
      <c r="BN450" s="65"/>
      <c r="BO450" s="65"/>
      <c r="BP450" s="65"/>
      <c r="BQ450" s="55"/>
      <c r="BR450" s="55"/>
      <c r="BS450" s="55"/>
      <c r="BT450" s="65"/>
      <c r="BU450" s="65"/>
      <c r="BV450" s="65"/>
      <c r="BW450" s="65"/>
      <c r="BX450" s="65"/>
      <c r="BY450" s="65"/>
      <c r="BZ450" s="65"/>
      <c r="CK450" s="65"/>
      <c r="CL450" s="65"/>
      <c r="CM450" s="65"/>
      <c r="CN450" s="65"/>
      <c r="CO450" s="65"/>
      <c r="CP450" s="65"/>
      <c r="CQ450" s="65"/>
      <c r="DP450" s="65"/>
      <c r="DQ450" s="65"/>
      <c r="DR450" s="65"/>
      <c r="DS450" s="65"/>
      <c r="DT450" s="65"/>
      <c r="DU450" s="65"/>
      <c r="DV450" s="65"/>
    </row>
    <row r="451" spans="1:126" ht="14.25" customHeight="1" x14ac:dyDescent="0.2">
      <c r="A451" s="54"/>
      <c r="B451" s="280" t="s">
        <v>518</v>
      </c>
      <c r="C451" s="280"/>
      <c r="D451" s="280"/>
      <c r="E451" s="280"/>
      <c r="F451" s="280"/>
      <c r="G451" s="280" t="s">
        <v>519</v>
      </c>
      <c r="H451" s="280"/>
      <c r="I451" s="280"/>
      <c r="J451" s="280"/>
      <c r="K451" s="280"/>
      <c r="L451" s="54"/>
      <c r="M451" s="54"/>
      <c r="N451" s="54"/>
      <c r="O451" s="54"/>
      <c r="P451" s="54"/>
      <c r="Q451" s="54"/>
      <c r="R451" s="54"/>
      <c r="S451" s="54"/>
      <c r="T451" s="54"/>
      <c r="U451" s="54"/>
      <c r="V451" s="54"/>
      <c r="W451" s="54"/>
      <c r="X451" s="54"/>
      <c r="Y451" s="54"/>
      <c r="Z451" s="54"/>
      <c r="AA451" s="54"/>
      <c r="AB451" s="54"/>
      <c r="AC451" s="54"/>
      <c r="AD451" s="54"/>
      <c r="AE451" s="54"/>
      <c r="AF451" s="54"/>
      <c r="AG451" s="54"/>
      <c r="AH451" s="54"/>
      <c r="AI451" s="54"/>
      <c r="AJ451" s="221"/>
      <c r="AK451" s="182"/>
      <c r="AY451" s="55"/>
      <c r="AZ451" s="55"/>
      <c r="BA451" s="55"/>
      <c r="BB451" s="55"/>
      <c r="BE451" s="55"/>
      <c r="BF451" s="55"/>
      <c r="BG451" s="55"/>
      <c r="BQ451" s="55"/>
      <c r="BR451" s="55"/>
      <c r="BS451" s="55"/>
    </row>
    <row r="452" spans="1:126" x14ac:dyDescent="0.2">
      <c r="A452" s="54"/>
      <c r="B452" s="282">
        <f>IFERROR( IF($Z$99="Fisurado",1,1.4),"-")</f>
        <v>1.4</v>
      </c>
      <c r="C452" s="282"/>
      <c r="D452" s="282"/>
      <c r="E452" s="282"/>
      <c r="F452" s="282"/>
      <c r="G452" s="305" t="str">
        <f>IFERROR( IF($O$62="Adhesivo", "-",$Z$133),"-")</f>
        <v>-</v>
      </c>
      <c r="H452" s="305"/>
      <c r="I452" s="305"/>
      <c r="J452" s="305"/>
      <c r="K452" s="305"/>
      <c r="L452" s="54"/>
      <c r="M452" s="54"/>
      <c r="N452" s="54"/>
      <c r="O452" s="54"/>
      <c r="P452" s="54"/>
      <c r="Q452" s="54"/>
      <c r="R452" s="54"/>
      <c r="S452" s="54"/>
      <c r="T452" s="54"/>
      <c r="U452" s="54"/>
      <c r="V452" s="54"/>
      <c r="W452" s="54"/>
      <c r="X452" s="54"/>
      <c r="Y452" s="54"/>
      <c r="Z452" s="54"/>
      <c r="AA452" s="54"/>
      <c r="AB452" s="54"/>
      <c r="AC452" s="54"/>
      <c r="AD452" s="54"/>
      <c r="AE452" s="54"/>
      <c r="AF452" s="54"/>
      <c r="AG452" s="54"/>
      <c r="AH452" s="54"/>
      <c r="AI452" s="54"/>
    </row>
    <row r="453" spans="1:126" x14ac:dyDescent="0.2">
      <c r="A453" s="54"/>
      <c r="B453" s="54"/>
      <c r="C453" s="54"/>
      <c r="D453" s="54"/>
      <c r="E453" s="54"/>
      <c r="F453" s="54"/>
      <c r="G453" s="54"/>
      <c r="H453" s="54"/>
      <c r="I453" s="54"/>
      <c r="J453" s="54"/>
      <c r="K453" s="54"/>
      <c r="L453" s="54"/>
      <c r="M453" s="54"/>
      <c r="N453" s="54"/>
      <c r="O453" s="54"/>
      <c r="P453" s="54"/>
      <c r="Q453" s="54"/>
      <c r="R453" s="54"/>
      <c r="S453" s="54"/>
      <c r="T453" s="54"/>
      <c r="U453" s="54"/>
      <c r="V453" s="54"/>
      <c r="W453" s="54"/>
      <c r="X453" s="54"/>
      <c r="Y453" s="54"/>
      <c r="Z453" s="54"/>
      <c r="AA453" s="54"/>
      <c r="AB453" s="54"/>
      <c r="AC453" s="54"/>
      <c r="AD453" s="54"/>
      <c r="AE453" s="54"/>
      <c r="AF453" s="54"/>
      <c r="AG453" s="54"/>
      <c r="AH453" s="54"/>
      <c r="AI453" s="54"/>
      <c r="AY453" s="63"/>
      <c r="AZ453" s="63"/>
      <c r="BA453" s="63"/>
      <c r="CI453" s="63"/>
      <c r="DJ453" s="63"/>
      <c r="DK453" s="63"/>
      <c r="DL453" s="63"/>
    </row>
    <row r="454" spans="1:126" ht="12.75" customHeight="1" x14ac:dyDescent="0.2">
      <c r="A454" s="54"/>
      <c r="B454" s="54"/>
      <c r="C454" s="54"/>
      <c r="D454" s="325" t="s">
        <v>385</v>
      </c>
      <c r="E454" s="325"/>
      <c r="F454" s="325"/>
      <c r="G454" s="325"/>
      <c r="H454" s="325"/>
      <c r="I454" s="325"/>
      <c r="J454" s="325"/>
      <c r="K454" s="325"/>
      <c r="L454" s="325"/>
      <c r="M454" s="325"/>
      <c r="N454" s="325"/>
      <c r="O454" s="325"/>
      <c r="P454" s="325"/>
      <c r="Q454" s="325"/>
      <c r="R454" s="325"/>
      <c r="S454" s="325"/>
      <c r="T454" s="325"/>
      <c r="U454" s="325"/>
      <c r="V454" s="325"/>
      <c r="W454" s="325"/>
      <c r="X454" s="325"/>
      <c r="Y454" s="325"/>
      <c r="Z454" s="325"/>
      <c r="AA454" s="325"/>
      <c r="AB454" s="325"/>
      <c r="AC454" s="325"/>
      <c r="AD454" s="325"/>
      <c r="AE454" s="325"/>
      <c r="AF454" s="325"/>
      <c r="AG454" s="325"/>
      <c r="AH454" s="325"/>
      <c r="AI454" s="325"/>
      <c r="AJ454" s="325"/>
      <c r="AK454" s="174"/>
      <c r="AX454" s="59"/>
    </row>
    <row r="455" spans="1:126" ht="13.5" customHeight="1" x14ac:dyDescent="0.2">
      <c r="A455" s="54"/>
      <c r="B455" s="54"/>
      <c r="C455" s="54"/>
      <c r="D455" s="54"/>
      <c r="E455" s="54"/>
      <c r="F455" s="54"/>
      <c r="G455" s="54"/>
      <c r="H455" s="54"/>
      <c r="I455" s="54"/>
      <c r="J455" s="54"/>
      <c r="K455" s="54"/>
      <c r="L455" s="54"/>
      <c r="M455" s="54"/>
      <c r="N455" s="54"/>
      <c r="O455" s="54"/>
      <c r="P455" s="54"/>
      <c r="Q455" s="54"/>
      <c r="R455" s="54"/>
      <c r="S455" s="54"/>
      <c r="T455" s="54"/>
      <c r="U455" s="54"/>
      <c r="V455" s="54"/>
      <c r="W455" s="54"/>
      <c r="X455" s="54"/>
      <c r="Y455" s="54"/>
      <c r="Z455" s="54"/>
      <c r="AA455" s="54"/>
      <c r="AB455" s="54"/>
      <c r="AC455" s="54"/>
      <c r="AD455" s="54"/>
      <c r="AE455" s="54"/>
      <c r="AF455" s="54"/>
      <c r="AG455" s="54"/>
      <c r="AH455" s="54"/>
      <c r="AI455" s="54"/>
      <c r="AX455" s="59"/>
      <c r="BB455" s="65"/>
      <c r="BE455" s="65"/>
      <c r="BQ455" s="65"/>
      <c r="CJ455" s="65"/>
      <c r="DM455" s="65"/>
      <c r="DN455" s="65"/>
      <c r="DO455" s="65"/>
    </row>
    <row r="456" spans="1:126" ht="14.25" customHeight="1" x14ac:dyDescent="0.2">
      <c r="A456" s="54"/>
      <c r="B456" s="280" t="s">
        <v>520</v>
      </c>
      <c r="C456" s="280"/>
      <c r="D456" s="280"/>
      <c r="E456" s="280"/>
      <c r="F456" s="280"/>
      <c r="G456" s="54"/>
      <c r="H456" s="54"/>
      <c r="I456" s="54"/>
      <c r="J456" s="54"/>
      <c r="K456" s="54"/>
      <c r="L456" s="54"/>
      <c r="M456" s="54"/>
      <c r="N456" s="54"/>
      <c r="O456" s="54"/>
      <c r="P456" s="54"/>
      <c r="Q456" s="54"/>
      <c r="R456" s="54"/>
      <c r="S456" s="54"/>
      <c r="T456" s="54"/>
      <c r="U456" s="54"/>
      <c r="V456" s="54"/>
      <c r="W456" s="54"/>
      <c r="X456" s="54"/>
      <c r="Y456" s="54"/>
      <c r="Z456" s="54"/>
      <c r="AA456" s="54"/>
      <c r="AB456" s="54"/>
      <c r="AC456" s="54"/>
      <c r="AD456" s="54"/>
      <c r="AE456" s="54"/>
      <c r="AF456" s="54"/>
      <c r="AG456" s="54"/>
      <c r="AH456" s="54"/>
      <c r="AI456" s="54"/>
      <c r="AJ456" s="221"/>
      <c r="AK456" s="182"/>
      <c r="AX456" s="59"/>
    </row>
    <row r="457" spans="1:126" x14ac:dyDescent="0.2">
      <c r="A457" s="54"/>
      <c r="B457" s="305" t="str">
        <f>IFERROR( IF($O$62&lt;&gt;"Adhesivo", $B$452*$G$452, "-" ),"-")</f>
        <v>-</v>
      </c>
      <c r="C457" s="305"/>
      <c r="D457" s="305"/>
      <c r="E457" s="305"/>
      <c r="F457" s="305"/>
      <c r="G457" s="54"/>
      <c r="H457" s="54"/>
      <c r="I457" s="54"/>
      <c r="J457" s="54"/>
      <c r="K457" s="54"/>
      <c r="L457" s="54"/>
      <c r="M457" s="54"/>
      <c r="N457" s="54"/>
      <c r="O457" s="54"/>
      <c r="P457" s="54"/>
      <c r="Q457" s="54"/>
      <c r="R457" s="54"/>
      <c r="S457" s="54"/>
      <c r="T457" s="54"/>
      <c r="U457" s="54"/>
      <c r="V457" s="54"/>
      <c r="W457" s="54"/>
      <c r="X457" s="54"/>
      <c r="Y457" s="54"/>
      <c r="Z457" s="54"/>
      <c r="AA457" s="54"/>
      <c r="AB457" s="54"/>
      <c r="AC457" s="54"/>
      <c r="AD457" s="54"/>
      <c r="AE457" s="54"/>
      <c r="AF457" s="54"/>
      <c r="AG457" s="54"/>
      <c r="AH457" s="54"/>
      <c r="AI457" s="54"/>
      <c r="AX457" s="59"/>
    </row>
    <row r="458" spans="1:126" x14ac:dyDescent="0.2">
      <c r="A458" s="54"/>
      <c r="B458" s="54"/>
      <c r="C458" s="54"/>
      <c r="D458" s="54"/>
      <c r="E458" s="54"/>
      <c r="F458" s="54"/>
      <c r="G458" s="54"/>
      <c r="H458" s="54"/>
      <c r="I458" s="54"/>
      <c r="J458" s="54"/>
      <c r="K458" s="54"/>
      <c r="L458" s="54"/>
      <c r="M458" s="54"/>
      <c r="N458" s="54"/>
      <c r="O458" s="54"/>
      <c r="P458" s="54"/>
      <c r="Q458" s="54"/>
      <c r="R458" s="54"/>
      <c r="S458" s="54"/>
      <c r="T458" s="54"/>
      <c r="U458" s="54"/>
      <c r="V458" s="54"/>
      <c r="W458" s="54"/>
      <c r="X458" s="54"/>
      <c r="Y458" s="54"/>
      <c r="Z458" s="54"/>
      <c r="AA458" s="54"/>
      <c r="AB458" s="54"/>
      <c r="AC458" s="54"/>
      <c r="AD458" s="54"/>
      <c r="AE458" s="54"/>
      <c r="AF458" s="54"/>
      <c r="AG458" s="54"/>
      <c r="AH458" s="54"/>
      <c r="AI458" s="54"/>
      <c r="AX458" s="59"/>
    </row>
    <row r="459" spans="1:126" x14ac:dyDescent="0.2">
      <c r="A459" s="54"/>
      <c r="B459" s="54"/>
      <c r="C459" s="54"/>
      <c r="D459" s="325" t="s">
        <v>386</v>
      </c>
      <c r="E459" s="325"/>
      <c r="F459" s="325"/>
      <c r="G459" s="325"/>
      <c r="H459" s="325"/>
      <c r="I459" s="325"/>
      <c r="J459" s="325"/>
      <c r="K459" s="325"/>
      <c r="L459" s="325"/>
      <c r="M459" s="325"/>
      <c r="N459" s="325"/>
      <c r="O459" s="325"/>
      <c r="P459" s="325"/>
      <c r="Q459" s="325"/>
      <c r="R459" s="325"/>
      <c r="S459" s="325"/>
      <c r="T459" s="325"/>
      <c r="U459" s="325"/>
      <c r="V459" s="325"/>
      <c r="W459" s="325"/>
      <c r="X459" s="325"/>
      <c r="Y459" s="325"/>
      <c r="Z459" s="325"/>
      <c r="AA459" s="325"/>
      <c r="AB459" s="325"/>
      <c r="AC459" s="325"/>
      <c r="AD459" s="325"/>
      <c r="AE459" s="325"/>
      <c r="AF459" s="325"/>
      <c r="AG459" s="325"/>
      <c r="AH459" s="325"/>
      <c r="AI459" s="325"/>
      <c r="AJ459" s="325"/>
      <c r="AK459" s="174"/>
      <c r="AX459" s="59"/>
      <c r="BC459" s="63"/>
      <c r="BD459" s="63"/>
      <c r="BF459" s="63"/>
      <c r="BG459" s="63"/>
      <c r="BH459" s="63"/>
      <c r="BI459" s="63"/>
      <c r="BJ459" s="63"/>
      <c r="BK459" s="63"/>
      <c r="BL459" s="63"/>
      <c r="BM459" s="63"/>
      <c r="BN459" s="63"/>
      <c r="BO459" s="63"/>
      <c r="BP459" s="63"/>
      <c r="BR459" s="63"/>
      <c r="BS459" s="63"/>
      <c r="BT459" s="63"/>
      <c r="BU459" s="63"/>
      <c r="BV459" s="63"/>
      <c r="BW459" s="63"/>
      <c r="BX459" s="63"/>
      <c r="BY459" s="63"/>
      <c r="BZ459" s="63"/>
      <c r="CK459" s="63"/>
      <c r="CL459" s="63"/>
      <c r="CM459" s="63"/>
      <c r="CN459" s="63"/>
      <c r="CO459" s="63"/>
      <c r="CP459" s="63"/>
      <c r="CQ459" s="63"/>
      <c r="DP459" s="63"/>
      <c r="DQ459" s="63"/>
      <c r="DR459" s="63"/>
      <c r="DS459" s="63"/>
      <c r="DT459" s="63"/>
      <c r="DU459" s="63"/>
      <c r="DV459" s="63"/>
    </row>
    <row r="460" spans="1:126" x14ac:dyDescent="0.2">
      <c r="A460" s="54"/>
      <c r="B460" s="54"/>
      <c r="C460" s="54"/>
      <c r="D460" s="54"/>
      <c r="E460" s="54"/>
      <c r="F460" s="54"/>
      <c r="G460" s="54"/>
      <c r="H460" s="54"/>
      <c r="I460" s="54"/>
      <c r="J460" s="54"/>
      <c r="K460" s="54"/>
      <c r="L460" s="54"/>
      <c r="M460" s="54"/>
      <c r="N460" s="54"/>
      <c r="O460" s="54"/>
      <c r="P460" s="54"/>
      <c r="Q460" s="54"/>
      <c r="R460" s="54"/>
      <c r="S460" s="54"/>
      <c r="T460" s="54"/>
      <c r="U460" s="54"/>
      <c r="V460" s="54"/>
      <c r="W460" s="54"/>
      <c r="X460" s="54"/>
      <c r="Y460" s="54"/>
      <c r="Z460" s="54"/>
      <c r="AA460" s="223"/>
      <c r="AB460" s="223"/>
      <c r="AC460" s="223"/>
      <c r="AD460" s="223"/>
      <c r="AE460" s="223"/>
      <c r="AF460" s="223"/>
      <c r="AG460" s="223"/>
      <c r="AH460" s="223"/>
      <c r="AI460" s="223"/>
      <c r="AX460" s="59"/>
    </row>
    <row r="461" spans="1:126" ht="14.25" customHeight="1" x14ac:dyDescent="0.2">
      <c r="A461" s="54"/>
      <c r="B461" s="322" t="s">
        <v>574</v>
      </c>
      <c r="C461" s="280"/>
      <c r="D461" s="280"/>
      <c r="E461" s="280"/>
      <c r="F461" s="280"/>
      <c r="G461" s="280" t="s">
        <v>471</v>
      </c>
      <c r="H461" s="280"/>
      <c r="I461" s="280"/>
      <c r="J461" s="280"/>
      <c r="K461" s="280"/>
      <c r="L461" s="280" t="s">
        <v>575</v>
      </c>
      <c r="M461" s="280"/>
      <c r="N461" s="280"/>
      <c r="O461" s="280"/>
      <c r="P461" s="280"/>
      <c r="Q461" s="322" t="s">
        <v>460</v>
      </c>
      <c r="R461" s="280"/>
      <c r="S461" s="280"/>
      <c r="T461" s="280"/>
      <c r="U461" s="280"/>
      <c r="V461" s="280" t="s">
        <v>909</v>
      </c>
      <c r="W461" s="280"/>
      <c r="X461" s="280"/>
      <c r="Y461" s="280"/>
      <c r="Z461" s="280"/>
      <c r="AA461" s="496" t="s">
        <v>1003</v>
      </c>
      <c r="AB461" s="496"/>
      <c r="AC461" s="496"/>
      <c r="AD461" s="496"/>
      <c r="AE461" s="496"/>
      <c r="AF461" s="223"/>
      <c r="AG461" s="223"/>
      <c r="AH461" s="223"/>
      <c r="AI461" s="223"/>
      <c r="AX461" s="59"/>
    </row>
    <row r="462" spans="1:126" ht="12.75" customHeight="1" x14ac:dyDescent="0.2">
      <c r="A462" s="54"/>
      <c r="B462" s="305" t="str">
        <f>IF($O$62="Adhesivo","-",B457)</f>
        <v>-</v>
      </c>
      <c r="C462" s="305"/>
      <c r="D462" s="305"/>
      <c r="E462" s="305"/>
      <c r="F462" s="305"/>
      <c r="G462" s="282" t="str">
        <f>IF($B$462="-","-",IFERROR(IF($O$61="Embebido",IF($Z$101="A",0.75,0.7),IF($Z$101="A",IF($Z$90="Baja",0.75,IF($Z$90="Moderada",0.65,0.55)),IF($Z$90="Baja",0.65,IF($Z$90="Moderada",0.55,0.45)))),"-"))</f>
        <v>-</v>
      </c>
      <c r="H462" s="282"/>
      <c r="I462" s="282"/>
      <c r="J462" s="282"/>
      <c r="K462" s="282"/>
      <c r="L462" s="305" t="str">
        <f>IF($B462="-","-",$B462*$G462)</f>
        <v>-</v>
      </c>
      <c r="M462" s="305"/>
      <c r="N462" s="305"/>
      <c r="O462" s="305"/>
      <c r="P462" s="305"/>
      <c r="Q462" s="305" t="str">
        <f>IF($B$462="-","-",IF($S$196="-","-",$S$196))</f>
        <v>-</v>
      </c>
      <c r="R462" s="305"/>
      <c r="S462" s="305"/>
      <c r="T462" s="305"/>
      <c r="U462" s="305"/>
      <c r="V462" s="305" t="str">
        <f>IFERROR(100*$Q462/($L462/$AA462),"-")</f>
        <v>-</v>
      </c>
      <c r="W462" s="305"/>
      <c r="X462" s="305"/>
      <c r="Y462" s="305"/>
      <c r="Z462" s="305"/>
      <c r="AA462" s="282">
        <f>IFERROR($L$176,1)</f>
        <v>1</v>
      </c>
      <c r="AB462" s="282"/>
      <c r="AC462" s="282"/>
      <c r="AD462" s="282"/>
      <c r="AE462" s="282"/>
      <c r="AF462" s="223"/>
      <c r="AG462" s="223"/>
      <c r="AH462" s="223"/>
      <c r="AI462" s="223"/>
      <c r="AV462" s="59"/>
      <c r="AW462" s="59"/>
    </row>
    <row r="463" spans="1:126" ht="13.5" customHeight="1" x14ac:dyDescent="0.2">
      <c r="A463" s="54"/>
      <c r="B463" s="54"/>
      <c r="C463" s="54"/>
      <c r="D463" s="54"/>
      <c r="E463" s="54"/>
      <c r="F463" s="54"/>
      <c r="G463" s="54"/>
      <c r="H463" s="54"/>
      <c r="I463" s="54"/>
      <c r="J463" s="54"/>
      <c r="K463" s="54"/>
      <c r="L463" s="54"/>
      <c r="M463" s="54"/>
      <c r="N463" s="54"/>
      <c r="O463" s="54"/>
      <c r="P463" s="54"/>
      <c r="Q463" s="54"/>
      <c r="R463" s="54"/>
      <c r="S463" s="54"/>
      <c r="T463" s="54"/>
      <c r="U463" s="54"/>
      <c r="V463" s="54"/>
      <c r="W463" s="54"/>
      <c r="X463" s="54"/>
      <c r="Y463" s="54"/>
      <c r="Z463" s="54"/>
      <c r="AA463" s="223"/>
      <c r="AB463" s="223"/>
      <c r="AC463" s="223"/>
      <c r="AD463" s="223"/>
      <c r="AE463" s="223"/>
      <c r="AF463" s="223"/>
      <c r="AG463" s="223"/>
      <c r="AH463" s="223"/>
      <c r="AI463" s="223"/>
      <c r="AV463" s="59"/>
      <c r="AW463" s="59"/>
      <c r="AY463" s="63"/>
      <c r="AZ463" s="63"/>
      <c r="BA463" s="63"/>
      <c r="CI463" s="63"/>
      <c r="DJ463" s="63"/>
      <c r="DK463" s="63"/>
      <c r="DL463" s="63"/>
    </row>
    <row r="464" spans="1:126" x14ac:dyDescent="0.2">
      <c r="A464" s="54"/>
      <c r="B464" s="54"/>
      <c r="C464" s="54"/>
      <c r="D464" s="54"/>
      <c r="E464" s="54"/>
      <c r="F464" s="54"/>
      <c r="G464" s="54"/>
      <c r="H464" s="54"/>
      <c r="I464" s="54"/>
      <c r="J464" s="54"/>
      <c r="K464" s="54"/>
      <c r="L464" s="54"/>
      <c r="M464" s="54"/>
      <c r="N464" s="54"/>
      <c r="O464" s="54"/>
      <c r="P464" s="54"/>
      <c r="Q464" s="54"/>
      <c r="R464" s="54"/>
      <c r="S464" s="54"/>
      <c r="T464" s="54"/>
      <c r="U464" s="54"/>
      <c r="V464" s="54"/>
      <c r="W464" s="54"/>
      <c r="X464" s="54"/>
      <c r="Y464" s="54"/>
      <c r="Z464" s="54"/>
      <c r="AA464" s="223"/>
      <c r="AB464" s="223"/>
      <c r="AC464" s="223"/>
      <c r="AD464" s="223"/>
      <c r="AE464" s="223"/>
      <c r="AF464" s="223"/>
      <c r="AG464" s="223"/>
      <c r="AH464" s="223"/>
      <c r="AI464" s="223"/>
      <c r="AV464" s="59"/>
      <c r="AW464" s="59"/>
      <c r="BB464" s="65"/>
      <c r="BE464" s="65"/>
      <c r="BQ464" s="65"/>
      <c r="CJ464" s="65"/>
      <c r="DM464" s="65"/>
      <c r="DN464" s="65"/>
      <c r="DO464" s="65"/>
    </row>
    <row r="465" spans="1:126" x14ac:dyDescent="0.2">
      <c r="A465" s="54"/>
      <c r="B465" s="54"/>
      <c r="C465" s="324" t="s">
        <v>469</v>
      </c>
      <c r="D465" s="333"/>
      <c r="E465" s="333"/>
      <c r="F465" s="333"/>
      <c r="G465" s="333"/>
      <c r="H465" s="333"/>
      <c r="I465" s="333"/>
      <c r="J465" s="333"/>
      <c r="K465" s="333"/>
      <c r="L465" s="333"/>
      <c r="M465" s="333"/>
      <c r="N465" s="333"/>
      <c r="O465" s="333"/>
      <c r="P465" s="333"/>
      <c r="Q465" s="333"/>
      <c r="R465" s="333"/>
      <c r="S465" s="333"/>
      <c r="T465" s="333"/>
      <c r="U465" s="333"/>
      <c r="V465" s="333"/>
      <c r="W465" s="333"/>
      <c r="X465" s="333"/>
      <c r="Y465" s="333"/>
      <c r="Z465" s="333"/>
      <c r="AA465" s="333"/>
      <c r="AB465" s="333"/>
      <c r="AC465" s="333"/>
      <c r="AD465" s="333"/>
      <c r="AE465" s="333"/>
      <c r="AF465" s="333"/>
      <c r="AG465" s="333"/>
      <c r="AH465" s="333"/>
      <c r="AI465" s="333"/>
      <c r="AJ465" s="333"/>
      <c r="AK465" s="175"/>
      <c r="AV465" s="59"/>
      <c r="AW465" s="59"/>
    </row>
    <row r="466" spans="1:126" x14ac:dyDescent="0.2">
      <c r="A466" s="56"/>
      <c r="B466" s="54"/>
      <c r="C466" s="54"/>
      <c r="D466" s="54"/>
      <c r="E466" s="223"/>
      <c r="F466" s="54"/>
      <c r="G466" s="54"/>
      <c r="H466" s="54"/>
      <c r="I466" s="54"/>
      <c r="J466" s="54"/>
      <c r="K466" s="54"/>
      <c r="L466" s="54"/>
      <c r="M466" s="54"/>
      <c r="N466" s="54"/>
      <c r="O466" s="54"/>
      <c r="P466" s="54"/>
      <c r="Q466" s="54"/>
      <c r="R466" s="54"/>
      <c r="S466" s="54"/>
      <c r="T466" s="54"/>
      <c r="U466" s="54"/>
      <c r="V466" s="54"/>
      <c r="W466" s="54"/>
      <c r="X466" s="54"/>
      <c r="Y466" s="54"/>
      <c r="Z466" s="54"/>
      <c r="AA466" s="223"/>
      <c r="AB466" s="223"/>
      <c r="AC466" s="223"/>
      <c r="AD466" s="223"/>
      <c r="AE466" s="223"/>
      <c r="AF466" s="223"/>
      <c r="AG466" s="223"/>
      <c r="AH466" s="223"/>
      <c r="AI466" s="223"/>
      <c r="AV466" s="59"/>
      <c r="AW466" s="59"/>
    </row>
    <row r="467" spans="1:126" ht="27.75" customHeight="1" x14ac:dyDescent="0.2">
      <c r="A467" s="56"/>
      <c r="B467" s="59"/>
      <c r="C467" s="330"/>
      <c r="D467" s="330"/>
      <c r="E467" s="330"/>
      <c r="F467" s="330"/>
      <c r="G467" s="330"/>
      <c r="H467" s="330"/>
      <c r="I467" s="330"/>
      <c r="J467" s="330"/>
      <c r="K467" s="330"/>
      <c r="L467" s="330"/>
      <c r="M467" s="330"/>
      <c r="N467" s="330"/>
      <c r="O467" s="330"/>
      <c r="P467" s="330" t="s">
        <v>1018</v>
      </c>
      <c r="Q467" s="330"/>
      <c r="R467" s="330"/>
      <c r="S467" s="330"/>
      <c r="T467" s="330"/>
      <c r="U467" s="330"/>
      <c r="V467" s="330"/>
      <c r="W467" s="330"/>
      <c r="X467" s="330"/>
      <c r="Y467" s="330"/>
      <c r="Z467" s="330"/>
      <c r="AA467" s="330"/>
      <c r="AB467" s="330"/>
      <c r="AC467" s="330"/>
      <c r="AD467" s="330"/>
      <c r="AE467" s="330"/>
      <c r="AF467" s="330"/>
      <c r="AG467" s="330"/>
      <c r="AH467" s="330"/>
      <c r="AI467" s="330"/>
      <c r="AL467" s="59"/>
      <c r="AM467" s="511"/>
      <c r="AN467" s="511"/>
      <c r="AO467" s="511"/>
      <c r="AP467" s="511"/>
      <c r="AQ467" s="511"/>
      <c r="AR467" s="511"/>
      <c r="AS467" s="511"/>
      <c r="AT467" s="511"/>
      <c r="AU467" s="511"/>
      <c r="AV467" s="511"/>
      <c r="AW467" s="511"/>
      <c r="AX467" s="511"/>
      <c r="AY467" s="511"/>
      <c r="CH467" s="59"/>
    </row>
    <row r="468" spans="1:126" ht="15.75" customHeight="1" x14ac:dyDescent="0.2">
      <c r="A468" s="56"/>
      <c r="B468" s="59"/>
      <c r="C468" s="330"/>
      <c r="D468" s="330"/>
      <c r="E468" s="330"/>
      <c r="F468" s="330"/>
      <c r="G468" s="330"/>
      <c r="H468" s="330"/>
      <c r="I468" s="330"/>
      <c r="J468" s="330"/>
      <c r="K468" s="330"/>
      <c r="L468" s="330"/>
      <c r="M468" s="330"/>
      <c r="N468" s="330"/>
      <c r="O468" s="330"/>
      <c r="P468" s="330" t="s">
        <v>1007</v>
      </c>
      <c r="Q468" s="330"/>
      <c r="R468" s="330"/>
      <c r="S468" s="330"/>
      <c r="T468" s="330"/>
      <c r="U468" s="330"/>
      <c r="V468" s="330"/>
      <c r="W468" s="330"/>
      <c r="X468" s="330"/>
      <c r="Y468" s="330"/>
      <c r="Z468" s="330"/>
      <c r="AA468" s="330"/>
      <c r="AB468" s="330"/>
      <c r="AC468" s="330"/>
      <c r="AD468" s="330"/>
      <c r="AE468" s="330"/>
      <c r="AF468" s="330"/>
      <c r="AG468" s="330"/>
      <c r="AH468" s="330"/>
      <c r="AI468" s="330"/>
      <c r="AL468" s="59"/>
      <c r="AM468" s="511"/>
      <c r="AN468" s="511"/>
      <c r="AO468" s="511"/>
      <c r="AP468" s="511"/>
      <c r="AQ468" s="511"/>
      <c r="AR468" s="511"/>
      <c r="AS468" s="511"/>
      <c r="AT468" s="511"/>
      <c r="AU468" s="511"/>
      <c r="AV468" s="511"/>
      <c r="AW468" s="511"/>
      <c r="AX468" s="511"/>
      <c r="AY468" s="511"/>
      <c r="CH468" s="59"/>
    </row>
    <row r="469" spans="1:126" ht="15" customHeight="1" x14ac:dyDescent="0.2">
      <c r="A469" s="56"/>
      <c r="B469" s="59"/>
      <c r="C469" s="330"/>
      <c r="D469" s="330"/>
      <c r="E469" s="330"/>
      <c r="F469" s="330"/>
      <c r="G469" s="330"/>
      <c r="H469" s="330"/>
      <c r="I469" s="330"/>
      <c r="J469" s="330"/>
      <c r="K469" s="330"/>
      <c r="L469" s="330"/>
      <c r="M469" s="330"/>
      <c r="N469" s="330"/>
      <c r="O469" s="330"/>
      <c r="P469" s="330" t="s">
        <v>1021</v>
      </c>
      <c r="Q469" s="330"/>
      <c r="R469" s="330"/>
      <c r="S469" s="330"/>
      <c r="T469" s="330"/>
      <c r="U469" s="330"/>
      <c r="V469" s="330"/>
      <c r="W469" s="330"/>
      <c r="X469" s="330"/>
      <c r="Y469" s="330"/>
      <c r="Z469" s="330"/>
      <c r="AA469" s="330"/>
      <c r="AB469" s="330"/>
      <c r="AC469" s="330"/>
      <c r="AD469" s="330"/>
      <c r="AE469" s="330"/>
      <c r="AF469" s="330"/>
      <c r="AG469" s="330"/>
      <c r="AH469" s="330"/>
      <c r="AI469" s="330"/>
      <c r="AL469" s="59"/>
      <c r="AM469" s="511"/>
      <c r="AN469" s="511"/>
      <c r="AO469" s="511"/>
      <c r="AP469" s="511"/>
      <c r="AQ469" s="511"/>
      <c r="AR469" s="511"/>
      <c r="AS469" s="511"/>
      <c r="AT469" s="511"/>
      <c r="AU469" s="511"/>
      <c r="AV469" s="511"/>
      <c r="AW469" s="511"/>
      <c r="AX469" s="511"/>
      <c r="AY469" s="511"/>
      <c r="CH469" s="59"/>
    </row>
    <row r="470" spans="1:126" ht="15.75" customHeight="1" x14ac:dyDescent="0.2">
      <c r="A470" s="56"/>
      <c r="B470" s="59"/>
      <c r="C470" s="330"/>
      <c r="D470" s="330"/>
      <c r="E470" s="330"/>
      <c r="F470" s="330"/>
      <c r="G470" s="330"/>
      <c r="H470" s="330"/>
      <c r="I470" s="330"/>
      <c r="J470" s="330"/>
      <c r="K470" s="330"/>
      <c r="L470" s="330"/>
      <c r="M470" s="330"/>
      <c r="N470" s="330"/>
      <c r="O470" s="330"/>
      <c r="P470" s="330" t="s">
        <v>1019</v>
      </c>
      <c r="Q470" s="330"/>
      <c r="R470" s="330"/>
      <c r="S470" s="330"/>
      <c r="T470" s="330"/>
      <c r="U470" s="330"/>
      <c r="V470" s="330"/>
      <c r="W470" s="330"/>
      <c r="X470" s="330"/>
      <c r="Y470" s="330"/>
      <c r="Z470" s="330"/>
      <c r="AA470" s="330"/>
      <c r="AB470" s="330"/>
      <c r="AC470" s="330"/>
      <c r="AD470" s="330"/>
      <c r="AE470" s="330"/>
      <c r="AF470" s="330"/>
      <c r="AG470" s="330"/>
      <c r="AH470" s="330"/>
      <c r="AI470" s="330"/>
      <c r="AL470" s="61"/>
      <c r="AM470" s="61"/>
      <c r="AN470" s="61"/>
      <c r="AO470" s="61"/>
      <c r="AP470" s="61"/>
      <c r="AQ470" s="61"/>
      <c r="AR470" s="61"/>
      <c r="AS470" s="61"/>
      <c r="AT470" s="61"/>
      <c r="AU470" s="61"/>
      <c r="AV470" s="61"/>
      <c r="AW470" s="61"/>
      <c r="AX470" s="61"/>
      <c r="CH470" s="59"/>
    </row>
    <row r="471" spans="1:126" ht="39" customHeight="1" x14ac:dyDescent="0.2">
      <c r="A471" s="56"/>
      <c r="B471" s="59"/>
      <c r="C471" s="330"/>
      <c r="D471" s="330"/>
      <c r="E471" s="330"/>
      <c r="F471" s="330"/>
      <c r="G471" s="330"/>
      <c r="H471" s="330"/>
      <c r="I471" s="330"/>
      <c r="J471" s="330"/>
      <c r="K471" s="330"/>
      <c r="L471" s="330"/>
      <c r="M471" s="330"/>
      <c r="N471" s="330"/>
      <c r="O471" s="330"/>
      <c r="P471" s="330" t="s">
        <v>1020</v>
      </c>
      <c r="Q471" s="330"/>
      <c r="R471" s="330"/>
      <c r="S471" s="330"/>
      <c r="T471" s="330"/>
      <c r="U471" s="330"/>
      <c r="V471" s="330"/>
      <c r="W471" s="330"/>
      <c r="X471" s="330"/>
      <c r="Y471" s="330"/>
      <c r="Z471" s="330"/>
      <c r="AA471" s="330"/>
      <c r="AB471" s="330"/>
      <c r="AC471" s="330"/>
      <c r="AD471" s="330"/>
      <c r="AE471" s="330"/>
      <c r="AF471" s="330"/>
      <c r="AG471" s="330"/>
      <c r="AH471" s="330"/>
      <c r="AI471" s="330"/>
      <c r="AL471" s="61"/>
      <c r="AM471" s="61"/>
      <c r="AN471" s="61"/>
      <c r="AO471" s="61"/>
      <c r="AP471" s="61"/>
      <c r="AQ471" s="61"/>
      <c r="AR471" s="61"/>
      <c r="AS471" s="61"/>
      <c r="AT471" s="61"/>
      <c r="AU471" s="61"/>
      <c r="AV471" s="61"/>
      <c r="AW471" s="61"/>
      <c r="AX471" s="61"/>
      <c r="CH471" s="59"/>
    </row>
    <row r="472" spans="1:126" ht="41.25" customHeight="1" x14ac:dyDescent="0.2">
      <c r="A472" s="56"/>
      <c r="B472" s="59"/>
      <c r="C472" s="330"/>
      <c r="D472" s="330"/>
      <c r="E472" s="330"/>
      <c r="F472" s="330"/>
      <c r="G472" s="330"/>
      <c r="H472" s="330"/>
      <c r="I472" s="330"/>
      <c r="J472" s="330"/>
      <c r="K472" s="330"/>
      <c r="L472" s="330"/>
      <c r="M472" s="330"/>
      <c r="N472" s="330"/>
      <c r="O472" s="330"/>
      <c r="P472" s="330" t="s">
        <v>1023</v>
      </c>
      <c r="Q472" s="330"/>
      <c r="R472" s="330"/>
      <c r="S472" s="330"/>
      <c r="T472" s="330"/>
      <c r="U472" s="330"/>
      <c r="V472" s="330"/>
      <c r="W472" s="330"/>
      <c r="X472" s="330"/>
      <c r="Y472" s="330"/>
      <c r="Z472" s="330"/>
      <c r="AA472" s="330"/>
      <c r="AB472" s="330"/>
      <c r="AC472" s="330"/>
      <c r="AD472" s="330"/>
      <c r="AE472" s="330"/>
      <c r="AF472" s="330"/>
      <c r="AG472" s="330"/>
      <c r="AH472" s="330"/>
      <c r="AI472" s="330"/>
      <c r="AL472" s="61"/>
      <c r="AM472" s="61"/>
      <c r="AN472" s="61"/>
      <c r="AO472" s="61"/>
      <c r="AP472" s="61"/>
      <c r="AQ472" s="61"/>
      <c r="AR472" s="61"/>
      <c r="AS472" s="61"/>
      <c r="AT472" s="61"/>
      <c r="AU472" s="61"/>
      <c r="AV472" s="61"/>
      <c r="AW472" s="61"/>
      <c r="AX472" s="61"/>
      <c r="CH472" s="59"/>
    </row>
    <row r="473" spans="1:126" ht="30" customHeight="1" x14ac:dyDescent="0.2">
      <c r="A473" s="56"/>
      <c r="B473" s="59"/>
      <c r="C473" s="330"/>
      <c r="D473" s="330"/>
      <c r="E473" s="330"/>
      <c r="F473" s="330"/>
      <c r="G473" s="330"/>
      <c r="H473" s="330"/>
      <c r="I473" s="330"/>
      <c r="J473" s="330"/>
      <c r="K473" s="330"/>
      <c r="L473" s="330"/>
      <c r="M473" s="330"/>
      <c r="N473" s="330"/>
      <c r="O473" s="330"/>
      <c r="P473" s="330" t="s">
        <v>1024</v>
      </c>
      <c r="Q473" s="330"/>
      <c r="R473" s="330"/>
      <c r="S473" s="330"/>
      <c r="T473" s="330"/>
      <c r="U473" s="330"/>
      <c r="V473" s="330"/>
      <c r="W473" s="330"/>
      <c r="X473" s="330"/>
      <c r="Y473" s="330"/>
      <c r="Z473" s="330"/>
      <c r="AA473" s="330"/>
      <c r="AB473" s="330"/>
      <c r="AC473" s="330"/>
      <c r="AD473" s="330"/>
      <c r="AE473" s="330"/>
      <c r="AF473" s="330"/>
      <c r="AG473" s="330"/>
      <c r="AH473" s="330"/>
      <c r="AI473" s="330"/>
      <c r="AL473" s="61"/>
      <c r="AM473" s="61"/>
      <c r="AN473" s="61"/>
      <c r="AO473" s="61"/>
      <c r="AP473" s="61"/>
      <c r="AQ473" s="61"/>
      <c r="AR473" s="61"/>
      <c r="AS473" s="61"/>
      <c r="AT473" s="61"/>
      <c r="AU473" s="61"/>
      <c r="AV473" s="61"/>
      <c r="AW473" s="61"/>
      <c r="AX473" s="61"/>
      <c r="CH473" s="59"/>
    </row>
    <row r="474" spans="1:126" ht="30" customHeight="1" x14ac:dyDescent="0.2">
      <c r="A474" s="56"/>
      <c r="B474" s="59"/>
      <c r="C474" s="330"/>
      <c r="D474" s="330"/>
      <c r="E474" s="330"/>
      <c r="F474" s="330"/>
      <c r="G474" s="330"/>
      <c r="H474" s="330"/>
      <c r="I474" s="330"/>
      <c r="J474" s="330"/>
      <c r="K474" s="330"/>
      <c r="L474" s="330"/>
      <c r="M474" s="330"/>
      <c r="N474" s="330"/>
      <c r="O474" s="330"/>
      <c r="P474" s="330" t="s">
        <v>1025</v>
      </c>
      <c r="Q474" s="330"/>
      <c r="R474" s="330"/>
      <c r="S474" s="330"/>
      <c r="T474" s="330"/>
      <c r="U474" s="330"/>
      <c r="V474" s="330"/>
      <c r="W474" s="330"/>
      <c r="X474" s="330"/>
      <c r="Y474" s="330"/>
      <c r="Z474" s="330"/>
      <c r="AA474" s="330"/>
      <c r="AB474" s="330"/>
      <c r="AC474" s="330"/>
      <c r="AD474" s="330"/>
      <c r="AE474" s="330"/>
      <c r="AF474" s="330"/>
      <c r="AG474" s="330"/>
      <c r="AH474" s="330"/>
      <c r="AI474" s="330"/>
      <c r="AL474" s="61"/>
      <c r="AM474" s="61"/>
      <c r="AN474" s="61"/>
      <c r="AO474" s="61"/>
      <c r="AP474" s="61"/>
      <c r="AQ474" s="61"/>
      <c r="AR474" s="61"/>
      <c r="AS474" s="61"/>
      <c r="AT474" s="61"/>
      <c r="AU474" s="61"/>
      <c r="AV474" s="61"/>
      <c r="AW474" s="61"/>
      <c r="AX474" s="61"/>
      <c r="CH474" s="59"/>
    </row>
    <row r="475" spans="1:126" ht="16.5" customHeight="1" x14ac:dyDescent="0.2">
      <c r="A475" s="56"/>
      <c r="B475" s="59"/>
      <c r="C475" s="330"/>
      <c r="D475" s="330"/>
      <c r="E475" s="330"/>
      <c r="F475" s="330"/>
      <c r="G475" s="330"/>
      <c r="H475" s="330"/>
      <c r="I475" s="330"/>
      <c r="J475" s="330"/>
      <c r="K475" s="330"/>
      <c r="L475" s="330"/>
      <c r="M475" s="330"/>
      <c r="N475" s="330"/>
      <c r="O475" s="330"/>
      <c r="P475" s="330" t="s">
        <v>1022</v>
      </c>
      <c r="Q475" s="330"/>
      <c r="R475" s="330"/>
      <c r="S475" s="330"/>
      <c r="T475" s="330"/>
      <c r="U475" s="330"/>
      <c r="V475" s="330"/>
      <c r="W475" s="330"/>
      <c r="X475" s="330"/>
      <c r="Y475" s="330"/>
      <c r="Z475" s="330"/>
      <c r="AA475" s="330"/>
      <c r="AB475" s="330"/>
      <c r="AC475" s="330"/>
      <c r="AD475" s="330"/>
      <c r="AE475" s="330"/>
      <c r="AF475" s="330"/>
      <c r="AG475" s="330"/>
      <c r="AH475" s="330"/>
      <c r="AI475" s="330"/>
      <c r="AL475" s="61"/>
      <c r="AM475" s="61"/>
      <c r="AN475" s="61"/>
      <c r="AO475" s="61"/>
      <c r="AP475" s="61"/>
      <c r="AQ475" s="61"/>
      <c r="AR475" s="61"/>
      <c r="AS475" s="61"/>
      <c r="AT475" s="61"/>
      <c r="AU475" s="61"/>
      <c r="AV475" s="61"/>
      <c r="AW475" s="61"/>
      <c r="AX475" s="61"/>
      <c r="BA475" s="63"/>
      <c r="CI475" s="63"/>
      <c r="DJ475" s="63"/>
      <c r="DK475" s="63"/>
      <c r="DL475" s="63"/>
    </row>
    <row r="476" spans="1:126" x14ac:dyDescent="0.2">
      <c r="A476" s="56"/>
      <c r="B476" s="54"/>
      <c r="C476" s="54"/>
      <c r="D476" s="54"/>
      <c r="E476" s="223"/>
      <c r="F476" s="54"/>
      <c r="G476" s="54"/>
      <c r="H476" s="54"/>
      <c r="I476" s="54"/>
      <c r="J476" s="54"/>
      <c r="K476" s="54"/>
      <c r="L476" s="54"/>
      <c r="M476" s="54"/>
      <c r="N476" s="54"/>
      <c r="O476" s="54"/>
      <c r="P476" s="54"/>
      <c r="Q476" s="54"/>
      <c r="R476" s="54"/>
      <c r="S476" s="54"/>
      <c r="T476" s="54"/>
      <c r="U476" s="54"/>
      <c r="V476" s="54"/>
      <c r="W476" s="54"/>
      <c r="X476" s="54"/>
      <c r="Y476" s="54"/>
      <c r="Z476" s="54"/>
      <c r="AA476" s="223"/>
      <c r="AB476" s="223"/>
      <c r="AC476" s="223"/>
      <c r="AD476" s="223"/>
      <c r="AE476" s="223"/>
      <c r="AF476" s="223"/>
      <c r="AG476" s="223"/>
      <c r="AH476" s="223"/>
      <c r="AI476" s="223"/>
      <c r="AL476" s="61"/>
      <c r="AM476" s="61"/>
      <c r="AN476" s="61"/>
      <c r="AO476" s="61"/>
      <c r="AP476" s="61"/>
      <c r="AQ476" s="61"/>
      <c r="AR476" s="61"/>
      <c r="AS476" s="61"/>
      <c r="AT476" s="61"/>
      <c r="AU476" s="61"/>
      <c r="AV476" s="61"/>
      <c r="AW476" s="61"/>
      <c r="AX476" s="61"/>
    </row>
    <row r="477" spans="1:126" ht="14.25" customHeight="1" x14ac:dyDescent="0.2">
      <c r="A477" s="54"/>
      <c r="B477" s="54"/>
      <c r="C477" s="54"/>
      <c r="D477" s="325" t="s">
        <v>384</v>
      </c>
      <c r="E477" s="325"/>
      <c r="F477" s="325"/>
      <c r="G477" s="325"/>
      <c r="H477" s="325"/>
      <c r="I477" s="325"/>
      <c r="J477" s="325"/>
      <c r="K477" s="325"/>
      <c r="L477" s="325"/>
      <c r="M477" s="325"/>
      <c r="N477" s="325"/>
      <c r="O477" s="325"/>
      <c r="P477" s="325"/>
      <c r="Q477" s="325"/>
      <c r="R477" s="325"/>
      <c r="S477" s="325"/>
      <c r="T477" s="325"/>
      <c r="U477" s="325"/>
      <c r="V477" s="325"/>
      <c r="W477" s="325"/>
      <c r="X477" s="325"/>
      <c r="Y477" s="325"/>
      <c r="Z477" s="325"/>
      <c r="AA477" s="325"/>
      <c r="AB477" s="325"/>
      <c r="AC477" s="325"/>
      <c r="AD477" s="325"/>
      <c r="AE477" s="325"/>
      <c r="AF477" s="325"/>
      <c r="AG477" s="325"/>
      <c r="AH477" s="325"/>
      <c r="AI477" s="325"/>
      <c r="AJ477" s="325"/>
      <c r="AK477" s="174"/>
      <c r="BC477" s="63"/>
      <c r="BD477" s="63"/>
      <c r="BF477" s="63"/>
      <c r="BG477" s="63"/>
      <c r="BH477" s="63"/>
      <c r="BI477" s="63"/>
      <c r="BJ477" s="63"/>
      <c r="BK477" s="63"/>
      <c r="BL477" s="63"/>
      <c r="BM477" s="63"/>
      <c r="BN477" s="63"/>
      <c r="BO477" s="63"/>
      <c r="BP477" s="63"/>
      <c r="BR477" s="63"/>
      <c r="BS477" s="63"/>
      <c r="BT477" s="63"/>
      <c r="BU477" s="63"/>
      <c r="BV477" s="63"/>
      <c r="BW477" s="63"/>
      <c r="BX477" s="63"/>
      <c r="BY477" s="63"/>
      <c r="BZ477" s="63"/>
      <c r="CK477" s="63"/>
      <c r="CL477" s="63"/>
      <c r="CM477" s="63"/>
      <c r="CN477" s="63"/>
      <c r="CO477" s="63"/>
      <c r="CP477" s="63"/>
      <c r="CQ477" s="63"/>
      <c r="DP477" s="63"/>
      <c r="DQ477" s="63"/>
      <c r="DR477" s="63"/>
      <c r="DS477" s="63"/>
      <c r="DT477" s="63"/>
      <c r="DU477" s="63"/>
      <c r="DV477" s="63"/>
    </row>
    <row r="478" spans="1:126" x14ac:dyDescent="0.2">
      <c r="A478" s="54"/>
      <c r="B478" s="54"/>
      <c r="C478" s="54"/>
      <c r="D478" s="54"/>
      <c r="E478" s="54"/>
      <c r="F478" s="54"/>
      <c r="G478" s="54"/>
      <c r="H478" s="54"/>
      <c r="I478" s="54"/>
      <c r="J478" s="54"/>
      <c r="K478" s="54"/>
      <c r="L478" s="54"/>
      <c r="M478" s="54"/>
      <c r="N478" s="54"/>
      <c r="O478" s="54"/>
      <c r="P478" s="54"/>
      <c r="Q478" s="54"/>
      <c r="R478" s="54"/>
      <c r="S478" s="54"/>
      <c r="T478" s="54"/>
      <c r="U478" s="54"/>
      <c r="V478" s="54"/>
      <c r="W478" s="54"/>
      <c r="X478" s="54"/>
      <c r="Y478" s="54"/>
      <c r="Z478" s="54"/>
      <c r="AA478" s="223"/>
      <c r="AB478" s="223"/>
      <c r="AC478" s="223"/>
      <c r="AD478" s="223"/>
      <c r="AE478" s="223"/>
      <c r="AF478" s="223"/>
      <c r="AG478" s="223"/>
      <c r="AH478" s="223"/>
      <c r="AI478" s="223"/>
    </row>
    <row r="479" spans="1:126" ht="12.75" customHeight="1" x14ac:dyDescent="0.2">
      <c r="A479" s="54"/>
      <c r="B479" s="280" t="s">
        <v>533</v>
      </c>
      <c r="C479" s="280"/>
      <c r="D479" s="280"/>
      <c r="E479" s="280"/>
      <c r="F479" s="280"/>
      <c r="G479" s="280"/>
      <c r="H479" s="280" t="s">
        <v>486</v>
      </c>
      <c r="I479" s="280"/>
      <c r="J479" s="280" t="s">
        <v>379</v>
      </c>
      <c r="K479" s="280"/>
      <c r="L479" s="280"/>
      <c r="M479" s="280" t="s">
        <v>538</v>
      </c>
      <c r="N479" s="280"/>
      <c r="O479" s="280"/>
      <c r="P479" s="280"/>
      <c r="Q479" s="280"/>
      <c r="R479" s="280" t="s">
        <v>450</v>
      </c>
      <c r="S479" s="280"/>
      <c r="T479" s="280"/>
      <c r="U479" s="280"/>
      <c r="V479" s="280"/>
      <c r="W479" s="280" t="s">
        <v>483</v>
      </c>
      <c r="X479" s="280"/>
      <c r="Y479" s="280"/>
      <c r="Z479" s="280"/>
      <c r="AA479" s="280"/>
      <c r="AB479" s="280" t="s">
        <v>484</v>
      </c>
      <c r="AC479" s="280"/>
      <c r="AD479" s="280"/>
      <c r="AE479" s="280"/>
      <c r="AF479" s="280"/>
      <c r="AG479" s="223"/>
      <c r="AH479" s="223"/>
      <c r="AI479" s="223"/>
      <c r="AJ479" s="221"/>
      <c r="AK479" s="182"/>
    </row>
    <row r="480" spans="1:126" ht="13.5" customHeight="1" x14ac:dyDescent="0.2">
      <c r="A480" s="54"/>
      <c r="B480" s="305">
        <f>IFERROR(IF(Z$99="Fisurado",Z$124,Z$125),"-")</f>
        <v>1.4</v>
      </c>
      <c r="C480" s="305"/>
      <c r="D480" s="305"/>
      <c r="E480" s="305"/>
      <c r="F480" s="305"/>
      <c r="G480" s="305"/>
      <c r="H480" s="282">
        <f>IF($D$103="Peso normal",1, IF(O$62="Adhesivo",0.6,1))*Z$103</f>
        <v>1</v>
      </c>
      <c r="I480" s="282"/>
      <c r="J480" s="282"/>
      <c r="K480" s="282"/>
      <c r="L480" s="282"/>
      <c r="M480" s="316">
        <f>$Z$66</f>
        <v>25.4</v>
      </c>
      <c r="N480" s="316"/>
      <c r="O480" s="316"/>
      <c r="P480" s="316"/>
      <c r="Q480" s="316"/>
      <c r="R480" s="316">
        <f>IF(COUNTIF($BF$213:$BI$282,"&gt;2")&gt;=1,MAX(MAX($BB$213:$BE$282)/1.5,(MAX($BL$213:$BO$282,$BR$213:$BU$282,$BX$213:$CA$282,$CD$213:$CG$282)/3)),$Z$68)</f>
        <v>450</v>
      </c>
      <c r="S480" s="316"/>
      <c r="T480" s="316"/>
      <c r="U480" s="316"/>
      <c r="V480" s="316"/>
      <c r="W480" s="316">
        <f>MIN($Z$75:$AF$76)</f>
        <v>100</v>
      </c>
      <c r="X480" s="316"/>
      <c r="Y480" s="316"/>
      <c r="Z480" s="316"/>
      <c r="AA480" s="316"/>
      <c r="AB480" s="316">
        <f>$Z$112</f>
        <v>0</v>
      </c>
      <c r="AC480" s="316"/>
      <c r="AD480" s="316"/>
      <c r="AE480" s="316"/>
      <c r="AF480" s="316"/>
      <c r="AG480" s="223"/>
      <c r="AH480" s="223"/>
      <c r="AI480" s="223"/>
      <c r="BB480" s="63"/>
      <c r="BE480" s="63"/>
      <c r="BQ480" s="63"/>
      <c r="CJ480" s="63"/>
      <c r="DM480" s="63"/>
      <c r="DN480" s="63"/>
      <c r="DO480" s="63"/>
    </row>
    <row r="481" spans="1:126" ht="14.25" customHeight="1" x14ac:dyDescent="0.2">
      <c r="A481" s="54"/>
      <c r="B481" s="54"/>
      <c r="C481" s="54"/>
      <c r="D481" s="54"/>
      <c r="E481" s="54"/>
      <c r="F481" s="54"/>
      <c r="G481" s="54"/>
      <c r="H481" s="54"/>
      <c r="I481" s="54"/>
      <c r="J481" s="54"/>
      <c r="K481" s="54"/>
      <c r="L481" s="54"/>
      <c r="M481" s="54"/>
      <c r="N481" s="54"/>
      <c r="O481" s="54"/>
      <c r="P481" s="54"/>
      <c r="Q481" s="54"/>
      <c r="R481" s="54"/>
      <c r="S481" s="54"/>
      <c r="T481" s="54"/>
      <c r="U481" s="54"/>
      <c r="V481" s="54"/>
      <c r="W481" s="54"/>
      <c r="X481" s="54"/>
      <c r="Y481" s="54"/>
      <c r="Z481" s="54"/>
      <c r="AA481" s="223"/>
      <c r="AB481" s="223"/>
      <c r="AC481" s="223"/>
      <c r="AD481" s="223"/>
      <c r="AE481" s="223"/>
      <c r="AF481" s="223"/>
      <c r="AG481" s="223"/>
      <c r="AH481" s="223"/>
      <c r="AI481" s="223"/>
    </row>
    <row r="482" spans="1:126" ht="14.25" customHeight="1" x14ac:dyDescent="0.2">
      <c r="A482" s="54"/>
      <c r="B482" s="280" t="s">
        <v>481</v>
      </c>
      <c r="C482" s="280"/>
      <c r="D482" s="280"/>
      <c r="E482" s="280"/>
      <c r="F482" s="280"/>
      <c r="G482" s="280" t="s">
        <v>482</v>
      </c>
      <c r="H482" s="280"/>
      <c r="I482" s="280"/>
      <c r="J482" s="280"/>
      <c r="K482" s="280"/>
      <c r="L482" s="280" t="s">
        <v>539</v>
      </c>
      <c r="M482" s="280"/>
      <c r="N482" s="280"/>
      <c r="O482" s="280"/>
      <c r="P482" s="280"/>
      <c r="Q482" s="223"/>
      <c r="R482" s="223"/>
      <c r="S482" s="223"/>
      <c r="T482" s="223"/>
      <c r="U482" s="223"/>
      <c r="V482" s="223"/>
      <c r="W482" s="223"/>
      <c r="X482" s="223"/>
      <c r="Y482" s="223"/>
      <c r="Z482" s="223"/>
      <c r="AA482" s="223"/>
      <c r="AB482" s="223"/>
      <c r="AC482" s="223"/>
      <c r="AD482" s="223"/>
      <c r="AE482" s="223"/>
      <c r="AF482" s="223"/>
      <c r="AG482" s="223"/>
      <c r="AH482" s="223"/>
      <c r="AI482" s="223"/>
    </row>
    <row r="483" spans="1:126" ht="14.25" customHeight="1" x14ac:dyDescent="0.2">
      <c r="A483" s="54"/>
      <c r="B483" s="316">
        <f>ABS(0-$Q$185)</f>
        <v>125</v>
      </c>
      <c r="C483" s="316"/>
      <c r="D483" s="316"/>
      <c r="E483" s="316"/>
      <c r="F483" s="316"/>
      <c r="G483" s="316">
        <f>ABS(0-$T$185)</f>
        <v>96.385542168674704</v>
      </c>
      <c r="H483" s="316"/>
      <c r="I483" s="316"/>
      <c r="J483" s="316"/>
      <c r="K483" s="316"/>
      <c r="L483" s="316" t="str">
        <f>IF($O$62="Adhesivo",$Z$113,"-")</f>
        <v>-</v>
      </c>
      <c r="M483" s="316"/>
      <c r="N483" s="316"/>
      <c r="O483" s="316"/>
      <c r="P483" s="316"/>
      <c r="Q483" s="223"/>
      <c r="R483" s="223"/>
      <c r="S483" s="223"/>
      <c r="T483" s="223"/>
      <c r="U483" s="223"/>
      <c r="V483" s="223"/>
      <c r="W483" s="223"/>
      <c r="X483" s="223"/>
      <c r="Y483" s="223"/>
      <c r="Z483" s="223"/>
      <c r="AA483" s="223"/>
      <c r="AB483" s="223"/>
      <c r="AC483" s="223"/>
      <c r="AD483" s="223"/>
      <c r="AE483" s="223"/>
      <c r="AF483" s="223"/>
      <c r="AG483" s="223"/>
      <c r="AH483" s="223"/>
      <c r="AI483" s="223"/>
    </row>
    <row r="484" spans="1:126" ht="14.25" customHeight="1" x14ac:dyDescent="0.2">
      <c r="A484" s="54"/>
      <c r="B484" s="54"/>
      <c r="C484" s="54"/>
      <c r="D484" s="54"/>
      <c r="E484" s="54"/>
      <c r="F484" s="54"/>
      <c r="G484" s="54"/>
      <c r="H484" s="54"/>
      <c r="I484" s="54"/>
      <c r="J484" s="54"/>
      <c r="K484" s="54"/>
      <c r="L484" s="54"/>
      <c r="M484" s="54"/>
      <c r="N484" s="54"/>
      <c r="O484" s="54"/>
      <c r="P484" s="54"/>
      <c r="Q484" s="54"/>
      <c r="R484" s="54"/>
      <c r="S484" s="54"/>
      <c r="T484" s="54"/>
      <c r="U484" s="54"/>
      <c r="V484" s="54"/>
      <c r="W484" s="54"/>
      <c r="X484" s="54"/>
      <c r="Y484" s="54"/>
      <c r="Z484" s="54"/>
      <c r="AA484" s="223"/>
      <c r="AB484" s="223"/>
      <c r="AC484" s="223"/>
      <c r="AD484" s="223"/>
      <c r="AE484" s="223"/>
      <c r="AF484" s="223"/>
      <c r="AG484" s="223"/>
      <c r="AH484" s="223"/>
      <c r="AI484" s="223"/>
    </row>
    <row r="485" spans="1:126" x14ac:dyDescent="0.2">
      <c r="A485" s="54"/>
      <c r="B485" s="54"/>
      <c r="C485" s="54"/>
      <c r="D485" s="325" t="s">
        <v>385</v>
      </c>
      <c r="E485" s="325"/>
      <c r="F485" s="325"/>
      <c r="G485" s="325"/>
      <c r="H485" s="325"/>
      <c r="I485" s="325"/>
      <c r="J485" s="325"/>
      <c r="K485" s="325"/>
      <c r="L485" s="325"/>
      <c r="M485" s="325"/>
      <c r="N485" s="325"/>
      <c r="O485" s="325"/>
      <c r="P485" s="325"/>
      <c r="Q485" s="325"/>
      <c r="R485" s="325"/>
      <c r="S485" s="325"/>
      <c r="T485" s="325"/>
      <c r="U485" s="325"/>
      <c r="V485" s="325"/>
      <c r="W485" s="325"/>
      <c r="X485" s="325"/>
      <c r="Y485" s="325"/>
      <c r="Z485" s="325"/>
      <c r="AA485" s="325"/>
      <c r="AB485" s="325"/>
      <c r="AC485" s="325"/>
      <c r="AD485" s="325"/>
      <c r="AE485" s="325"/>
      <c r="AF485" s="325"/>
      <c r="AG485" s="325"/>
      <c r="AH485" s="325"/>
      <c r="AI485" s="325"/>
      <c r="AJ485" s="325"/>
      <c r="AK485" s="174"/>
    </row>
    <row r="486" spans="1:126" x14ac:dyDescent="0.2">
      <c r="A486" s="54"/>
      <c r="B486" s="54"/>
      <c r="C486" s="54"/>
      <c r="D486" s="54"/>
      <c r="E486" s="54"/>
      <c r="F486" s="54"/>
      <c r="G486" s="54"/>
      <c r="H486" s="54"/>
      <c r="I486" s="54"/>
      <c r="J486" s="54"/>
      <c r="K486" s="54"/>
      <c r="L486" s="54"/>
      <c r="M486" s="54"/>
      <c r="N486" s="54"/>
      <c r="O486" s="54"/>
      <c r="P486" s="54"/>
      <c r="Q486" s="54"/>
      <c r="R486" s="54"/>
      <c r="S486" s="54"/>
      <c r="T486" s="54"/>
      <c r="U486" s="54"/>
      <c r="V486" s="54"/>
      <c r="W486" s="54"/>
      <c r="X486" s="54"/>
      <c r="Y486" s="54"/>
      <c r="Z486" s="54"/>
      <c r="AA486" s="223"/>
      <c r="AB486" s="223"/>
      <c r="AC486" s="223"/>
      <c r="AD486" s="223"/>
      <c r="AE486" s="223"/>
      <c r="AF486" s="223"/>
      <c r="AG486" s="223"/>
      <c r="AH486" s="223"/>
      <c r="AI486" s="223"/>
    </row>
    <row r="487" spans="1:126" ht="14.25" customHeight="1" x14ac:dyDescent="0.2">
      <c r="A487" s="54"/>
      <c r="B487" s="280" t="s">
        <v>534</v>
      </c>
      <c r="C487" s="280"/>
      <c r="D487" s="280"/>
      <c r="E487" s="280"/>
      <c r="F487" s="280" t="s">
        <v>535</v>
      </c>
      <c r="G487" s="280"/>
      <c r="H487" s="280"/>
      <c r="I487" s="280"/>
      <c r="J487" s="280" t="s">
        <v>527</v>
      </c>
      <c r="K487" s="280"/>
      <c r="L487" s="280"/>
      <c r="M487" s="280"/>
      <c r="N487" s="280" t="s">
        <v>528</v>
      </c>
      <c r="O487" s="280"/>
      <c r="P487" s="280"/>
      <c r="Q487" s="280"/>
      <c r="R487" s="280" t="s">
        <v>529</v>
      </c>
      <c r="S487" s="280"/>
      <c r="T487" s="280"/>
      <c r="U487" s="280"/>
      <c r="V487" s="280" t="s">
        <v>530</v>
      </c>
      <c r="W487" s="280"/>
      <c r="X487" s="280"/>
      <c r="Y487" s="280"/>
      <c r="Z487" s="280"/>
      <c r="AA487" s="280" t="s">
        <v>531</v>
      </c>
      <c r="AB487" s="280"/>
      <c r="AC487" s="280"/>
      <c r="AD487" s="280"/>
      <c r="AE487" s="280"/>
      <c r="AF487" s="223"/>
      <c r="AG487" s="223"/>
      <c r="AH487" s="223"/>
      <c r="AI487" s="223"/>
      <c r="AJ487" s="221"/>
      <c r="AK487" s="182"/>
      <c r="AY487" s="63"/>
      <c r="AZ487" s="63"/>
      <c r="BA487" s="63"/>
      <c r="CI487" s="63"/>
      <c r="DJ487" s="63"/>
      <c r="DK487" s="63"/>
      <c r="DL487" s="63"/>
    </row>
    <row r="488" spans="1:126" x14ac:dyDescent="0.2">
      <c r="A488" s="54"/>
      <c r="B488" s="281" t="str">
        <f>IFERROR(IF($O$62="Adhesivo", SUM($CM$213:$CQ$282),"-"),"-")</f>
        <v>-</v>
      </c>
      <c r="C488" s="281"/>
      <c r="D488" s="281"/>
      <c r="E488" s="281"/>
      <c r="F488" s="495" t="str">
        <f>IFERROR(IF($O$62="Adhesivo", ((2*$L$483)^2)/1000000,"-"),"-")</f>
        <v>-</v>
      </c>
      <c r="G488" s="495"/>
      <c r="H488" s="495"/>
      <c r="I488" s="495"/>
      <c r="J488" s="282" t="str">
        <f>IFERROR( IF($O$62="Adhesivo", IF($B$378="Grupo",MIN(1,(1/(1+($B$483/($L$483)))))*MIN(1,(1/(1+(G483/($L$483))))),"-"), "-"),0)</f>
        <v>-</v>
      </c>
      <c r="K488" s="282"/>
      <c r="L488" s="282"/>
      <c r="M488" s="282"/>
      <c r="N488" s="282" t="str">
        <f>IFERROR( IF($O$62="Adhesivo", IF($W$480&gt;=($L$483),1,(0.7+(0.3*($W$480/($L$483))))),"-"),0)</f>
        <v>-</v>
      </c>
      <c r="O488" s="282"/>
      <c r="P488" s="282"/>
      <c r="Q488" s="282"/>
      <c r="R488" s="282" t="str">
        <f>IFERROR( IF($O$62="Adhesivo", IF(AND($O$62="Adhesivo",$Z$99="No fisurado",$Z$101="B"), MIN(1,MAX($W$480/$AB$480,($L$483/$AB$480))), 1 ),"-"),0)</f>
        <v>-</v>
      </c>
      <c r="S488" s="282"/>
      <c r="T488" s="282"/>
      <c r="U488" s="282"/>
      <c r="V488" s="305" t="str">
        <f>IFERROR( IF($O$62="Adhesivo", $H$480 * $B$480 * PI() * $M$480 * $R$480/1000,"-"),"-")</f>
        <v>-</v>
      </c>
      <c r="W488" s="305"/>
      <c r="X488" s="305"/>
      <c r="Y488" s="305"/>
      <c r="Z488" s="305"/>
      <c r="AA488" s="305" t="str">
        <f>IFERROR( IF(O$62="Adhesivo",(B$488/F$488)*MIN(1,J$488)*N$488*R$488*V$488,"-"),"-")</f>
        <v>-</v>
      </c>
      <c r="AB488" s="305"/>
      <c r="AC488" s="305"/>
      <c r="AD488" s="305"/>
      <c r="AE488" s="305"/>
      <c r="AF488" s="223"/>
      <c r="AG488" s="223"/>
      <c r="AH488" s="223"/>
      <c r="AI488" s="223"/>
    </row>
    <row r="489" spans="1:126" x14ac:dyDescent="0.2">
      <c r="A489" s="54"/>
      <c r="B489" s="54"/>
      <c r="C489" s="54"/>
      <c r="D489" s="54"/>
      <c r="E489" s="54"/>
      <c r="F489" s="54"/>
      <c r="G489" s="54"/>
      <c r="H489" s="54"/>
      <c r="I489" s="54"/>
      <c r="J489" s="54"/>
      <c r="K489" s="54"/>
      <c r="L489" s="54"/>
      <c r="M489" s="54"/>
      <c r="N489" s="54"/>
      <c r="O489" s="54"/>
      <c r="P489" s="54"/>
      <c r="Q489" s="54"/>
      <c r="R489" s="54"/>
      <c r="S489" s="54"/>
      <c r="T489" s="54"/>
      <c r="U489" s="54"/>
      <c r="V489" s="54"/>
      <c r="W489" s="54"/>
      <c r="X489" s="54"/>
      <c r="Y489" s="54"/>
      <c r="Z489" s="54"/>
      <c r="AA489" s="223"/>
      <c r="AB489" s="223"/>
      <c r="AC489" s="223"/>
      <c r="AD489" s="223"/>
      <c r="AE489" s="223"/>
      <c r="AF489" s="223"/>
      <c r="AG489" s="223"/>
      <c r="AH489" s="223"/>
      <c r="AI489" s="223"/>
    </row>
    <row r="490" spans="1:126" x14ac:dyDescent="0.2">
      <c r="A490" s="54"/>
      <c r="B490" s="54"/>
      <c r="C490" s="54"/>
      <c r="D490" s="325" t="s">
        <v>386</v>
      </c>
      <c r="E490" s="325"/>
      <c r="F490" s="325"/>
      <c r="G490" s="325"/>
      <c r="H490" s="325"/>
      <c r="I490" s="325"/>
      <c r="J490" s="325"/>
      <c r="K490" s="325"/>
      <c r="L490" s="325"/>
      <c r="M490" s="325"/>
      <c r="N490" s="325"/>
      <c r="O490" s="325"/>
      <c r="P490" s="325"/>
      <c r="Q490" s="325"/>
      <c r="R490" s="325"/>
      <c r="S490" s="325"/>
      <c r="T490" s="325"/>
      <c r="U490" s="325"/>
      <c r="V490" s="325"/>
      <c r="W490" s="325"/>
      <c r="X490" s="325"/>
      <c r="Y490" s="325"/>
      <c r="Z490" s="325"/>
      <c r="AA490" s="325"/>
      <c r="AB490" s="325"/>
      <c r="AC490" s="325"/>
      <c r="AD490" s="325"/>
      <c r="AE490" s="325"/>
      <c r="AF490" s="325"/>
      <c r="AG490" s="325"/>
      <c r="AH490" s="325"/>
      <c r="AI490" s="325"/>
      <c r="AJ490" s="325"/>
      <c r="AK490" s="174"/>
      <c r="BC490" s="63"/>
      <c r="BD490" s="63"/>
      <c r="BF490" s="63"/>
      <c r="BG490" s="63"/>
      <c r="BH490" s="63"/>
      <c r="BI490" s="63"/>
      <c r="BJ490" s="63"/>
      <c r="BK490" s="63"/>
      <c r="BL490" s="63"/>
      <c r="BM490" s="63"/>
      <c r="BN490" s="63"/>
      <c r="BO490" s="63"/>
      <c r="BP490" s="63"/>
      <c r="BR490" s="63"/>
      <c r="BS490" s="63"/>
      <c r="BT490" s="63"/>
      <c r="BU490" s="63"/>
      <c r="BV490" s="63"/>
      <c r="BW490" s="63"/>
      <c r="BX490" s="63"/>
      <c r="BY490" s="63"/>
      <c r="BZ490" s="63"/>
      <c r="CK490" s="63"/>
      <c r="CL490" s="63"/>
      <c r="CM490" s="63"/>
      <c r="CN490" s="63"/>
      <c r="CO490" s="63"/>
      <c r="CP490" s="63"/>
      <c r="CQ490" s="63"/>
      <c r="DP490" s="63"/>
      <c r="DQ490" s="63"/>
      <c r="DR490" s="63"/>
      <c r="DS490" s="63"/>
      <c r="DT490" s="63"/>
      <c r="DU490" s="63"/>
      <c r="DV490" s="63"/>
    </row>
    <row r="491" spans="1:126" x14ac:dyDescent="0.2">
      <c r="A491" s="54"/>
      <c r="B491" s="54"/>
      <c r="C491" s="54"/>
      <c r="D491" s="54"/>
      <c r="E491" s="54"/>
      <c r="F491" s="54"/>
      <c r="G491" s="54"/>
      <c r="H491" s="54"/>
      <c r="I491" s="54"/>
      <c r="J491" s="54"/>
      <c r="K491" s="54"/>
      <c r="L491" s="54"/>
      <c r="M491" s="54"/>
      <c r="N491" s="54"/>
      <c r="O491" s="54"/>
      <c r="P491" s="54"/>
      <c r="Q491" s="54"/>
      <c r="R491" s="54"/>
      <c r="S491" s="54"/>
      <c r="T491" s="54"/>
      <c r="U491" s="54"/>
      <c r="V491" s="54"/>
      <c r="W491" s="54"/>
      <c r="X491" s="54"/>
      <c r="Y491" s="54"/>
      <c r="Z491" s="54"/>
      <c r="AA491" s="223"/>
      <c r="AB491" s="223"/>
      <c r="AC491" s="223"/>
      <c r="AD491" s="223"/>
      <c r="AE491" s="223"/>
      <c r="AF491" s="223"/>
      <c r="AG491" s="223"/>
      <c r="AH491" s="223"/>
      <c r="AI491" s="223"/>
    </row>
    <row r="492" spans="1:126" ht="14.25" customHeight="1" x14ac:dyDescent="0.2">
      <c r="A492" s="54"/>
      <c r="B492" s="322" t="s">
        <v>532</v>
      </c>
      <c r="C492" s="280"/>
      <c r="D492" s="280"/>
      <c r="E492" s="280"/>
      <c r="F492" s="280"/>
      <c r="G492" s="280" t="s">
        <v>623</v>
      </c>
      <c r="H492" s="280"/>
      <c r="I492" s="280"/>
      <c r="J492" s="280"/>
      <c r="K492" s="280"/>
      <c r="L492" s="280" t="s">
        <v>576</v>
      </c>
      <c r="M492" s="280"/>
      <c r="N492" s="280"/>
      <c r="O492" s="280"/>
      <c r="P492" s="280"/>
      <c r="Q492" s="322" t="s">
        <v>460</v>
      </c>
      <c r="R492" s="280"/>
      <c r="S492" s="280"/>
      <c r="T492" s="280"/>
      <c r="U492" s="280"/>
      <c r="V492" s="280" t="s">
        <v>909</v>
      </c>
      <c r="W492" s="280"/>
      <c r="X492" s="280"/>
      <c r="Y492" s="280"/>
      <c r="Z492" s="280"/>
      <c r="AA492" s="496" t="s">
        <v>1003</v>
      </c>
      <c r="AB492" s="496"/>
      <c r="AC492" s="496"/>
      <c r="AD492" s="496"/>
      <c r="AE492" s="496"/>
      <c r="AF492" s="223"/>
      <c r="AG492" s="223"/>
      <c r="AH492" s="223"/>
      <c r="AI492" s="223"/>
    </row>
    <row r="493" spans="1:126" ht="12.75" customHeight="1" x14ac:dyDescent="0.2">
      <c r="A493" s="54"/>
      <c r="B493" s="305" t="str">
        <f>IF($O$62="Adhesivo",AA488,"-")</f>
        <v>-</v>
      </c>
      <c r="C493" s="305"/>
      <c r="D493" s="305"/>
      <c r="E493" s="305"/>
      <c r="F493" s="305"/>
      <c r="G493" s="282" t="str">
        <f>IF($B$493="-","-",IFERROR(IF($O$61="Embebido",IF($Z$101="A",0.75,0.7),IF($Z$101="A",IF($Z$90="Baja",0.75,IF($Z$90="Moderada",0.65,0.55)),IF($Z$90="Baja",0.65,IF($Z$90="Moderada",0.55,0.45)))),"-"))</f>
        <v>-</v>
      </c>
      <c r="H493" s="282"/>
      <c r="I493" s="282"/>
      <c r="J493" s="282"/>
      <c r="K493" s="282"/>
      <c r="L493" s="305" t="str">
        <f>IF($B493="-","-",$B493*$G493)</f>
        <v>-</v>
      </c>
      <c r="M493" s="305"/>
      <c r="N493" s="305"/>
      <c r="O493" s="305"/>
      <c r="P493" s="305"/>
      <c r="Q493" s="305" t="str">
        <f>IF($O$62="Adhesivo",IF($L$185="-","-",$L$185),"-")</f>
        <v>-</v>
      </c>
      <c r="R493" s="305"/>
      <c r="S493" s="305"/>
      <c r="T493" s="305"/>
      <c r="U493" s="305"/>
      <c r="V493" s="305" t="str">
        <f>IFERROR(100*$Q493/($L493/$AA493),"-")</f>
        <v>-</v>
      </c>
      <c r="W493" s="305"/>
      <c r="X493" s="305"/>
      <c r="Y493" s="305"/>
      <c r="Z493" s="305"/>
      <c r="AA493" s="282">
        <f>IFERROR($L$176,1)</f>
        <v>1</v>
      </c>
      <c r="AB493" s="282"/>
      <c r="AC493" s="282"/>
      <c r="AD493" s="282"/>
      <c r="AE493" s="282"/>
      <c r="AF493" s="223"/>
      <c r="AG493" s="223"/>
      <c r="AH493" s="223"/>
      <c r="AI493" s="223"/>
    </row>
    <row r="494" spans="1:126" ht="13.5" customHeight="1" x14ac:dyDescent="0.2">
      <c r="A494" s="54"/>
      <c r="B494" s="54"/>
      <c r="C494" s="54"/>
      <c r="D494" s="54"/>
      <c r="E494" s="54"/>
      <c r="F494" s="54"/>
      <c r="G494" s="54"/>
      <c r="H494" s="54"/>
      <c r="I494" s="54"/>
      <c r="J494" s="54"/>
      <c r="K494" s="54"/>
      <c r="L494" s="54"/>
      <c r="M494" s="54"/>
      <c r="N494" s="54"/>
      <c r="O494" s="54"/>
      <c r="P494" s="54"/>
      <c r="Q494" s="54"/>
      <c r="R494" s="54"/>
      <c r="S494" s="54"/>
      <c r="T494" s="54"/>
      <c r="U494" s="54"/>
      <c r="V494" s="54"/>
      <c r="W494" s="54"/>
      <c r="X494" s="54"/>
      <c r="Y494" s="54"/>
      <c r="Z494" s="54"/>
      <c r="AA494" s="223"/>
      <c r="AB494" s="223"/>
      <c r="AC494" s="223"/>
      <c r="AD494" s="223"/>
      <c r="AE494" s="223"/>
      <c r="AF494" s="223"/>
      <c r="AG494" s="223"/>
      <c r="AH494" s="223"/>
      <c r="AI494" s="223"/>
      <c r="AY494" s="63"/>
      <c r="AZ494" s="63"/>
      <c r="BA494" s="63"/>
      <c r="CI494" s="63"/>
      <c r="DJ494" s="63"/>
      <c r="DK494" s="63"/>
      <c r="DL494" s="63"/>
    </row>
    <row r="495" spans="1:126" x14ac:dyDescent="0.2">
      <c r="A495" s="54"/>
      <c r="B495" s="54"/>
      <c r="C495" s="54"/>
      <c r="D495" s="54"/>
      <c r="E495" s="54"/>
      <c r="F495" s="54"/>
      <c r="G495" s="54"/>
      <c r="H495" s="54"/>
      <c r="I495" s="54"/>
      <c r="J495" s="54"/>
      <c r="K495" s="54"/>
      <c r="L495" s="54"/>
      <c r="M495" s="54"/>
      <c r="N495" s="54"/>
      <c r="O495" s="54"/>
      <c r="P495" s="54"/>
      <c r="Q495" s="54"/>
      <c r="R495" s="54"/>
      <c r="S495" s="54"/>
      <c r="T495" s="54"/>
      <c r="U495" s="54"/>
      <c r="V495" s="54"/>
      <c r="W495" s="54"/>
      <c r="X495" s="54"/>
      <c r="Y495" s="54"/>
      <c r="Z495" s="54"/>
      <c r="AA495" s="223"/>
      <c r="AB495" s="223"/>
      <c r="AC495" s="223"/>
      <c r="AD495" s="223"/>
      <c r="AE495" s="223"/>
      <c r="AF495" s="223"/>
      <c r="AG495" s="223"/>
      <c r="AH495" s="223"/>
      <c r="AI495" s="223"/>
      <c r="BB495" s="65"/>
      <c r="BE495" s="65"/>
      <c r="BQ495" s="65"/>
      <c r="CJ495" s="65"/>
      <c r="DM495" s="65"/>
      <c r="DN495" s="65"/>
      <c r="DO495" s="65"/>
    </row>
    <row r="496" spans="1:126" x14ac:dyDescent="0.2">
      <c r="A496" s="54"/>
      <c r="B496" s="54"/>
      <c r="C496" s="324" t="s">
        <v>521</v>
      </c>
      <c r="D496" s="333"/>
      <c r="E496" s="333"/>
      <c r="F496" s="333"/>
      <c r="G496" s="333"/>
      <c r="H496" s="333"/>
      <c r="I496" s="333"/>
      <c r="J496" s="333"/>
      <c r="K496" s="333"/>
      <c r="L496" s="333"/>
      <c r="M496" s="333"/>
      <c r="N496" s="333"/>
      <c r="O496" s="333"/>
      <c r="P496" s="333"/>
      <c r="Q496" s="333"/>
      <c r="R496" s="333"/>
      <c r="S496" s="333"/>
      <c r="T496" s="333"/>
      <c r="U496" s="333"/>
      <c r="V496" s="333"/>
      <c r="W496" s="333"/>
      <c r="X496" s="333"/>
      <c r="Y496" s="333"/>
      <c r="Z496" s="333"/>
      <c r="AA496" s="333"/>
      <c r="AB496" s="333"/>
      <c r="AC496" s="333"/>
      <c r="AD496" s="333"/>
      <c r="AE496" s="333"/>
      <c r="AF496" s="333"/>
      <c r="AG496" s="333"/>
      <c r="AH496" s="333"/>
      <c r="AI496" s="333"/>
      <c r="AJ496" s="333"/>
      <c r="AK496" s="175"/>
      <c r="AL496" s="61"/>
      <c r="AM496" s="61"/>
      <c r="AN496" s="61"/>
      <c r="AO496" s="61"/>
      <c r="AP496" s="61"/>
      <c r="AQ496" s="61"/>
      <c r="AR496" s="61"/>
      <c r="AS496" s="61"/>
      <c r="AT496" s="61"/>
      <c r="AU496" s="61"/>
      <c r="AV496" s="61"/>
      <c r="AW496" s="61"/>
      <c r="AX496" s="61"/>
    </row>
    <row r="497" spans="1:81" x14ac:dyDescent="0.2">
      <c r="A497" s="56"/>
      <c r="B497" s="54"/>
      <c r="C497" s="54"/>
      <c r="D497" s="54"/>
      <c r="E497" s="223"/>
      <c r="F497" s="54"/>
      <c r="G497" s="54"/>
      <c r="H497" s="54"/>
      <c r="I497" s="54"/>
      <c r="J497" s="54"/>
      <c r="K497" s="54"/>
      <c r="L497" s="54"/>
      <c r="M497" s="54"/>
      <c r="N497" s="54"/>
      <c r="O497" s="54"/>
      <c r="P497" s="54"/>
      <c r="Q497" s="54"/>
      <c r="R497" s="54"/>
      <c r="S497" s="54"/>
      <c r="T497" s="54"/>
      <c r="U497" s="54"/>
      <c r="V497" s="54"/>
      <c r="W497" s="54"/>
      <c r="X497" s="54"/>
      <c r="Y497" s="54"/>
      <c r="Z497" s="54"/>
      <c r="AA497" s="223"/>
      <c r="AB497" s="223"/>
      <c r="AC497" s="223"/>
      <c r="AD497" s="223"/>
      <c r="AE497" s="223"/>
      <c r="AF497" s="223"/>
      <c r="AG497" s="223"/>
      <c r="AH497" s="223"/>
      <c r="AI497" s="223"/>
      <c r="AL497" s="61"/>
      <c r="AM497" s="61"/>
      <c r="AN497" s="61"/>
      <c r="AO497" s="61"/>
      <c r="AP497" s="61"/>
      <c r="AQ497" s="61"/>
      <c r="AR497" s="61"/>
      <c r="AS497" s="61"/>
      <c r="AT497" s="61"/>
      <c r="AU497" s="61"/>
      <c r="AV497" s="61"/>
      <c r="AW497" s="61"/>
      <c r="AX497" s="61"/>
      <c r="CA497" s="61"/>
      <c r="CB497" s="61"/>
      <c r="CC497" s="61"/>
    </row>
    <row r="498" spans="1:81" ht="29.25" customHeight="1" x14ac:dyDescent="0.2">
      <c r="A498" s="56"/>
      <c r="B498" s="54"/>
      <c r="C498" s="330"/>
      <c r="D498" s="330"/>
      <c r="E498" s="330"/>
      <c r="F498" s="330"/>
      <c r="G498" s="330"/>
      <c r="H498" s="330"/>
      <c r="I498" s="330"/>
      <c r="J498" s="330"/>
      <c r="K498" s="330"/>
      <c r="L498" s="330"/>
      <c r="M498" s="330"/>
      <c r="N498" s="330"/>
      <c r="O498" s="330"/>
      <c r="P498" s="330" t="s">
        <v>1016</v>
      </c>
      <c r="Q498" s="330"/>
      <c r="R498" s="330"/>
      <c r="S498" s="330"/>
      <c r="T498" s="330"/>
      <c r="U498" s="330"/>
      <c r="V498" s="330"/>
      <c r="W498" s="330"/>
      <c r="X498" s="330"/>
      <c r="Y498" s="330"/>
      <c r="Z498" s="330"/>
      <c r="AA498" s="330"/>
      <c r="AB498" s="330"/>
      <c r="AC498" s="330"/>
      <c r="AD498" s="330"/>
      <c r="AE498" s="330"/>
      <c r="AF498" s="330"/>
      <c r="AG498" s="330"/>
      <c r="AH498" s="330"/>
      <c r="AI498" s="330"/>
      <c r="AL498" s="61"/>
      <c r="AM498" s="61"/>
      <c r="AN498" s="61"/>
      <c r="AO498" s="61"/>
      <c r="AP498" s="61"/>
      <c r="AQ498" s="61"/>
      <c r="AR498" s="61"/>
      <c r="AS498" s="61"/>
      <c r="AT498" s="61"/>
      <c r="AU498" s="61"/>
      <c r="AV498" s="61"/>
      <c r="AW498" s="61"/>
      <c r="AX498" s="61"/>
      <c r="CA498" s="61"/>
      <c r="CB498" s="61"/>
      <c r="CC498" s="61"/>
    </row>
    <row r="499" spans="1:81" ht="15" customHeight="1" x14ac:dyDescent="0.2">
      <c r="A499" s="56"/>
      <c r="B499" s="59"/>
      <c r="C499" s="330"/>
      <c r="D499" s="330"/>
      <c r="E499" s="330"/>
      <c r="F499" s="330"/>
      <c r="G499" s="330"/>
      <c r="H499" s="330"/>
      <c r="I499" s="330"/>
      <c r="J499" s="330"/>
      <c r="K499" s="330"/>
      <c r="L499" s="330"/>
      <c r="M499" s="330"/>
      <c r="N499" s="330"/>
      <c r="O499" s="330"/>
      <c r="P499" s="330" t="s">
        <v>1007</v>
      </c>
      <c r="Q499" s="330"/>
      <c r="R499" s="330"/>
      <c r="S499" s="330"/>
      <c r="T499" s="330"/>
      <c r="U499" s="330"/>
      <c r="V499" s="330"/>
      <c r="W499" s="330"/>
      <c r="X499" s="330"/>
      <c r="Y499" s="330"/>
      <c r="Z499" s="330"/>
      <c r="AA499" s="330"/>
      <c r="AB499" s="330"/>
      <c r="AC499" s="330"/>
      <c r="AD499" s="330"/>
      <c r="AE499" s="330"/>
      <c r="AF499" s="330"/>
      <c r="AG499" s="330"/>
      <c r="AH499" s="330"/>
      <c r="AI499" s="330"/>
      <c r="AL499" s="61"/>
      <c r="AM499" s="61"/>
      <c r="AN499" s="61"/>
      <c r="AO499" s="61"/>
      <c r="AP499" s="61"/>
      <c r="AQ499" s="61"/>
      <c r="AR499" s="61"/>
      <c r="AS499" s="61"/>
      <c r="AT499" s="61"/>
      <c r="AU499" s="61"/>
      <c r="AV499" s="61"/>
      <c r="AW499" s="61"/>
      <c r="AX499" s="61"/>
      <c r="CA499" s="61"/>
      <c r="CB499" s="61"/>
      <c r="CC499" s="61"/>
    </row>
    <row r="500" spans="1:81" ht="29.25" customHeight="1" x14ac:dyDescent="0.2">
      <c r="A500" s="56"/>
      <c r="B500" s="59"/>
      <c r="C500" s="330"/>
      <c r="D500" s="330"/>
      <c r="E500" s="330"/>
      <c r="F500" s="330"/>
      <c r="G500" s="330"/>
      <c r="H500" s="330"/>
      <c r="I500" s="330"/>
      <c r="J500" s="330"/>
      <c r="K500" s="330"/>
      <c r="L500" s="330"/>
      <c r="M500" s="330"/>
      <c r="N500" s="330"/>
      <c r="O500" s="330"/>
      <c r="P500" s="330" t="s">
        <v>1017</v>
      </c>
      <c r="Q500" s="330"/>
      <c r="R500" s="330"/>
      <c r="S500" s="330"/>
      <c r="T500" s="330"/>
      <c r="U500" s="330"/>
      <c r="V500" s="330"/>
      <c r="W500" s="330"/>
      <c r="X500" s="330"/>
      <c r="Y500" s="330"/>
      <c r="Z500" s="330"/>
      <c r="AA500" s="330"/>
      <c r="AB500" s="330"/>
      <c r="AC500" s="330"/>
      <c r="AD500" s="330"/>
      <c r="AE500" s="330"/>
      <c r="AF500" s="330"/>
      <c r="AG500" s="330"/>
      <c r="AH500" s="330"/>
      <c r="AI500" s="330"/>
      <c r="AL500" s="61"/>
      <c r="AM500" s="61"/>
      <c r="AN500" s="61"/>
      <c r="AO500" s="61"/>
      <c r="AP500" s="61"/>
      <c r="AQ500" s="61"/>
      <c r="AR500" s="61"/>
      <c r="AS500" s="61"/>
      <c r="AT500" s="61"/>
      <c r="AU500" s="61"/>
      <c r="AV500" s="61"/>
      <c r="AW500" s="61"/>
      <c r="AX500" s="61"/>
      <c r="CA500" s="61"/>
      <c r="CB500" s="61"/>
      <c r="CC500" s="61"/>
    </row>
    <row r="501" spans="1:81" x14ac:dyDescent="0.2">
      <c r="A501" s="56"/>
      <c r="B501" s="54"/>
      <c r="C501" s="54"/>
      <c r="D501" s="54"/>
      <c r="E501" s="223"/>
      <c r="F501" s="54"/>
      <c r="G501" s="54"/>
      <c r="H501" s="54"/>
      <c r="I501" s="54"/>
      <c r="J501" s="54"/>
      <c r="K501" s="54"/>
      <c r="L501" s="54"/>
      <c r="M501" s="54"/>
      <c r="N501" s="54"/>
      <c r="O501" s="54"/>
      <c r="P501" s="54"/>
      <c r="Q501" s="54"/>
      <c r="R501" s="54"/>
      <c r="S501" s="54"/>
      <c r="T501" s="54"/>
      <c r="U501" s="54"/>
      <c r="V501" s="54"/>
      <c r="W501" s="54"/>
      <c r="X501" s="54"/>
      <c r="Y501" s="54"/>
      <c r="Z501" s="54"/>
      <c r="AA501" s="223"/>
      <c r="AB501" s="223"/>
      <c r="AC501" s="223"/>
      <c r="AD501" s="223"/>
      <c r="AE501" s="223"/>
      <c r="AF501" s="223"/>
      <c r="AG501" s="223"/>
      <c r="AH501" s="223"/>
      <c r="AI501" s="223"/>
      <c r="AL501" s="61"/>
      <c r="AM501" s="61"/>
      <c r="AN501" s="61"/>
      <c r="AO501" s="61"/>
      <c r="AP501" s="61"/>
      <c r="AQ501" s="61"/>
      <c r="AR501" s="61"/>
      <c r="AS501" s="61"/>
      <c r="AT501" s="61"/>
      <c r="AU501" s="61"/>
      <c r="AV501" s="61"/>
      <c r="AW501" s="61"/>
      <c r="AX501" s="61"/>
      <c r="CA501" s="61"/>
      <c r="CB501" s="61"/>
      <c r="CC501" s="61"/>
    </row>
    <row r="502" spans="1:81" x14ac:dyDescent="0.2">
      <c r="A502" s="54"/>
      <c r="B502" s="54"/>
      <c r="C502" s="54"/>
      <c r="D502" s="325" t="s">
        <v>384</v>
      </c>
      <c r="E502" s="325"/>
      <c r="F502" s="325"/>
      <c r="G502" s="325"/>
      <c r="H502" s="325"/>
      <c r="I502" s="325"/>
      <c r="J502" s="325"/>
      <c r="K502" s="325"/>
      <c r="L502" s="325"/>
      <c r="M502" s="325"/>
      <c r="N502" s="325"/>
      <c r="O502" s="325"/>
      <c r="P502" s="325"/>
      <c r="Q502" s="325"/>
      <c r="R502" s="325"/>
      <c r="S502" s="325"/>
      <c r="T502" s="325"/>
      <c r="U502" s="325"/>
      <c r="V502" s="325"/>
      <c r="W502" s="325"/>
      <c r="X502" s="325"/>
      <c r="Y502" s="325"/>
      <c r="Z502" s="325"/>
      <c r="AA502" s="325"/>
      <c r="AB502" s="325"/>
      <c r="AC502" s="325"/>
      <c r="AD502" s="325"/>
      <c r="AE502" s="325"/>
      <c r="AF502" s="325"/>
      <c r="AG502" s="325"/>
      <c r="AH502" s="325"/>
      <c r="AI502" s="325"/>
      <c r="AJ502" s="325"/>
      <c r="AK502" s="174"/>
      <c r="AL502" s="61"/>
      <c r="AM502" s="61"/>
      <c r="AN502" s="61"/>
      <c r="AO502" s="61"/>
      <c r="AP502" s="61"/>
      <c r="AQ502" s="61"/>
      <c r="AR502" s="61"/>
      <c r="AS502" s="61"/>
      <c r="AT502" s="61"/>
      <c r="AU502" s="61"/>
      <c r="AV502" s="61"/>
      <c r="AW502" s="61"/>
      <c r="AX502" s="61"/>
      <c r="CA502" s="61"/>
      <c r="CB502" s="61"/>
      <c r="CC502" s="61"/>
    </row>
    <row r="503" spans="1:81" x14ac:dyDescent="0.2">
      <c r="A503" s="54"/>
      <c r="B503" s="54"/>
      <c r="C503" s="54"/>
      <c r="D503" s="54"/>
      <c r="E503" s="54"/>
      <c r="F503" s="54"/>
      <c r="G503" s="54"/>
      <c r="H503" s="54"/>
      <c r="I503" s="54"/>
      <c r="J503" s="54"/>
      <c r="K503" s="54"/>
      <c r="L503" s="54"/>
      <c r="M503" s="54"/>
      <c r="N503" s="54"/>
      <c r="O503" s="54"/>
      <c r="P503" s="54"/>
      <c r="Q503" s="54"/>
      <c r="R503" s="54"/>
      <c r="S503" s="54"/>
      <c r="T503" s="54"/>
      <c r="U503" s="54"/>
      <c r="V503" s="54"/>
      <c r="W503" s="54"/>
      <c r="X503" s="54"/>
      <c r="Y503" s="54"/>
      <c r="Z503" s="54"/>
      <c r="AA503" s="223"/>
      <c r="AB503" s="223"/>
      <c r="AC503" s="223"/>
      <c r="AD503" s="223"/>
      <c r="AE503" s="223"/>
      <c r="AF503" s="223"/>
      <c r="AG503" s="223"/>
      <c r="AH503" s="223"/>
      <c r="AI503" s="223"/>
      <c r="AL503" s="61"/>
      <c r="AM503" s="61"/>
      <c r="AN503" s="61"/>
      <c r="AO503" s="61"/>
      <c r="AP503" s="61"/>
      <c r="AQ503" s="61"/>
      <c r="AR503" s="61"/>
      <c r="AS503" s="61"/>
      <c r="AT503" s="61"/>
      <c r="AU503" s="61"/>
      <c r="AV503" s="61"/>
      <c r="AW503" s="61"/>
      <c r="AX503" s="61"/>
      <c r="CA503" s="61"/>
      <c r="CB503" s="61"/>
      <c r="CC503" s="61"/>
    </row>
    <row r="504" spans="1:81" ht="12.75" customHeight="1" x14ac:dyDescent="0.2">
      <c r="A504" s="54"/>
      <c r="B504" s="280" t="s">
        <v>517</v>
      </c>
      <c r="C504" s="280"/>
      <c r="D504" s="280"/>
      <c r="E504" s="280"/>
      <c r="F504" s="280"/>
      <c r="G504" s="280" t="s">
        <v>486</v>
      </c>
      <c r="H504" s="280"/>
      <c r="I504" s="280" t="s">
        <v>379</v>
      </c>
      <c r="J504" s="280"/>
      <c r="K504" s="280" t="s">
        <v>538</v>
      </c>
      <c r="L504" s="280"/>
      <c r="M504" s="280"/>
      <c r="N504" s="280"/>
      <c r="O504" s="280"/>
      <c r="P504" s="280" t="s">
        <v>450</v>
      </c>
      <c r="Q504" s="280"/>
      <c r="R504" s="280"/>
      <c r="S504" s="280"/>
      <c r="T504" s="280"/>
      <c r="U504" s="280" t="s">
        <v>447</v>
      </c>
      <c r="V504" s="280"/>
      <c r="W504" s="280"/>
      <c r="X504" s="280"/>
      <c r="Y504" s="280"/>
      <c r="Z504" s="280" t="s">
        <v>540</v>
      </c>
      <c r="AA504" s="280"/>
      <c r="AB504" s="280"/>
      <c r="AC504" s="280"/>
      <c r="AD504" s="280"/>
      <c r="AE504" s="280" t="s">
        <v>541</v>
      </c>
      <c r="AF504" s="280"/>
      <c r="AG504" s="280"/>
      <c r="AH504" s="280"/>
      <c r="AI504" s="280"/>
      <c r="AJ504" s="221"/>
      <c r="AK504" s="182"/>
      <c r="AL504" s="61"/>
      <c r="AM504" s="61"/>
      <c r="AN504" s="61"/>
      <c r="AO504" s="61"/>
      <c r="AP504" s="61"/>
      <c r="AQ504" s="61"/>
      <c r="AR504" s="61"/>
      <c r="AS504" s="61"/>
      <c r="AT504" s="61"/>
      <c r="AU504" s="61"/>
      <c r="AV504" s="61"/>
      <c r="AW504" s="61"/>
      <c r="AX504" s="61"/>
      <c r="CA504" s="61"/>
      <c r="CB504" s="61"/>
      <c r="CC504" s="61"/>
    </row>
    <row r="505" spans="1:81" ht="13.5" customHeight="1" x14ac:dyDescent="0.2">
      <c r="A505" s="54"/>
      <c r="B505" s="305">
        <f>IF($O$61="Embebido",MIN(68.947572932,$Z$97),IF($O$61="Postinstalado",MIN(55.158058345,$Z$97),"-"))</f>
        <v>55.158058345000001</v>
      </c>
      <c r="C505" s="305"/>
      <c r="D505" s="305"/>
      <c r="E505" s="305"/>
      <c r="F505" s="305"/>
      <c r="G505" s="282">
        <f>IF(O$61="Embebido",1,1)*Z$103</f>
        <v>1</v>
      </c>
      <c r="H505" s="282"/>
      <c r="I505" s="282"/>
      <c r="J505" s="282"/>
      <c r="K505" s="316">
        <f>$Z$66</f>
        <v>25.4</v>
      </c>
      <c r="L505" s="316"/>
      <c r="M505" s="316"/>
      <c r="N505" s="316"/>
      <c r="O505" s="316"/>
      <c r="P505" s="316">
        <f>$Z$68</f>
        <v>450</v>
      </c>
      <c r="Q505" s="316"/>
      <c r="R505" s="316"/>
      <c r="S505" s="316"/>
      <c r="T505" s="316"/>
      <c r="U505" s="316">
        <f>MIN(Z$73:Z$74)</f>
        <v>250</v>
      </c>
      <c r="V505" s="316"/>
      <c r="W505" s="316"/>
      <c r="X505" s="316"/>
      <c r="Y505" s="316"/>
      <c r="Z505" s="316">
        <f>$Z$75</f>
        <v>100</v>
      </c>
      <c r="AA505" s="316"/>
      <c r="AB505" s="316"/>
      <c r="AC505" s="316"/>
      <c r="AD505" s="316"/>
      <c r="AE505" s="316">
        <f>$Z$76</f>
        <v>100</v>
      </c>
      <c r="AF505" s="316"/>
      <c r="AG505" s="316"/>
      <c r="AH505" s="316"/>
      <c r="AI505" s="316"/>
      <c r="AL505" s="61"/>
      <c r="AM505" s="61"/>
      <c r="AN505" s="61"/>
      <c r="AO505" s="61"/>
      <c r="AP505" s="61"/>
      <c r="AQ505" s="61"/>
      <c r="AR505" s="61"/>
      <c r="AS505" s="61"/>
      <c r="AT505" s="61"/>
      <c r="AU505" s="61"/>
      <c r="AV505" s="61"/>
      <c r="AW505" s="61"/>
      <c r="AX505" s="61"/>
      <c r="CA505" s="61"/>
      <c r="CB505" s="61"/>
      <c r="CC505" s="61"/>
    </row>
    <row r="506" spans="1:81" x14ac:dyDescent="0.2">
      <c r="A506" s="54"/>
      <c r="B506" s="54"/>
      <c r="C506" s="54"/>
      <c r="D506" s="54"/>
      <c r="E506" s="54"/>
      <c r="F506" s="54"/>
      <c r="G506" s="54"/>
      <c r="H506" s="54"/>
      <c r="I506" s="54"/>
      <c r="J506" s="54"/>
      <c r="K506" s="54"/>
      <c r="L506" s="54"/>
      <c r="M506" s="54"/>
      <c r="N506" s="54"/>
      <c r="O506" s="54"/>
      <c r="P506" s="54"/>
      <c r="Q506" s="54"/>
      <c r="R506" s="54"/>
      <c r="S506" s="54"/>
      <c r="T506" s="54"/>
      <c r="U506" s="54"/>
      <c r="V506" s="54"/>
      <c r="W506" s="54"/>
      <c r="X506" s="54"/>
      <c r="Y506" s="54"/>
      <c r="Z506" s="54"/>
      <c r="AA506" s="223"/>
      <c r="AB506" s="223"/>
      <c r="AC506" s="223"/>
      <c r="AD506" s="223"/>
      <c r="AE506" s="223"/>
      <c r="AF506" s="223"/>
      <c r="AG506" s="223"/>
      <c r="AH506" s="223"/>
      <c r="AI506" s="223"/>
      <c r="AL506" s="61"/>
      <c r="AM506" s="61"/>
      <c r="AN506" s="61"/>
      <c r="AO506" s="61"/>
      <c r="AP506" s="61"/>
      <c r="AQ506" s="61"/>
      <c r="AR506" s="61"/>
      <c r="AS506" s="61"/>
      <c r="AT506" s="61"/>
      <c r="AU506" s="61"/>
      <c r="AV506" s="61"/>
      <c r="AW506" s="61"/>
      <c r="AX506" s="61"/>
      <c r="CA506" s="61"/>
      <c r="CB506" s="61"/>
      <c r="CC506" s="61"/>
    </row>
    <row r="507" spans="1:81" x14ac:dyDescent="0.2">
      <c r="A507" s="54"/>
      <c r="B507" s="54"/>
      <c r="C507" s="54"/>
      <c r="D507" s="325" t="s">
        <v>385</v>
      </c>
      <c r="E507" s="325"/>
      <c r="F507" s="325"/>
      <c r="G507" s="325"/>
      <c r="H507" s="325"/>
      <c r="I507" s="325"/>
      <c r="J507" s="325"/>
      <c r="K507" s="325"/>
      <c r="L507" s="325"/>
      <c r="M507" s="325"/>
      <c r="N507" s="325"/>
      <c r="O507" s="325"/>
      <c r="P507" s="325"/>
      <c r="Q507" s="325"/>
      <c r="R507" s="325"/>
      <c r="S507" s="325"/>
      <c r="T507" s="325"/>
      <c r="U507" s="325"/>
      <c r="V507" s="325"/>
      <c r="W507" s="325"/>
      <c r="X507" s="325"/>
      <c r="Y507" s="325"/>
      <c r="Z507" s="325"/>
      <c r="AA507" s="325"/>
      <c r="AB507" s="325"/>
      <c r="AC507" s="325"/>
      <c r="AD507" s="325"/>
      <c r="AE507" s="325"/>
      <c r="AF507" s="325"/>
      <c r="AG507" s="325"/>
      <c r="AH507" s="325"/>
      <c r="AI507" s="325"/>
      <c r="AJ507" s="325"/>
      <c r="AK507" s="174"/>
      <c r="AL507" s="61"/>
      <c r="AM507" s="61"/>
      <c r="AN507" s="61"/>
      <c r="AO507" s="61"/>
      <c r="AP507" s="61"/>
      <c r="AQ507" s="61"/>
      <c r="AR507" s="61"/>
      <c r="AS507" s="61"/>
      <c r="AT507" s="61"/>
      <c r="AU507" s="61"/>
      <c r="AV507" s="61"/>
      <c r="AW507" s="61"/>
      <c r="AX507" s="61"/>
      <c r="CA507" s="61"/>
      <c r="CB507" s="61"/>
      <c r="CC507" s="61"/>
    </row>
    <row r="508" spans="1:81" x14ac:dyDescent="0.2">
      <c r="A508" s="54"/>
      <c r="B508" s="54"/>
      <c r="C508" s="54"/>
      <c r="D508" s="54"/>
      <c r="E508" s="54"/>
      <c r="F508" s="54"/>
      <c r="G508" s="54"/>
      <c r="H508" s="54"/>
      <c r="I508" s="54"/>
      <c r="J508" s="54"/>
      <c r="K508" s="54"/>
      <c r="L508" s="54"/>
      <c r="M508" s="54"/>
      <c r="N508" s="54"/>
      <c r="O508" s="54"/>
      <c r="P508" s="54"/>
      <c r="Q508" s="54"/>
      <c r="R508" s="54"/>
      <c r="S508" s="54"/>
      <c r="T508" s="54"/>
      <c r="U508" s="54"/>
      <c r="V508" s="54"/>
      <c r="W508" s="54"/>
      <c r="X508" s="54"/>
      <c r="Y508" s="54"/>
      <c r="Z508" s="54"/>
      <c r="AA508" s="223"/>
      <c r="AB508" s="223"/>
      <c r="AC508" s="223"/>
      <c r="AD508" s="223"/>
      <c r="AE508" s="223"/>
      <c r="AF508" s="223"/>
      <c r="AG508" s="223"/>
      <c r="AH508" s="223"/>
      <c r="AI508" s="223"/>
      <c r="AL508" s="61"/>
      <c r="AM508" s="61"/>
      <c r="AN508" s="61"/>
      <c r="AO508" s="61"/>
      <c r="AP508" s="61"/>
      <c r="AQ508" s="61"/>
      <c r="AR508" s="61"/>
      <c r="AS508" s="61"/>
      <c r="AT508" s="61"/>
      <c r="AU508" s="61"/>
      <c r="AV508" s="61"/>
      <c r="AW508" s="61"/>
      <c r="AX508" s="61"/>
      <c r="CA508" s="61"/>
      <c r="CB508" s="61"/>
      <c r="CC508" s="61"/>
    </row>
    <row r="509" spans="1:81" ht="14.25" customHeight="1" x14ac:dyDescent="0.2">
      <c r="A509" s="54"/>
      <c r="B509" s="322" t="s">
        <v>410</v>
      </c>
      <c r="C509" s="322"/>
      <c r="D509" s="322"/>
      <c r="E509" s="322"/>
      <c r="F509" s="322"/>
      <c r="G509" s="322"/>
      <c r="H509" s="322"/>
      <c r="I509" s="280" t="s">
        <v>565</v>
      </c>
      <c r="J509" s="280"/>
      <c r="K509" s="280"/>
      <c r="L509" s="280"/>
      <c r="M509" s="280"/>
      <c r="N509" s="280" t="s">
        <v>566</v>
      </c>
      <c r="O509" s="280"/>
      <c r="P509" s="280"/>
      <c r="Q509" s="280"/>
      <c r="R509" s="280"/>
      <c r="S509" s="223"/>
      <c r="T509" s="223"/>
      <c r="U509" s="223"/>
      <c r="V509" s="223"/>
      <c r="W509" s="223"/>
      <c r="X509" s="223"/>
      <c r="Y509" s="223"/>
      <c r="Z509" s="223"/>
      <c r="AA509" s="223"/>
      <c r="AB509" s="223"/>
      <c r="AC509" s="223"/>
      <c r="AD509" s="223"/>
      <c r="AE509" s="223"/>
      <c r="AF509" s="223"/>
      <c r="AG509" s="223"/>
      <c r="AH509" s="223"/>
      <c r="AI509" s="223"/>
      <c r="CA509" s="61"/>
      <c r="CB509" s="61"/>
      <c r="CC509" s="61"/>
    </row>
    <row r="510" spans="1:81" x14ac:dyDescent="0.2">
      <c r="A510" s="54"/>
      <c r="B510" s="282" t="str">
        <f>IFERROR(  IF($O$61="Embebido",
                         IF( AND(B$378="Grupo",$P$505&gt;2.5*$Z$505,$U$505&lt;6*$Z$505),
                                   1+($U$505/(6*$Z$505)),
                                   IF(AND($B$378="Grupo",$P$505&gt;2.5*$AE$505,$U$505&lt;6*$AE$505),
                                                 1+($U$505/(6*$AE$505)),
                                                 1
                                       )
                             ),"-"),"-")</f>
        <v>-</v>
      </c>
      <c r="C510" s="282"/>
      <c r="D510" s="282"/>
      <c r="E510" s="282"/>
      <c r="F510" s="282"/>
      <c r="G510" s="282"/>
      <c r="H510" s="282"/>
      <c r="I510" s="305" t="str">
        <f>IFERROR( IF($O$61="Embebido", IF($Z$76&lt;(3*$Z$75),(1+MAX(1,MIN(3,($Z$76/$Z$75))))/4,1)*(13*MIN($Z$505:$AI$505)*((4*PI()*($K$505^2)/4)^0.5)*$G$505*($B$505^0.5))/1000,"-"),"-")</f>
        <v>-</v>
      </c>
      <c r="J510" s="305"/>
      <c r="K510" s="305"/>
      <c r="L510" s="305"/>
      <c r="M510" s="305"/>
      <c r="N510" s="305" t="str">
        <f>IFERROR( IF($O$61="Embebido", IF($B$378="grupo",B$510*I$510,"-"),"-"),"-" )</f>
        <v>-</v>
      </c>
      <c r="O510" s="305"/>
      <c r="P510" s="305"/>
      <c r="Q510" s="305"/>
      <c r="R510" s="305"/>
      <c r="S510" s="223"/>
      <c r="T510" s="223"/>
      <c r="U510" s="223"/>
      <c r="V510" s="223"/>
      <c r="W510" s="223"/>
      <c r="X510" s="223"/>
      <c r="Y510" s="223"/>
      <c r="Z510" s="223"/>
      <c r="AA510" s="223"/>
      <c r="AB510" s="223"/>
      <c r="AC510" s="223"/>
      <c r="AD510" s="223"/>
      <c r="AE510" s="223"/>
      <c r="AF510" s="223"/>
      <c r="AG510" s="223"/>
      <c r="AH510" s="223"/>
      <c r="AI510" s="223"/>
    </row>
    <row r="511" spans="1:81" x14ac:dyDescent="0.2">
      <c r="A511" s="54"/>
      <c r="B511" s="54"/>
      <c r="C511" s="54"/>
      <c r="D511" s="54"/>
      <c r="E511" s="54"/>
      <c r="F511" s="54"/>
      <c r="G511" s="54"/>
      <c r="H511" s="54"/>
      <c r="I511" s="54"/>
      <c r="J511" s="54"/>
      <c r="K511" s="54"/>
      <c r="L511" s="54"/>
      <c r="M511" s="54"/>
      <c r="N511" s="54"/>
      <c r="O511" s="54"/>
      <c r="P511" s="54"/>
      <c r="Q511" s="54"/>
      <c r="R511" s="54"/>
      <c r="S511" s="54"/>
      <c r="T511" s="54"/>
      <c r="U511" s="54"/>
      <c r="V511" s="54"/>
      <c r="W511" s="54"/>
      <c r="X511" s="54"/>
      <c r="Y511" s="54"/>
      <c r="Z511" s="54"/>
      <c r="AA511" s="223"/>
      <c r="AB511" s="223"/>
      <c r="AC511" s="223"/>
      <c r="AD511" s="223"/>
      <c r="AE511" s="223"/>
      <c r="AF511" s="223"/>
      <c r="AG511" s="223"/>
      <c r="AH511" s="223"/>
      <c r="AI511" s="223"/>
    </row>
    <row r="512" spans="1:81" x14ac:dyDescent="0.2">
      <c r="A512" s="54"/>
      <c r="B512" s="54"/>
      <c r="C512" s="54"/>
      <c r="D512" s="325" t="s">
        <v>386</v>
      </c>
      <c r="E512" s="325"/>
      <c r="F512" s="325"/>
      <c r="G512" s="325"/>
      <c r="H512" s="325"/>
      <c r="I512" s="325"/>
      <c r="J512" s="325"/>
      <c r="K512" s="325"/>
      <c r="L512" s="325"/>
      <c r="M512" s="325"/>
      <c r="N512" s="325"/>
      <c r="O512" s="325"/>
      <c r="P512" s="325"/>
      <c r="Q512" s="325"/>
      <c r="R512" s="325"/>
      <c r="S512" s="325"/>
      <c r="T512" s="325"/>
      <c r="U512" s="325"/>
      <c r="V512" s="325"/>
      <c r="W512" s="325"/>
      <c r="X512" s="325"/>
      <c r="Y512" s="325"/>
      <c r="Z512" s="325"/>
      <c r="AA512" s="325"/>
      <c r="AB512" s="325"/>
      <c r="AC512" s="325"/>
      <c r="AD512" s="325"/>
      <c r="AE512" s="325"/>
      <c r="AF512" s="325"/>
      <c r="AG512" s="325"/>
      <c r="AH512" s="325"/>
      <c r="AI512" s="325"/>
      <c r="AJ512" s="325"/>
      <c r="AK512" s="174"/>
    </row>
    <row r="513" spans="1:86" x14ac:dyDescent="0.2">
      <c r="A513" s="54"/>
      <c r="B513" s="54"/>
      <c r="C513" s="54"/>
      <c r="D513" s="54"/>
      <c r="E513" s="54"/>
      <c r="F513" s="54"/>
      <c r="G513" s="54"/>
      <c r="H513" s="54"/>
      <c r="I513" s="54"/>
      <c r="J513" s="54"/>
      <c r="K513" s="54"/>
      <c r="L513" s="54"/>
      <c r="M513" s="54"/>
      <c r="N513" s="54"/>
      <c r="O513" s="54"/>
      <c r="P513" s="54"/>
      <c r="Q513" s="54"/>
      <c r="R513" s="54"/>
      <c r="S513" s="54"/>
      <c r="T513" s="54"/>
      <c r="U513" s="54"/>
      <c r="V513" s="54"/>
      <c r="W513" s="54"/>
      <c r="X513" s="54"/>
      <c r="Y513" s="54"/>
      <c r="Z513" s="54"/>
      <c r="AA513" s="223"/>
      <c r="AB513" s="223"/>
      <c r="AC513" s="223"/>
      <c r="AD513" s="223"/>
      <c r="AE513" s="223"/>
      <c r="AF513" s="223"/>
      <c r="AG513" s="223"/>
      <c r="AH513" s="223"/>
      <c r="AI513" s="223"/>
    </row>
    <row r="514" spans="1:86" ht="14.25" customHeight="1" x14ac:dyDescent="0.2">
      <c r="A514" s="54"/>
      <c r="B514" s="322" t="s">
        <v>577</v>
      </c>
      <c r="C514" s="280"/>
      <c r="D514" s="280"/>
      <c r="E514" s="280"/>
      <c r="F514" s="280"/>
      <c r="G514" s="280" t="s">
        <v>471</v>
      </c>
      <c r="H514" s="280"/>
      <c r="I514" s="280"/>
      <c r="J514" s="280"/>
      <c r="K514" s="280"/>
      <c r="L514" s="280" t="s">
        <v>578</v>
      </c>
      <c r="M514" s="280"/>
      <c r="N514" s="280"/>
      <c r="O514" s="280"/>
      <c r="P514" s="280"/>
      <c r="Q514" s="322" t="s">
        <v>460</v>
      </c>
      <c r="R514" s="280"/>
      <c r="S514" s="280"/>
      <c r="T514" s="280"/>
      <c r="U514" s="280"/>
      <c r="V514" s="280" t="s">
        <v>909</v>
      </c>
      <c r="W514" s="280"/>
      <c r="X514" s="280"/>
      <c r="Y514" s="280"/>
      <c r="Z514" s="280"/>
      <c r="AA514" s="496" t="s">
        <v>1003</v>
      </c>
      <c r="AB514" s="496"/>
      <c r="AC514" s="496"/>
      <c r="AD514" s="496"/>
      <c r="AE514" s="496"/>
      <c r="AF514" s="223"/>
      <c r="AG514" s="223"/>
      <c r="AH514" s="223"/>
      <c r="AI514" s="223"/>
    </row>
    <row r="515" spans="1:86" ht="12.75" customHeight="1" x14ac:dyDescent="0.2">
      <c r="A515" s="54"/>
      <c r="B515" s="305" t="str">
        <f>IF($O$61="Embebido",IF(N510="-","-",N510),"-")</f>
        <v>-</v>
      </c>
      <c r="C515" s="305"/>
      <c r="D515" s="305"/>
      <c r="E515" s="305"/>
      <c r="F515" s="305"/>
      <c r="G515" s="282" t="str">
        <f>IF($B$515="-","-",IFERROR(IF($O$61="Embebido",IF($Z$101="A",0.75,0.7),IF($Z$101="A",IF($Z$90="Baja",0.75,IF($Z$90="Moderada",0.65,0.55)),IF($Z$90="Baja",0.65,IF($Z$90="Moderada",0.55,0.45)))),"-"))</f>
        <v>-</v>
      </c>
      <c r="H515" s="282"/>
      <c r="I515" s="282"/>
      <c r="J515" s="282"/>
      <c r="K515" s="282"/>
      <c r="L515" s="305" t="str">
        <f>IF($B515="-","-",$B515*$G515)</f>
        <v>-</v>
      </c>
      <c r="M515" s="305"/>
      <c r="N515" s="305"/>
      <c r="O515" s="305"/>
      <c r="P515" s="305"/>
      <c r="Q515" s="305" t="str">
        <f>IF($B$515="-","-",$L$185)</f>
        <v>-</v>
      </c>
      <c r="R515" s="305"/>
      <c r="S515" s="305"/>
      <c r="T515" s="305"/>
      <c r="U515" s="305"/>
      <c r="V515" s="305" t="str">
        <f>IFERROR(100*$Q515/($L515/$AA515),"-")</f>
        <v>-</v>
      </c>
      <c r="W515" s="305"/>
      <c r="X515" s="305"/>
      <c r="Y515" s="305"/>
      <c r="Z515" s="305"/>
      <c r="AA515" s="282">
        <f>IFERROR($L$176,1)</f>
        <v>1</v>
      </c>
      <c r="AB515" s="282"/>
      <c r="AC515" s="282"/>
      <c r="AD515" s="282"/>
      <c r="AE515" s="282"/>
      <c r="AF515" s="223"/>
      <c r="AG515" s="223"/>
      <c r="AH515" s="223"/>
      <c r="AI515" s="223"/>
      <c r="AX515" s="59"/>
    </row>
    <row r="516" spans="1:86" ht="13.5" customHeight="1" x14ac:dyDescent="0.2">
      <c r="A516" s="54"/>
      <c r="B516" s="54"/>
      <c r="C516" s="54"/>
      <c r="D516" s="54"/>
      <c r="E516" s="54"/>
      <c r="F516" s="54"/>
      <c r="G516" s="54"/>
      <c r="H516" s="54"/>
      <c r="I516" s="54"/>
      <c r="J516" s="54"/>
      <c r="K516" s="54"/>
      <c r="L516" s="54"/>
      <c r="M516" s="54"/>
      <c r="N516" s="54"/>
      <c r="O516" s="54"/>
      <c r="P516" s="54"/>
      <c r="Q516" s="54"/>
      <c r="R516" s="54"/>
      <c r="S516" s="54"/>
      <c r="T516" s="54"/>
      <c r="U516" s="54"/>
      <c r="V516" s="54"/>
      <c r="W516" s="54"/>
      <c r="X516" s="54"/>
      <c r="Y516" s="54"/>
      <c r="Z516" s="54"/>
      <c r="AA516" s="223"/>
      <c r="AB516" s="223"/>
      <c r="AC516" s="223"/>
      <c r="AD516" s="223"/>
      <c r="AE516" s="223"/>
      <c r="AF516" s="223"/>
      <c r="AG516" s="223"/>
      <c r="AH516" s="223"/>
      <c r="AI516" s="223"/>
    </row>
    <row r="517" spans="1:86" x14ac:dyDescent="0.2">
      <c r="A517" s="54"/>
      <c r="B517" s="54"/>
      <c r="C517" s="54"/>
      <c r="D517" s="54"/>
      <c r="E517" s="54"/>
      <c r="F517" s="54"/>
      <c r="G517" s="54"/>
      <c r="H517" s="54"/>
      <c r="I517" s="54"/>
      <c r="J517" s="54"/>
      <c r="K517" s="54"/>
      <c r="L517" s="54"/>
      <c r="M517" s="54"/>
      <c r="N517" s="54"/>
      <c r="O517" s="54"/>
      <c r="P517" s="54"/>
      <c r="Q517" s="54"/>
      <c r="R517" s="54"/>
      <c r="S517" s="54"/>
      <c r="T517" s="54"/>
      <c r="U517" s="54"/>
      <c r="V517" s="54"/>
      <c r="W517" s="54"/>
      <c r="X517" s="54"/>
      <c r="Y517" s="54"/>
      <c r="Z517" s="54"/>
      <c r="AA517" s="223"/>
      <c r="AB517" s="223"/>
      <c r="AC517" s="223"/>
      <c r="AD517" s="223"/>
      <c r="AE517" s="223"/>
      <c r="AF517" s="223"/>
      <c r="AG517" s="223"/>
      <c r="AH517" s="223"/>
      <c r="AI517" s="223"/>
    </row>
    <row r="518" spans="1:86" ht="15" x14ac:dyDescent="0.2">
      <c r="A518" s="54"/>
      <c r="B518" s="248" t="s">
        <v>996</v>
      </c>
      <c r="C518" s="248"/>
      <c r="D518" s="248"/>
      <c r="E518" s="248"/>
      <c r="F518" s="248"/>
      <c r="G518" s="248"/>
      <c r="H518" s="248"/>
      <c r="I518" s="248"/>
      <c r="J518" s="248"/>
      <c r="K518" s="248"/>
      <c r="L518" s="248"/>
      <c r="M518" s="248"/>
      <c r="N518" s="248"/>
      <c r="O518" s="248"/>
      <c r="P518" s="248"/>
      <c r="Q518" s="248"/>
      <c r="R518" s="248"/>
      <c r="S518" s="248"/>
      <c r="T518" s="248"/>
      <c r="U518" s="248"/>
      <c r="V518" s="248"/>
      <c r="W518" s="248"/>
      <c r="X518" s="248"/>
      <c r="Y518" s="248"/>
      <c r="Z518" s="248"/>
      <c r="AA518" s="248"/>
      <c r="AB518" s="248"/>
      <c r="AC518" s="248"/>
      <c r="AD518" s="248"/>
      <c r="AE518" s="248"/>
      <c r="AF518" s="248"/>
      <c r="AG518" s="248"/>
      <c r="AH518" s="248"/>
      <c r="AI518" s="248"/>
      <c r="AJ518" s="248"/>
      <c r="AK518" s="176"/>
    </row>
    <row r="519" spans="1:86" ht="12.75" customHeight="1" x14ac:dyDescent="0.2">
      <c r="A519" s="54"/>
      <c r="B519" s="54"/>
      <c r="C519" s="54"/>
      <c r="D519" s="54"/>
      <c r="E519" s="54"/>
      <c r="F519" s="54"/>
      <c r="G519" s="54"/>
      <c r="H519" s="54"/>
      <c r="I519" s="54"/>
      <c r="J519" s="54"/>
      <c r="K519" s="54"/>
      <c r="L519" s="54"/>
      <c r="M519" s="54"/>
      <c r="N519" s="54"/>
      <c r="O519" s="54"/>
      <c r="P519" s="54"/>
      <c r="Q519" s="54"/>
      <c r="R519" s="54"/>
      <c r="S519" s="54"/>
      <c r="T519" s="54"/>
      <c r="U519" s="54"/>
      <c r="V519" s="54"/>
      <c r="W519" s="54"/>
      <c r="X519" s="54"/>
      <c r="Y519" s="54"/>
      <c r="Z519" s="54"/>
      <c r="AA519" s="223"/>
      <c r="AB519" s="223"/>
      <c r="AC519" s="223"/>
      <c r="AD519" s="223"/>
      <c r="AE519" s="223"/>
      <c r="AF519" s="223"/>
      <c r="AG519" s="223"/>
      <c r="AH519" s="223"/>
      <c r="AI519" s="223"/>
    </row>
    <row r="520" spans="1:86" ht="13.5" customHeight="1" x14ac:dyDescent="0.2">
      <c r="A520" s="54"/>
      <c r="B520" s="481"/>
      <c r="C520" s="481"/>
      <c r="D520" s="481"/>
      <c r="E520" s="481"/>
      <c r="F520" s="481"/>
      <c r="G520" s="481"/>
      <c r="H520" s="481"/>
      <c r="I520" s="481"/>
      <c r="J520" s="481"/>
      <c r="K520" s="481"/>
      <c r="L520" s="481"/>
      <c r="M520" s="492" t="s">
        <v>389</v>
      </c>
      <c r="N520" s="492"/>
      <c r="O520" s="492"/>
      <c r="P520" s="492"/>
      <c r="Q520" s="492"/>
      <c r="R520" s="492"/>
      <c r="S520" s="492" t="s">
        <v>388</v>
      </c>
      <c r="T520" s="492"/>
      <c r="U520" s="492"/>
      <c r="V520" s="492"/>
      <c r="W520" s="492"/>
      <c r="X520" s="492"/>
      <c r="Y520" s="492" t="s">
        <v>387</v>
      </c>
      <c r="Z520" s="492"/>
      <c r="AA520" s="492"/>
      <c r="AB520" s="492"/>
      <c r="AC520" s="492"/>
      <c r="AD520" s="492"/>
      <c r="AE520" s="492"/>
      <c r="AF520" s="492" t="s">
        <v>850</v>
      </c>
      <c r="AG520" s="492"/>
      <c r="AH520" s="492"/>
      <c r="AI520" s="492"/>
      <c r="AJ520" s="221"/>
      <c r="AK520" s="182"/>
    </row>
    <row r="521" spans="1:86" ht="15" thickBot="1" x14ac:dyDescent="0.25">
      <c r="A521" s="54"/>
      <c r="B521" s="482"/>
      <c r="C521" s="482"/>
      <c r="D521" s="482"/>
      <c r="E521" s="482"/>
      <c r="F521" s="482"/>
      <c r="G521" s="482"/>
      <c r="H521" s="482"/>
      <c r="I521" s="482"/>
      <c r="J521" s="482"/>
      <c r="K521" s="482"/>
      <c r="L521" s="482"/>
      <c r="M521" s="493"/>
      <c r="N521" s="493"/>
      <c r="O521" s="493"/>
      <c r="P521" s="493"/>
      <c r="Q521" s="493"/>
      <c r="R521" s="493"/>
      <c r="S521" s="493"/>
      <c r="T521" s="493"/>
      <c r="U521" s="493"/>
      <c r="V521" s="493"/>
      <c r="W521" s="493"/>
      <c r="X521" s="493"/>
      <c r="Y521" s="493"/>
      <c r="Z521" s="493"/>
      <c r="AA521" s="493"/>
      <c r="AB521" s="493"/>
      <c r="AC521" s="493"/>
      <c r="AD521" s="493"/>
      <c r="AE521" s="493"/>
      <c r="AF521" s="493"/>
      <c r="AG521" s="493"/>
      <c r="AH521" s="493"/>
      <c r="AI521" s="493"/>
      <c r="AJ521" s="221"/>
      <c r="AK521" s="182"/>
    </row>
    <row r="522" spans="1:86" ht="15" customHeight="1" x14ac:dyDescent="0.2">
      <c r="A522" s="54"/>
      <c r="B522" s="366" t="s">
        <v>524</v>
      </c>
      <c r="C522" s="367"/>
      <c r="D522" s="367"/>
      <c r="E522" s="367"/>
      <c r="F522" s="367"/>
      <c r="G522" s="367"/>
      <c r="H522" s="367"/>
      <c r="I522" s="367"/>
      <c r="J522" s="367"/>
      <c r="K522" s="367"/>
      <c r="L522" s="367"/>
      <c r="M522" s="368">
        <f>Q547</f>
        <v>9.017344398435716</v>
      </c>
      <c r="N522" s="368"/>
      <c r="O522" s="368"/>
      <c r="P522" s="368"/>
      <c r="Q522" s="368"/>
      <c r="R522" s="368"/>
      <c r="S522" s="368">
        <f>L547</f>
        <v>0</v>
      </c>
      <c r="T522" s="368"/>
      <c r="U522" s="368"/>
      <c r="V522" s="368"/>
      <c r="W522" s="368"/>
      <c r="X522" s="368"/>
      <c r="Y522" s="494" t="str">
        <f>V547</f>
        <v>-</v>
      </c>
      <c r="Z522" s="494"/>
      <c r="AA522" s="494"/>
      <c r="AB522" s="494"/>
      <c r="AC522" s="494"/>
      <c r="AD522" s="494"/>
      <c r="AE522" s="494"/>
      <c r="AF522" s="360" t="str">
        <f>IF(OR(Y522="",Y522="-"),"-",IF(Y522&lt;=100,"OK","N/A"))</f>
        <v>-</v>
      </c>
      <c r="AG522" s="360"/>
      <c r="AH522" s="360"/>
      <c r="AI522" s="360"/>
    </row>
    <row r="523" spans="1:86" ht="14.25" customHeight="1" x14ac:dyDescent="0.2">
      <c r="A523" s="54"/>
      <c r="B523" s="296" t="s">
        <v>552</v>
      </c>
      <c r="C523" s="354"/>
      <c r="D523" s="354"/>
      <c r="E523" s="354"/>
      <c r="F523" s="354"/>
      <c r="G523" s="354"/>
      <c r="H523" s="354"/>
      <c r="I523" s="354"/>
      <c r="J523" s="354"/>
      <c r="K523" s="354"/>
      <c r="L523" s="354"/>
      <c r="M523" s="355" t="str">
        <f>Q573</f>
        <v>-</v>
      </c>
      <c r="N523" s="355"/>
      <c r="O523" s="355"/>
      <c r="P523" s="355"/>
      <c r="Q523" s="355"/>
      <c r="R523" s="355"/>
      <c r="S523" s="355" t="str">
        <f>L573</f>
        <v>-</v>
      </c>
      <c r="T523" s="355"/>
      <c r="U523" s="355"/>
      <c r="V523" s="355"/>
      <c r="W523" s="355"/>
      <c r="X523" s="355"/>
      <c r="Y523" s="491" t="str">
        <f>V573</f>
        <v>-</v>
      </c>
      <c r="Z523" s="491"/>
      <c r="AA523" s="491"/>
      <c r="AB523" s="491"/>
      <c r="AC523" s="491"/>
      <c r="AD523" s="491"/>
      <c r="AE523" s="491"/>
      <c r="AF523" s="358" t="str">
        <f>IF(OR(Y523="",Y523="-"),"-",IF(Y523&lt;=100,"OK","N/A"))</f>
        <v>-</v>
      </c>
      <c r="AG523" s="358"/>
      <c r="AH523" s="358"/>
      <c r="AI523" s="358"/>
      <c r="AV523" s="59"/>
      <c r="AW523" s="59"/>
    </row>
    <row r="524" spans="1:86" ht="14.25" customHeight="1" x14ac:dyDescent="0.2">
      <c r="A524" s="54"/>
      <c r="B524" s="296" t="s">
        <v>624</v>
      </c>
      <c r="C524" s="354"/>
      <c r="D524" s="354"/>
      <c r="E524" s="354"/>
      <c r="F524" s="354"/>
      <c r="G524" s="354"/>
      <c r="H524" s="354"/>
      <c r="I524" s="354"/>
      <c r="J524" s="354"/>
      <c r="K524" s="354"/>
      <c r="L524" s="354"/>
      <c r="M524" s="355">
        <f>Q607</f>
        <v>0.99999999999999822</v>
      </c>
      <c r="N524" s="355"/>
      <c r="O524" s="355"/>
      <c r="P524" s="355"/>
      <c r="Q524" s="355"/>
      <c r="R524" s="355"/>
      <c r="S524" s="355">
        <f>L607</f>
        <v>0</v>
      </c>
      <c r="T524" s="355"/>
      <c r="U524" s="355"/>
      <c r="V524" s="355"/>
      <c r="W524" s="355"/>
      <c r="X524" s="355"/>
      <c r="Y524" s="491" t="str">
        <f>AA607</f>
        <v>-</v>
      </c>
      <c r="Z524" s="491"/>
      <c r="AA524" s="491"/>
      <c r="AB524" s="491"/>
      <c r="AC524" s="491"/>
      <c r="AD524" s="491"/>
      <c r="AE524" s="491"/>
      <c r="AF524" s="358" t="str">
        <f>IF(OR(Y524="",Y524="-"),"-",IF(Y524&lt;=100,"OK","N/A"))</f>
        <v>-</v>
      </c>
      <c r="AG524" s="358"/>
      <c r="AH524" s="358"/>
      <c r="AI524" s="358"/>
    </row>
    <row r="525" spans="1:86" ht="15" customHeight="1" thickBot="1" x14ac:dyDescent="0.25">
      <c r="A525" s="54"/>
      <c r="B525" s="406" t="s">
        <v>625</v>
      </c>
      <c r="C525" s="499"/>
      <c r="D525" s="499"/>
      <c r="E525" s="499"/>
      <c r="F525" s="499"/>
      <c r="G525" s="499"/>
      <c r="H525" s="499"/>
      <c r="I525" s="499"/>
      <c r="J525" s="499"/>
      <c r="K525" s="499"/>
      <c r="L525" s="499"/>
      <c r="M525" s="381">
        <f>Q629</f>
        <v>9.017344398435716</v>
      </c>
      <c r="N525" s="381"/>
      <c r="O525" s="381"/>
      <c r="P525" s="381"/>
      <c r="Q525" s="381"/>
      <c r="R525" s="381"/>
      <c r="S525" s="381">
        <f>L629</f>
        <v>131.09408616474875</v>
      </c>
      <c r="T525" s="381"/>
      <c r="U525" s="381"/>
      <c r="V525" s="381"/>
      <c r="W525" s="381"/>
      <c r="X525" s="381"/>
      <c r="Y525" s="382">
        <f>V629</f>
        <v>6.8785287439308487</v>
      </c>
      <c r="Z525" s="382"/>
      <c r="AA525" s="382"/>
      <c r="AB525" s="382"/>
      <c r="AC525" s="382"/>
      <c r="AD525" s="382"/>
      <c r="AE525" s="382"/>
      <c r="AF525" s="383" t="str">
        <f>IF(OR(Y525="",Y525="-"),"-",IF(Y525&lt;=100,"OK","N/A"))</f>
        <v>OK</v>
      </c>
      <c r="AG525" s="383"/>
      <c r="AH525" s="383"/>
      <c r="AI525" s="383"/>
    </row>
    <row r="526" spans="1:86" x14ac:dyDescent="0.2">
      <c r="A526" s="54"/>
      <c r="B526" s="54"/>
      <c r="C526" s="54"/>
      <c r="D526" s="219"/>
      <c r="E526" s="220"/>
      <c r="F526" s="220"/>
      <c r="G526" s="220"/>
      <c r="H526" s="220"/>
      <c r="I526" s="220"/>
      <c r="J526" s="220"/>
      <c r="K526" s="220"/>
      <c r="L526" s="220"/>
      <c r="M526" s="220"/>
      <c r="N526" s="220"/>
      <c r="O526" s="220"/>
      <c r="P526" s="220"/>
      <c r="Q526" s="220"/>
      <c r="R526" s="220"/>
      <c r="S526" s="220"/>
      <c r="T526" s="220"/>
      <c r="U526" s="220"/>
      <c r="V526" s="220"/>
      <c r="W526" s="220"/>
      <c r="X526" s="220"/>
      <c r="Y526" s="220"/>
      <c r="Z526" s="220"/>
      <c r="AA526" s="220"/>
      <c r="AB526" s="220"/>
      <c r="AC526" s="220"/>
      <c r="AD526" s="220"/>
      <c r="AE526" s="220"/>
      <c r="AF526" s="220"/>
      <c r="AG526" s="220"/>
      <c r="AH526" s="220"/>
      <c r="AI526" s="220"/>
      <c r="AJ526" s="221"/>
      <c r="AK526" s="182"/>
    </row>
    <row r="527" spans="1:86" x14ac:dyDescent="0.2">
      <c r="A527" s="54"/>
      <c r="B527" s="54"/>
      <c r="C527" s="54"/>
      <c r="D527" s="219"/>
      <c r="E527" s="220"/>
      <c r="F527" s="220"/>
      <c r="G527" s="220"/>
      <c r="H527" s="220"/>
      <c r="I527" s="220"/>
      <c r="J527" s="220"/>
      <c r="K527" s="220"/>
      <c r="L527" s="220"/>
      <c r="M527" s="220"/>
      <c r="N527" s="220"/>
      <c r="O527" s="220"/>
      <c r="P527" s="220"/>
      <c r="Q527" s="220"/>
      <c r="R527" s="220"/>
      <c r="S527" s="220"/>
      <c r="T527" s="220"/>
      <c r="U527" s="220"/>
      <c r="V527" s="220"/>
      <c r="W527" s="220"/>
      <c r="X527" s="220"/>
      <c r="Y527" s="220"/>
      <c r="Z527" s="220"/>
      <c r="AA527" s="220"/>
      <c r="AB527" s="220"/>
      <c r="AC527" s="220"/>
      <c r="AD527" s="220"/>
      <c r="AE527" s="220"/>
      <c r="AF527" s="220"/>
      <c r="AG527" s="220"/>
      <c r="AH527" s="220"/>
      <c r="AI527" s="220"/>
      <c r="AJ527" s="221"/>
      <c r="AK527" s="182"/>
    </row>
    <row r="528" spans="1:86" x14ac:dyDescent="0.2">
      <c r="A528" s="54"/>
      <c r="B528" s="54"/>
      <c r="C528" s="324" t="s">
        <v>390</v>
      </c>
      <c r="D528" s="333"/>
      <c r="E528" s="333"/>
      <c r="F528" s="333"/>
      <c r="G528" s="333"/>
      <c r="H528" s="333"/>
      <c r="I528" s="333"/>
      <c r="J528" s="333"/>
      <c r="K528" s="333"/>
      <c r="L528" s="333"/>
      <c r="M528" s="333"/>
      <c r="N528" s="333"/>
      <c r="O528" s="333"/>
      <c r="P528" s="333"/>
      <c r="Q528" s="333"/>
      <c r="R528" s="333"/>
      <c r="S528" s="333"/>
      <c r="T528" s="333"/>
      <c r="U528" s="333"/>
      <c r="V528" s="333"/>
      <c r="W528" s="333"/>
      <c r="X528" s="333"/>
      <c r="Y528" s="333"/>
      <c r="Z528" s="333"/>
      <c r="AA528" s="333"/>
      <c r="AB528" s="333"/>
      <c r="AC528" s="333"/>
      <c r="AD528" s="333"/>
      <c r="AE528" s="333"/>
      <c r="AF528" s="333"/>
      <c r="AG528" s="333"/>
      <c r="AH528" s="333"/>
      <c r="AI528" s="333"/>
      <c r="AJ528" s="333"/>
      <c r="AK528" s="175"/>
      <c r="AT528" s="59"/>
      <c r="AU528" s="59"/>
      <c r="CH528" s="59"/>
    </row>
    <row r="529" spans="1:126" ht="12.75" customHeight="1" x14ac:dyDescent="0.2">
      <c r="A529" s="56"/>
      <c r="B529" s="54"/>
      <c r="C529" s="54"/>
      <c r="D529" s="54"/>
      <c r="E529" s="223"/>
      <c r="F529" s="54"/>
      <c r="G529" s="54"/>
      <c r="H529" s="54"/>
      <c r="I529" s="54"/>
      <c r="J529" s="54"/>
      <c r="K529" s="54"/>
      <c r="L529" s="54"/>
      <c r="M529" s="54"/>
      <c r="N529" s="54"/>
      <c r="O529" s="54"/>
      <c r="P529" s="54"/>
      <c r="Q529" s="54"/>
      <c r="R529" s="54"/>
      <c r="S529" s="54"/>
      <c r="T529" s="54"/>
      <c r="U529" s="54"/>
      <c r="V529" s="54"/>
      <c r="W529" s="54"/>
      <c r="X529" s="54"/>
      <c r="Y529" s="54"/>
      <c r="Z529" s="54"/>
      <c r="AA529" s="223"/>
      <c r="AB529" s="223"/>
      <c r="AC529" s="223"/>
      <c r="AD529" s="223"/>
      <c r="AE529" s="223"/>
      <c r="AF529" s="223"/>
      <c r="AG529" s="223"/>
      <c r="AH529" s="223"/>
      <c r="AI529" s="223"/>
      <c r="AY529" s="63"/>
      <c r="AZ529" s="63"/>
      <c r="BA529" s="63"/>
      <c r="CI529" s="63"/>
      <c r="DJ529" s="63"/>
      <c r="DK529" s="63"/>
      <c r="DL529" s="63"/>
    </row>
    <row r="530" spans="1:126" ht="13.5" customHeight="1" x14ac:dyDescent="0.2">
      <c r="A530" s="56"/>
      <c r="B530" s="59"/>
      <c r="C530" s="330"/>
      <c r="D530" s="330"/>
      <c r="E530" s="330"/>
      <c r="F530" s="330"/>
      <c r="G530" s="330"/>
      <c r="H530" s="330"/>
      <c r="I530" s="330"/>
      <c r="J530" s="330"/>
      <c r="K530" s="330"/>
      <c r="L530" s="330"/>
      <c r="M530" s="330"/>
      <c r="N530" s="330"/>
      <c r="O530" s="330"/>
      <c r="P530" s="330" t="s">
        <v>1027</v>
      </c>
      <c r="Q530" s="330"/>
      <c r="R530" s="330"/>
      <c r="S530" s="330"/>
      <c r="T530" s="330"/>
      <c r="U530" s="330"/>
      <c r="V530" s="330"/>
      <c r="W530" s="330"/>
      <c r="X530" s="330"/>
      <c r="Y530" s="330"/>
      <c r="Z530" s="330"/>
      <c r="AA530" s="330"/>
      <c r="AB530" s="330"/>
      <c r="AC530" s="330"/>
      <c r="AD530" s="330"/>
      <c r="AE530" s="330"/>
      <c r="AF530" s="330"/>
      <c r="AG530" s="330"/>
      <c r="AH530" s="330"/>
      <c r="AI530" s="330"/>
      <c r="BB530" s="62"/>
      <c r="BC530" s="62"/>
      <c r="BD530" s="62"/>
      <c r="BE530" s="62"/>
      <c r="BF530" s="62"/>
      <c r="BG530" s="62"/>
      <c r="BH530" s="62"/>
      <c r="BI530" s="62"/>
      <c r="BJ530" s="62"/>
      <c r="BK530" s="62"/>
      <c r="BL530" s="62"/>
      <c r="BM530" s="62"/>
      <c r="BN530" s="62"/>
      <c r="BO530" s="62"/>
      <c r="BP530" s="62"/>
      <c r="BQ530" s="62"/>
      <c r="BR530" s="62"/>
      <c r="BS530" s="62"/>
      <c r="BT530" s="62"/>
      <c r="BU530" s="62"/>
      <c r="BV530" s="62"/>
      <c r="BW530" s="62"/>
      <c r="BX530" s="62"/>
      <c r="BY530" s="62"/>
      <c r="BZ530" s="62"/>
      <c r="CJ530" s="62"/>
      <c r="CK530" s="62"/>
      <c r="CL530" s="62"/>
      <c r="CM530" s="62"/>
      <c r="CN530" s="62"/>
      <c r="CO530" s="62"/>
      <c r="CP530" s="62"/>
      <c r="CQ530" s="62"/>
      <c r="DM530" s="62"/>
      <c r="DN530" s="62"/>
      <c r="DO530" s="62"/>
      <c r="DP530" s="62"/>
      <c r="DQ530" s="62"/>
      <c r="DR530" s="62"/>
      <c r="DS530" s="62"/>
      <c r="DT530" s="62"/>
      <c r="DU530" s="62"/>
      <c r="DV530" s="62"/>
    </row>
    <row r="531" spans="1:126" s="217" customFormat="1" ht="13.5" customHeight="1" x14ac:dyDescent="0.2">
      <c r="A531" s="56"/>
      <c r="B531" s="59"/>
      <c r="C531" s="330"/>
      <c r="D531" s="330"/>
      <c r="E531" s="330"/>
      <c r="F531" s="330"/>
      <c r="G531" s="330"/>
      <c r="H531" s="330"/>
      <c r="I531" s="330"/>
      <c r="J531" s="330"/>
      <c r="K531" s="330"/>
      <c r="L531" s="330"/>
      <c r="M531" s="330"/>
      <c r="N531" s="330"/>
      <c r="O531" s="330"/>
      <c r="P531" s="330" t="s">
        <v>1028</v>
      </c>
      <c r="Q531" s="330"/>
      <c r="R531" s="330"/>
      <c r="S531" s="330"/>
      <c r="T531" s="330"/>
      <c r="U531" s="330"/>
      <c r="V531" s="330"/>
      <c r="W531" s="330"/>
      <c r="X531" s="330"/>
      <c r="Y531" s="330"/>
      <c r="Z531" s="330"/>
      <c r="AA531" s="330"/>
      <c r="AB531" s="330"/>
      <c r="AC531" s="330"/>
      <c r="AD531" s="330"/>
      <c r="AE531" s="330"/>
      <c r="AF531" s="330"/>
      <c r="AG531" s="330"/>
      <c r="AH531" s="330"/>
      <c r="AI531" s="330"/>
      <c r="AJ531" s="88"/>
      <c r="AK531" s="88"/>
      <c r="AY531" s="61"/>
      <c r="AZ531" s="61"/>
      <c r="BA531" s="61"/>
      <c r="BB531" s="62"/>
      <c r="BC531" s="62"/>
      <c r="BD531" s="62"/>
      <c r="BE531" s="62"/>
      <c r="BF531" s="62"/>
      <c r="BG531" s="62"/>
      <c r="BH531" s="62"/>
      <c r="BI531" s="62"/>
      <c r="BJ531" s="62"/>
      <c r="BK531" s="62"/>
      <c r="BL531" s="62"/>
      <c r="BM531" s="62"/>
      <c r="BN531" s="62"/>
      <c r="BO531" s="62"/>
      <c r="BP531" s="62"/>
      <c r="BQ531" s="62"/>
      <c r="BR531" s="62"/>
      <c r="BS531" s="62"/>
      <c r="BT531" s="62"/>
      <c r="BU531" s="62"/>
      <c r="BV531" s="62"/>
      <c r="BW531" s="62"/>
      <c r="BX531" s="62"/>
      <c r="BY531" s="62"/>
      <c r="BZ531" s="62"/>
      <c r="CI531" s="61"/>
      <c r="CJ531" s="62"/>
      <c r="CK531" s="62"/>
      <c r="CL531" s="62"/>
      <c r="CM531" s="62"/>
      <c r="CN531" s="62"/>
      <c r="CO531" s="62"/>
      <c r="CP531" s="62"/>
      <c r="CQ531" s="62"/>
      <c r="DJ531" s="61"/>
      <c r="DK531" s="61"/>
      <c r="DL531" s="61"/>
      <c r="DM531" s="62"/>
      <c r="DN531" s="62"/>
      <c r="DO531" s="62"/>
      <c r="DP531" s="62"/>
      <c r="DQ531" s="62"/>
      <c r="DR531" s="62"/>
      <c r="DS531" s="62"/>
      <c r="DT531" s="62"/>
      <c r="DU531" s="62"/>
      <c r="DV531" s="62"/>
    </row>
    <row r="532" spans="1:126" ht="14.25" customHeight="1" x14ac:dyDescent="0.2">
      <c r="A532" s="56"/>
      <c r="B532" s="59"/>
      <c r="C532" s="330"/>
      <c r="D532" s="330"/>
      <c r="E532" s="330"/>
      <c r="F532" s="330"/>
      <c r="G532" s="330"/>
      <c r="H532" s="330"/>
      <c r="I532" s="330"/>
      <c r="J532" s="330"/>
      <c r="K532" s="330"/>
      <c r="L532" s="330"/>
      <c r="M532" s="330"/>
      <c r="N532" s="330"/>
      <c r="O532" s="330"/>
      <c r="P532" s="330" t="s">
        <v>1007</v>
      </c>
      <c r="Q532" s="330"/>
      <c r="R532" s="330"/>
      <c r="S532" s="330"/>
      <c r="T532" s="330"/>
      <c r="U532" s="330"/>
      <c r="V532" s="330"/>
      <c r="W532" s="330"/>
      <c r="X532" s="330"/>
      <c r="Y532" s="330"/>
      <c r="Z532" s="330"/>
      <c r="AA532" s="330"/>
      <c r="AB532" s="330"/>
      <c r="AC532" s="330"/>
      <c r="AD532" s="330"/>
      <c r="AE532" s="330"/>
      <c r="AF532" s="330"/>
      <c r="AG532" s="330"/>
      <c r="AH532" s="330"/>
      <c r="AI532" s="330"/>
      <c r="BB532" s="62"/>
      <c r="BC532" s="62"/>
      <c r="BD532" s="62"/>
      <c r="BE532" s="62"/>
      <c r="BF532" s="62"/>
      <c r="BG532" s="62"/>
      <c r="BH532" s="62"/>
      <c r="BI532" s="62"/>
      <c r="BJ532" s="62"/>
      <c r="BK532" s="62"/>
      <c r="BL532" s="62"/>
      <c r="BM532" s="62"/>
      <c r="BN532" s="62"/>
      <c r="BO532" s="62"/>
      <c r="BP532" s="62"/>
      <c r="BQ532" s="62"/>
      <c r="BR532" s="62"/>
      <c r="BS532" s="62"/>
      <c r="BT532" s="62"/>
      <c r="BU532" s="62"/>
      <c r="BV532" s="62"/>
      <c r="BW532" s="62"/>
      <c r="BX532" s="62"/>
      <c r="BY532" s="62"/>
      <c r="BZ532" s="62"/>
      <c r="CJ532" s="62"/>
      <c r="CK532" s="62"/>
      <c r="CL532" s="62"/>
      <c r="CM532" s="62"/>
      <c r="CN532" s="62"/>
      <c r="CO532" s="62"/>
      <c r="CP532" s="62"/>
      <c r="CQ532" s="62"/>
      <c r="DM532" s="62"/>
      <c r="DN532" s="62"/>
      <c r="DO532" s="62"/>
      <c r="DP532" s="62"/>
      <c r="DQ532" s="62"/>
      <c r="DR532" s="62"/>
      <c r="DS532" s="62"/>
      <c r="DT532" s="62"/>
      <c r="DU532" s="62"/>
      <c r="DV532" s="62"/>
    </row>
    <row r="533" spans="1:126" x14ac:dyDescent="0.2">
      <c r="A533" s="56"/>
      <c r="B533" s="54"/>
      <c r="C533" s="54"/>
      <c r="D533" s="54"/>
      <c r="E533" s="223"/>
      <c r="F533" s="54"/>
      <c r="G533" s="54"/>
      <c r="H533" s="54"/>
      <c r="I533" s="54"/>
      <c r="J533" s="54"/>
      <c r="K533" s="54"/>
      <c r="L533" s="54"/>
      <c r="M533" s="54"/>
      <c r="N533" s="54"/>
      <c r="O533" s="54"/>
      <c r="P533" s="54"/>
      <c r="Q533" s="54"/>
      <c r="R533" s="54"/>
      <c r="S533" s="54"/>
      <c r="T533" s="54"/>
      <c r="U533" s="54"/>
      <c r="V533" s="54"/>
      <c r="W533" s="54"/>
      <c r="X533" s="54"/>
      <c r="Y533" s="54"/>
      <c r="Z533" s="54"/>
      <c r="AA533" s="223"/>
      <c r="AB533" s="223"/>
      <c r="AC533" s="223"/>
      <c r="AD533" s="223"/>
      <c r="AE533" s="223"/>
      <c r="AF533" s="223"/>
      <c r="AG533" s="223"/>
      <c r="AH533" s="223"/>
      <c r="AI533" s="223"/>
      <c r="BB533" s="62"/>
      <c r="BC533" s="62"/>
      <c r="BD533" s="62"/>
      <c r="BE533" s="62"/>
      <c r="BF533" s="62"/>
      <c r="BG533" s="62"/>
      <c r="BH533" s="62"/>
      <c r="BI533" s="62"/>
      <c r="BJ533" s="62"/>
      <c r="BK533" s="62"/>
      <c r="BL533" s="62"/>
      <c r="BM533" s="62"/>
      <c r="BN533" s="62"/>
      <c r="BO533" s="62"/>
      <c r="BP533" s="62"/>
      <c r="BQ533" s="62"/>
      <c r="BR533" s="62"/>
      <c r="BS533" s="62"/>
      <c r="BT533" s="62"/>
      <c r="BU533" s="62"/>
      <c r="BV533" s="62"/>
      <c r="BW533" s="62"/>
      <c r="BX533" s="62"/>
      <c r="BY533" s="62"/>
      <c r="BZ533" s="62"/>
      <c r="CJ533" s="62"/>
      <c r="CK533" s="62"/>
      <c r="CL533" s="62"/>
      <c r="CM533" s="62"/>
      <c r="CN533" s="62"/>
      <c r="CO533" s="62"/>
      <c r="CP533" s="62"/>
      <c r="CQ533" s="62"/>
      <c r="DM533" s="62"/>
      <c r="DN533" s="62"/>
      <c r="DO533" s="62"/>
      <c r="DP533" s="62"/>
      <c r="DQ533" s="62"/>
      <c r="DR533" s="62"/>
      <c r="DS533" s="62"/>
      <c r="DT533" s="62"/>
      <c r="DU533" s="62"/>
      <c r="DV533" s="62"/>
    </row>
    <row r="534" spans="1:126" ht="13.5" customHeight="1" x14ac:dyDescent="0.2">
      <c r="A534" s="54"/>
      <c r="B534" s="54"/>
      <c r="C534" s="54"/>
      <c r="D534" s="325" t="s">
        <v>384</v>
      </c>
      <c r="E534" s="325"/>
      <c r="F534" s="325"/>
      <c r="G534" s="325"/>
      <c r="H534" s="325"/>
      <c r="I534" s="325"/>
      <c r="J534" s="325"/>
      <c r="K534" s="325"/>
      <c r="L534" s="325"/>
      <c r="M534" s="325"/>
      <c r="N534" s="325"/>
      <c r="O534" s="325"/>
      <c r="P534" s="325"/>
      <c r="Q534" s="325"/>
      <c r="R534" s="325"/>
      <c r="S534" s="325"/>
      <c r="T534" s="325"/>
      <c r="U534" s="325"/>
      <c r="V534" s="325"/>
      <c r="W534" s="325"/>
      <c r="X534" s="325"/>
      <c r="Y534" s="325"/>
      <c r="Z534" s="325"/>
      <c r="AA534" s="325"/>
      <c r="AB534" s="325"/>
      <c r="AC534" s="325"/>
      <c r="AD534" s="325"/>
      <c r="AE534" s="325"/>
      <c r="AF534" s="325"/>
      <c r="AG534" s="325"/>
      <c r="AH534" s="325"/>
      <c r="AI534" s="325"/>
      <c r="AJ534" s="325"/>
      <c r="AK534" s="174"/>
      <c r="AY534" s="63"/>
      <c r="AZ534" s="63"/>
      <c r="BA534" s="63"/>
      <c r="CI534" s="63"/>
      <c r="DJ534" s="63"/>
      <c r="DK534" s="63"/>
      <c r="DL534" s="63"/>
    </row>
    <row r="535" spans="1:126" x14ac:dyDescent="0.2">
      <c r="A535" s="54"/>
      <c r="B535" s="54"/>
      <c r="C535" s="54"/>
      <c r="D535" s="54"/>
      <c r="E535" s="54"/>
      <c r="F535" s="54"/>
      <c r="G535" s="54"/>
      <c r="H535" s="54"/>
      <c r="I535" s="54"/>
      <c r="J535" s="54"/>
      <c r="K535" s="54"/>
      <c r="L535" s="54"/>
      <c r="M535" s="54"/>
      <c r="N535" s="54"/>
      <c r="O535" s="54"/>
      <c r="P535" s="54"/>
      <c r="Q535" s="54"/>
      <c r="R535" s="54"/>
      <c r="S535" s="54"/>
      <c r="T535" s="54"/>
      <c r="U535" s="54"/>
      <c r="V535" s="54"/>
      <c r="W535" s="54"/>
      <c r="X535" s="54"/>
      <c r="Y535" s="54"/>
      <c r="Z535" s="54"/>
      <c r="AA535" s="223"/>
      <c r="AB535" s="223"/>
      <c r="AC535" s="223"/>
      <c r="AD535" s="223"/>
      <c r="AE535" s="223"/>
      <c r="AF535" s="223"/>
      <c r="AG535" s="223"/>
      <c r="AH535" s="223"/>
      <c r="AI535" s="223"/>
    </row>
    <row r="536" spans="1:126" x14ac:dyDescent="0.2">
      <c r="A536" s="54"/>
      <c r="B536" s="280" t="s">
        <v>382</v>
      </c>
      <c r="C536" s="280"/>
      <c r="D536" s="280"/>
      <c r="E536" s="280"/>
      <c r="F536" s="280"/>
      <c r="G536" s="280" t="s">
        <v>547</v>
      </c>
      <c r="H536" s="280"/>
      <c r="I536" s="280"/>
      <c r="J536" s="280"/>
      <c r="K536" s="280"/>
      <c r="L536" s="280" t="s">
        <v>564</v>
      </c>
      <c r="M536" s="280"/>
      <c r="N536" s="280"/>
      <c r="O536" s="280"/>
      <c r="P536" s="280"/>
      <c r="Q536" s="54"/>
      <c r="R536" s="54"/>
      <c r="S536" s="223"/>
      <c r="T536" s="223"/>
      <c r="U536" s="223"/>
      <c r="V536" s="223"/>
      <c r="W536" s="223"/>
      <c r="X536" s="223"/>
      <c r="Y536" s="223"/>
      <c r="Z536" s="223"/>
      <c r="AA536" s="223"/>
      <c r="AB536" s="223"/>
      <c r="AC536" s="223"/>
      <c r="AD536" s="223"/>
      <c r="AE536" s="223"/>
      <c r="AF536" s="223"/>
      <c r="AG536" s="223"/>
      <c r="AH536" s="223"/>
      <c r="AI536" s="223"/>
      <c r="BC536" s="63"/>
      <c r="BD536" s="63"/>
      <c r="BF536" s="63"/>
      <c r="BG536" s="63"/>
      <c r="BH536" s="63"/>
      <c r="BI536" s="63"/>
      <c r="BJ536" s="63"/>
      <c r="BK536" s="63"/>
      <c r="BL536" s="63"/>
      <c r="BM536" s="63"/>
      <c r="BN536" s="63"/>
      <c r="BO536" s="63"/>
      <c r="BP536" s="63"/>
      <c r="BR536" s="63"/>
      <c r="BS536" s="63"/>
      <c r="BT536" s="63"/>
      <c r="BU536" s="63"/>
      <c r="BV536" s="63"/>
      <c r="BW536" s="63"/>
      <c r="BX536" s="63"/>
      <c r="BY536" s="63"/>
      <c r="BZ536" s="63"/>
      <c r="CK536" s="63"/>
      <c r="CL536" s="63"/>
      <c r="CM536" s="63"/>
      <c r="CN536" s="63"/>
      <c r="CO536" s="63"/>
      <c r="CP536" s="63"/>
      <c r="CQ536" s="63"/>
      <c r="DP536" s="63"/>
      <c r="DQ536" s="63"/>
      <c r="DR536" s="63"/>
      <c r="DS536" s="63"/>
      <c r="DT536" s="63"/>
      <c r="DU536" s="63"/>
      <c r="DV536" s="63"/>
    </row>
    <row r="537" spans="1:126" x14ac:dyDescent="0.2">
      <c r="A537" s="54"/>
      <c r="B537" s="316">
        <v>1</v>
      </c>
      <c r="C537" s="316"/>
      <c r="D537" s="316"/>
      <c r="E537" s="316"/>
      <c r="F537" s="316"/>
      <c r="G537" s="316">
        <f>IFERROR(IF(IFERROR(FIND("Roscada",O$63,1),0)=0, (0.7846*(Z$66^2))+(0.0147*Z$66)+(0.8073), (PI()*((Z$66-(25.4*0.9743/ROUND(73.142*(Z$66^(-0.683)),0) ))^2)/4)),"-")</f>
        <v>390.80178909343022</v>
      </c>
      <c r="H537" s="316"/>
      <c r="I537" s="316"/>
      <c r="J537" s="316"/>
      <c r="K537" s="316"/>
      <c r="L537" s="305">
        <f>IFERROR(MIN($Z$122,MIN(1.9*$Z$121,125000*0.0069)),"-")</f>
        <v>0</v>
      </c>
      <c r="M537" s="305"/>
      <c r="N537" s="305"/>
      <c r="O537" s="305"/>
      <c r="P537" s="305"/>
      <c r="Q537" s="54"/>
      <c r="R537" s="54"/>
      <c r="S537" s="54"/>
      <c r="T537" s="54"/>
      <c r="U537" s="54"/>
      <c r="V537" s="223"/>
      <c r="W537" s="223"/>
      <c r="X537" s="223"/>
      <c r="Y537" s="223"/>
      <c r="Z537" s="223"/>
      <c r="AA537" s="223"/>
      <c r="AB537" s="223"/>
      <c r="AC537" s="223"/>
      <c r="AD537" s="223"/>
      <c r="AE537" s="223"/>
      <c r="AF537" s="223"/>
      <c r="AG537" s="223"/>
      <c r="AH537" s="223"/>
      <c r="AI537" s="223"/>
    </row>
    <row r="538" spans="1:126" ht="12.75" customHeight="1" x14ac:dyDescent="0.2">
      <c r="A538" s="54"/>
      <c r="B538" s="54"/>
      <c r="C538" s="54"/>
      <c r="D538" s="54"/>
      <c r="E538" s="54"/>
      <c r="F538" s="54"/>
      <c r="G538" s="54"/>
      <c r="H538" s="54"/>
      <c r="I538" s="54"/>
      <c r="J538" s="54"/>
      <c r="K538" s="54"/>
      <c r="L538" s="54"/>
      <c r="M538" s="54"/>
      <c r="N538" s="54"/>
      <c r="O538" s="54"/>
      <c r="P538" s="54"/>
      <c r="Q538" s="54"/>
      <c r="R538" s="54"/>
      <c r="S538" s="54"/>
      <c r="T538" s="54"/>
      <c r="U538" s="54"/>
      <c r="V538" s="54"/>
      <c r="W538" s="54"/>
      <c r="X538" s="54"/>
      <c r="Y538" s="54"/>
      <c r="Z538" s="54"/>
      <c r="AA538" s="223"/>
      <c r="AB538" s="223"/>
      <c r="AC538" s="223"/>
      <c r="AD538" s="223"/>
      <c r="AE538" s="223"/>
      <c r="AF538" s="223"/>
      <c r="AG538" s="223"/>
      <c r="AH538" s="223"/>
      <c r="AI538" s="223"/>
    </row>
    <row r="539" spans="1:126" ht="13.5" customHeight="1" x14ac:dyDescent="0.2">
      <c r="A539" s="54"/>
      <c r="B539" s="54"/>
      <c r="C539" s="54"/>
      <c r="D539" s="325" t="s">
        <v>385</v>
      </c>
      <c r="E539" s="325"/>
      <c r="F539" s="325"/>
      <c r="G539" s="325"/>
      <c r="H539" s="325"/>
      <c r="I539" s="325"/>
      <c r="J539" s="325"/>
      <c r="K539" s="325"/>
      <c r="L539" s="325"/>
      <c r="M539" s="325"/>
      <c r="N539" s="325"/>
      <c r="O539" s="325"/>
      <c r="P539" s="325"/>
      <c r="Q539" s="325"/>
      <c r="R539" s="325"/>
      <c r="S539" s="325"/>
      <c r="T539" s="325"/>
      <c r="U539" s="325"/>
      <c r="V539" s="325"/>
      <c r="W539" s="325"/>
      <c r="X539" s="325"/>
      <c r="Y539" s="325"/>
      <c r="Z539" s="325"/>
      <c r="AA539" s="325"/>
      <c r="AB539" s="325"/>
      <c r="AC539" s="325"/>
      <c r="AD539" s="325"/>
      <c r="AE539" s="325"/>
      <c r="AF539" s="325"/>
      <c r="AG539" s="325"/>
      <c r="AH539" s="325"/>
      <c r="AI539" s="325"/>
      <c r="AJ539" s="325"/>
      <c r="AK539" s="174"/>
      <c r="BB539" s="63"/>
      <c r="BE539" s="63"/>
      <c r="BQ539" s="63"/>
      <c r="CJ539" s="63"/>
      <c r="DM539" s="63"/>
      <c r="DN539" s="63"/>
      <c r="DO539" s="63"/>
    </row>
    <row r="540" spans="1:126" x14ac:dyDescent="0.2">
      <c r="A540" s="54"/>
      <c r="B540" s="54"/>
      <c r="C540" s="54"/>
      <c r="D540" s="54"/>
      <c r="E540" s="54"/>
      <c r="F540" s="54"/>
      <c r="G540" s="54"/>
      <c r="H540" s="54"/>
      <c r="I540" s="54"/>
      <c r="J540" s="54"/>
      <c r="K540" s="54"/>
      <c r="L540" s="54"/>
      <c r="M540" s="54"/>
      <c r="N540" s="54"/>
      <c r="O540" s="54"/>
      <c r="P540" s="54"/>
      <c r="Q540" s="54"/>
      <c r="R540" s="54"/>
      <c r="S540" s="54"/>
      <c r="T540" s="54"/>
      <c r="U540" s="54"/>
      <c r="V540" s="54"/>
      <c r="W540" s="54"/>
      <c r="X540" s="54"/>
      <c r="Y540" s="54"/>
      <c r="Z540" s="54"/>
      <c r="AA540" s="223"/>
      <c r="AB540" s="223"/>
      <c r="AC540" s="223"/>
      <c r="AD540" s="223"/>
      <c r="AE540" s="223"/>
      <c r="AF540" s="223"/>
      <c r="AG540" s="223"/>
      <c r="AH540" s="223"/>
      <c r="AI540" s="223"/>
    </row>
    <row r="541" spans="1:126" ht="14.25" customHeight="1" x14ac:dyDescent="0.2">
      <c r="A541" s="54"/>
      <c r="B541" s="280" t="s">
        <v>548</v>
      </c>
      <c r="C541" s="280"/>
      <c r="D541" s="280"/>
      <c r="E541" s="280"/>
      <c r="F541" s="280"/>
      <c r="G541" s="54"/>
      <c r="H541" s="54"/>
      <c r="I541" s="223"/>
      <c r="J541" s="223"/>
      <c r="K541" s="223"/>
      <c r="L541" s="223"/>
      <c r="M541" s="223"/>
      <c r="N541" s="54"/>
      <c r="O541" s="54"/>
      <c r="P541" s="54"/>
      <c r="Q541" s="54"/>
      <c r="R541" s="54"/>
      <c r="S541" s="54"/>
      <c r="T541" s="54"/>
      <c r="U541" s="54"/>
      <c r="V541" s="54"/>
      <c r="W541" s="54"/>
      <c r="X541" s="54"/>
      <c r="Y541" s="54"/>
      <c r="Z541" s="54"/>
      <c r="AA541" s="54"/>
      <c r="AB541" s="54"/>
      <c r="AC541" s="54"/>
      <c r="AD541" s="54"/>
      <c r="AE541" s="54"/>
      <c r="AF541" s="54"/>
      <c r="AG541" s="54"/>
      <c r="AH541" s="54"/>
      <c r="AI541" s="54"/>
      <c r="AJ541" s="222"/>
      <c r="AK541" s="180"/>
    </row>
    <row r="542" spans="1:126" x14ac:dyDescent="0.2">
      <c r="A542" s="54"/>
      <c r="B542" s="305">
        <f>IFERROR( IF($O$81="Ninguna",1,0.8)*IF($O$61="Embebido",1,0.6)*$B$537*$G$537*$L$537/1000,"-")</f>
        <v>0</v>
      </c>
      <c r="C542" s="305"/>
      <c r="D542" s="305"/>
      <c r="E542" s="305"/>
      <c r="F542" s="305"/>
      <c r="G542" s="54"/>
      <c r="H542" s="54"/>
      <c r="I542" s="54"/>
      <c r="J542" s="54"/>
      <c r="K542" s="54"/>
      <c r="L542" s="54"/>
      <c r="M542" s="54"/>
      <c r="N542" s="54"/>
      <c r="O542" s="54"/>
      <c r="P542" s="54"/>
      <c r="Q542" s="54"/>
      <c r="R542" s="54"/>
      <c r="S542" s="54"/>
      <c r="T542" s="54"/>
      <c r="U542" s="54"/>
      <c r="V542" s="54"/>
      <c r="W542" s="54"/>
      <c r="X542" s="54"/>
      <c r="Y542" s="54"/>
      <c r="Z542" s="54"/>
      <c r="AA542" s="54"/>
      <c r="AB542" s="54"/>
      <c r="AC542" s="54"/>
      <c r="AD542" s="54"/>
      <c r="AE542" s="54"/>
      <c r="AF542" s="54"/>
      <c r="AG542" s="54"/>
      <c r="AH542" s="54"/>
      <c r="AI542" s="54"/>
      <c r="AJ542" s="222"/>
      <c r="AK542" s="180"/>
    </row>
    <row r="543" spans="1:126" ht="12.75" customHeight="1" x14ac:dyDescent="0.2">
      <c r="A543" s="54"/>
      <c r="B543" s="54"/>
      <c r="C543" s="54"/>
      <c r="D543" s="54"/>
      <c r="E543" s="54"/>
      <c r="F543" s="54"/>
      <c r="G543" s="54"/>
      <c r="H543" s="54"/>
      <c r="I543" s="54"/>
      <c r="J543" s="54"/>
      <c r="K543" s="54"/>
      <c r="L543" s="54"/>
      <c r="M543" s="54"/>
      <c r="N543" s="54"/>
      <c r="O543" s="54"/>
      <c r="P543" s="54"/>
      <c r="Q543" s="54"/>
      <c r="R543" s="54"/>
      <c r="S543" s="54"/>
      <c r="T543" s="54"/>
      <c r="U543" s="54"/>
      <c r="V543" s="54"/>
      <c r="W543" s="54"/>
      <c r="X543" s="54"/>
      <c r="Y543" s="54"/>
      <c r="Z543" s="54"/>
      <c r="AA543" s="223"/>
      <c r="AB543" s="223"/>
      <c r="AC543" s="223"/>
      <c r="AD543" s="223"/>
      <c r="AE543" s="223"/>
      <c r="AF543" s="223"/>
      <c r="AG543" s="223"/>
      <c r="AH543" s="223"/>
      <c r="AI543" s="223"/>
      <c r="AY543" s="63"/>
      <c r="AZ543" s="63"/>
      <c r="BA543" s="63"/>
      <c r="CI543" s="63"/>
      <c r="DJ543" s="63"/>
      <c r="DK543" s="63"/>
      <c r="DL543" s="63"/>
    </row>
    <row r="544" spans="1:126" ht="13.5" customHeight="1" x14ac:dyDescent="0.2">
      <c r="A544" s="54"/>
      <c r="B544" s="54"/>
      <c r="C544" s="54"/>
      <c r="D544" s="325" t="s">
        <v>386</v>
      </c>
      <c r="E544" s="325"/>
      <c r="F544" s="325"/>
      <c r="G544" s="325"/>
      <c r="H544" s="325"/>
      <c r="I544" s="325"/>
      <c r="J544" s="325"/>
      <c r="K544" s="325"/>
      <c r="L544" s="325"/>
      <c r="M544" s="325"/>
      <c r="N544" s="325"/>
      <c r="O544" s="325"/>
      <c r="P544" s="325"/>
      <c r="Q544" s="325"/>
      <c r="R544" s="325"/>
      <c r="S544" s="325"/>
      <c r="T544" s="325"/>
      <c r="U544" s="325"/>
      <c r="V544" s="325"/>
      <c r="W544" s="325"/>
      <c r="X544" s="325"/>
      <c r="Y544" s="325"/>
      <c r="Z544" s="325"/>
      <c r="AA544" s="325"/>
      <c r="AB544" s="325"/>
      <c r="AC544" s="325"/>
      <c r="AD544" s="325"/>
      <c r="AE544" s="325"/>
      <c r="AF544" s="325"/>
      <c r="AG544" s="325"/>
      <c r="AH544" s="325"/>
      <c r="AI544" s="325"/>
      <c r="AJ544" s="325"/>
      <c r="AK544" s="174"/>
    </row>
    <row r="545" spans="1:126" x14ac:dyDescent="0.2">
      <c r="A545" s="54"/>
      <c r="B545" s="54"/>
      <c r="C545" s="54"/>
      <c r="D545" s="54"/>
      <c r="E545" s="54"/>
      <c r="F545" s="54"/>
      <c r="G545" s="54"/>
      <c r="H545" s="54"/>
      <c r="I545" s="54"/>
      <c r="J545" s="54"/>
      <c r="K545" s="54"/>
      <c r="L545" s="54"/>
      <c r="M545" s="54"/>
      <c r="N545" s="54"/>
      <c r="O545" s="54"/>
      <c r="P545" s="54"/>
      <c r="Q545" s="54"/>
      <c r="R545" s="54"/>
      <c r="S545" s="54"/>
      <c r="T545" s="54"/>
      <c r="U545" s="54"/>
      <c r="V545" s="54"/>
      <c r="W545" s="54"/>
      <c r="X545" s="54"/>
      <c r="Y545" s="54"/>
      <c r="Z545" s="54"/>
      <c r="AA545" s="223"/>
      <c r="AB545" s="223"/>
      <c r="AC545" s="223"/>
      <c r="AD545" s="223"/>
      <c r="AE545" s="223"/>
      <c r="AF545" s="223"/>
      <c r="AG545" s="223"/>
      <c r="AH545" s="223"/>
      <c r="AI545" s="223"/>
    </row>
    <row r="546" spans="1:126" ht="14.25" customHeight="1" x14ac:dyDescent="0.2">
      <c r="A546" s="54"/>
      <c r="B546" s="322" t="s">
        <v>549</v>
      </c>
      <c r="C546" s="280"/>
      <c r="D546" s="280"/>
      <c r="E546" s="280"/>
      <c r="F546" s="280"/>
      <c r="G546" s="280" t="s">
        <v>457</v>
      </c>
      <c r="H546" s="280"/>
      <c r="I546" s="280"/>
      <c r="J546" s="280"/>
      <c r="K546" s="280"/>
      <c r="L546" s="280" t="s">
        <v>550</v>
      </c>
      <c r="M546" s="280"/>
      <c r="N546" s="280"/>
      <c r="O546" s="280"/>
      <c r="P546" s="280"/>
      <c r="Q546" s="322" t="s">
        <v>551</v>
      </c>
      <c r="R546" s="280"/>
      <c r="S546" s="280"/>
      <c r="T546" s="280"/>
      <c r="U546" s="280"/>
      <c r="V546" s="280" t="s">
        <v>910</v>
      </c>
      <c r="W546" s="280"/>
      <c r="X546" s="280"/>
      <c r="Y546" s="280"/>
      <c r="Z546" s="280"/>
      <c r="AA546" s="496" t="s">
        <v>1003</v>
      </c>
      <c r="AB546" s="496"/>
      <c r="AC546" s="496"/>
      <c r="AD546" s="496"/>
      <c r="AE546" s="496"/>
      <c r="AF546" s="223"/>
      <c r="AG546" s="223"/>
      <c r="AH546" s="223"/>
      <c r="AI546" s="223"/>
      <c r="BC546" s="63"/>
      <c r="BD546" s="63"/>
      <c r="BF546" s="63"/>
      <c r="BG546" s="63"/>
      <c r="BH546" s="63"/>
      <c r="BI546" s="63"/>
      <c r="BJ546" s="63"/>
      <c r="BK546" s="63"/>
      <c r="BL546" s="63"/>
      <c r="BM546" s="63"/>
      <c r="BN546" s="63"/>
      <c r="BO546" s="63"/>
      <c r="BP546" s="63"/>
      <c r="BR546" s="63"/>
      <c r="BS546" s="63"/>
      <c r="BT546" s="63"/>
      <c r="BU546" s="63"/>
      <c r="BV546" s="63"/>
      <c r="BW546" s="63"/>
      <c r="BX546" s="63"/>
      <c r="BY546" s="63"/>
      <c r="BZ546" s="63"/>
      <c r="CK546" s="63"/>
      <c r="CL546" s="63"/>
      <c r="CM546" s="63"/>
      <c r="CN546" s="63"/>
      <c r="CO546" s="63"/>
      <c r="CP546" s="63"/>
      <c r="CQ546" s="63"/>
      <c r="DP546" s="63"/>
      <c r="DQ546" s="63"/>
      <c r="DR546" s="63"/>
      <c r="DS546" s="63"/>
      <c r="DT546" s="63"/>
      <c r="DU546" s="63"/>
      <c r="DV546" s="63"/>
    </row>
    <row r="547" spans="1:126" x14ac:dyDescent="0.2">
      <c r="A547" s="54"/>
      <c r="B547" s="305">
        <f>B542</f>
        <v>0</v>
      </c>
      <c r="C547" s="305"/>
      <c r="D547" s="305"/>
      <c r="E547" s="305"/>
      <c r="F547" s="305"/>
      <c r="G547" s="282">
        <f>IFERROR(IF($Z$120="(dúctil)",0.65,IF($Z$120="(no dúctil)",0.6,"-")),"-")</f>
        <v>0.65</v>
      </c>
      <c r="H547" s="282"/>
      <c r="I547" s="282"/>
      <c r="J547" s="282"/>
      <c r="K547" s="282"/>
      <c r="L547" s="305">
        <f>IF($B547="-","-",$B547*$G547)</f>
        <v>0</v>
      </c>
      <c r="M547" s="305"/>
      <c r="N547" s="305"/>
      <c r="O547" s="305"/>
      <c r="P547" s="305"/>
      <c r="Q547" s="305">
        <f>IF($B$547="-","-",$S$198)</f>
        <v>9.017344398435716</v>
      </c>
      <c r="R547" s="305"/>
      <c r="S547" s="305"/>
      <c r="T547" s="305"/>
      <c r="U547" s="305"/>
      <c r="V547" s="305" t="str">
        <f>IFERROR(100*$Q547/($L547/$AA547),"-")</f>
        <v>-</v>
      </c>
      <c r="W547" s="305"/>
      <c r="X547" s="305"/>
      <c r="Y547" s="305"/>
      <c r="Z547" s="305"/>
      <c r="AA547" s="282">
        <f>IFERROR($L$176,1)</f>
        <v>1</v>
      </c>
      <c r="AB547" s="282"/>
      <c r="AC547" s="282"/>
      <c r="AD547" s="282"/>
      <c r="AE547" s="282"/>
      <c r="AF547" s="223"/>
      <c r="AG547" s="223"/>
      <c r="AH547" s="223"/>
      <c r="AI547" s="223"/>
    </row>
    <row r="548" spans="1:126" x14ac:dyDescent="0.2">
      <c r="A548" s="54"/>
      <c r="B548" s="54"/>
      <c r="C548" s="54"/>
      <c r="D548" s="54"/>
      <c r="E548" s="54"/>
      <c r="F548" s="54"/>
      <c r="G548" s="54"/>
      <c r="H548" s="54"/>
      <c r="I548" s="54"/>
      <c r="J548" s="54"/>
      <c r="K548" s="54"/>
      <c r="L548" s="54"/>
      <c r="M548" s="54"/>
      <c r="N548" s="54"/>
      <c r="O548" s="54"/>
      <c r="P548" s="54"/>
      <c r="Q548" s="54"/>
      <c r="R548" s="54"/>
      <c r="S548" s="54"/>
      <c r="T548" s="54"/>
      <c r="U548" s="54"/>
      <c r="V548" s="54"/>
      <c r="W548" s="54"/>
      <c r="X548" s="54"/>
      <c r="Y548" s="54"/>
      <c r="Z548" s="54"/>
      <c r="AA548" s="223"/>
      <c r="AB548" s="223"/>
      <c r="AC548" s="223"/>
      <c r="AD548" s="223"/>
      <c r="AE548" s="223"/>
      <c r="AF548" s="223"/>
      <c r="AG548" s="223"/>
      <c r="AH548" s="223"/>
      <c r="AI548" s="223"/>
    </row>
    <row r="549" spans="1:126" x14ac:dyDescent="0.2">
      <c r="A549" s="54"/>
      <c r="B549" s="54"/>
      <c r="C549" s="54"/>
      <c r="D549" s="54"/>
      <c r="E549" s="54"/>
      <c r="F549" s="54"/>
      <c r="G549" s="54"/>
      <c r="H549" s="54"/>
      <c r="I549" s="54"/>
      <c r="J549" s="54"/>
      <c r="K549" s="54"/>
      <c r="L549" s="54"/>
      <c r="M549" s="54"/>
      <c r="N549" s="54"/>
      <c r="O549" s="54"/>
      <c r="P549" s="54"/>
      <c r="Q549" s="54"/>
      <c r="R549" s="54"/>
      <c r="S549" s="54"/>
      <c r="T549" s="54"/>
      <c r="U549" s="54"/>
      <c r="V549" s="54"/>
      <c r="W549" s="54"/>
      <c r="X549" s="54"/>
      <c r="Y549" s="54"/>
      <c r="Z549" s="54"/>
      <c r="AA549" s="223"/>
      <c r="AB549" s="223"/>
      <c r="AC549" s="223"/>
      <c r="AD549" s="223"/>
      <c r="AE549" s="223"/>
      <c r="AF549" s="223"/>
      <c r="AG549" s="223"/>
      <c r="AH549" s="223"/>
      <c r="AI549" s="223"/>
    </row>
    <row r="550" spans="1:126" x14ac:dyDescent="0.2">
      <c r="A550" s="54"/>
      <c r="B550" s="54"/>
      <c r="C550" s="324" t="s">
        <v>391</v>
      </c>
      <c r="D550" s="333"/>
      <c r="E550" s="333"/>
      <c r="F550" s="333"/>
      <c r="G550" s="333"/>
      <c r="H550" s="333"/>
      <c r="I550" s="333"/>
      <c r="J550" s="333"/>
      <c r="K550" s="333"/>
      <c r="L550" s="333"/>
      <c r="M550" s="333"/>
      <c r="N550" s="333"/>
      <c r="O550" s="333"/>
      <c r="P550" s="333"/>
      <c r="Q550" s="333"/>
      <c r="R550" s="333"/>
      <c r="S550" s="333"/>
      <c r="T550" s="333"/>
      <c r="U550" s="333"/>
      <c r="V550" s="333"/>
      <c r="W550" s="333"/>
      <c r="X550" s="333"/>
      <c r="Y550" s="333"/>
      <c r="Z550" s="333"/>
      <c r="AA550" s="333"/>
      <c r="AB550" s="333"/>
      <c r="AC550" s="333"/>
      <c r="AD550" s="333"/>
      <c r="AE550" s="333"/>
      <c r="AF550" s="333"/>
      <c r="AG550" s="333"/>
      <c r="AH550" s="333"/>
      <c r="AI550" s="333"/>
      <c r="AJ550" s="333"/>
      <c r="AK550" s="175"/>
      <c r="AY550" s="63"/>
      <c r="AZ550" s="63"/>
      <c r="BA550" s="63"/>
      <c r="CI550" s="63"/>
      <c r="DJ550" s="63"/>
      <c r="DK550" s="63"/>
      <c r="DL550" s="63"/>
    </row>
    <row r="551" spans="1:126" x14ac:dyDescent="0.2">
      <c r="A551" s="56"/>
      <c r="B551" s="54"/>
      <c r="C551" s="54"/>
      <c r="D551" s="54"/>
      <c r="E551" s="223"/>
      <c r="F551" s="54"/>
      <c r="G551" s="54"/>
      <c r="H551" s="54"/>
      <c r="I551" s="54"/>
      <c r="J551" s="54"/>
      <c r="K551" s="54"/>
      <c r="L551" s="54"/>
      <c r="M551" s="54"/>
      <c r="N551" s="54"/>
      <c r="O551" s="54"/>
      <c r="P551" s="54"/>
      <c r="Q551" s="54"/>
      <c r="R551" s="54"/>
      <c r="S551" s="54"/>
      <c r="T551" s="54"/>
      <c r="U551" s="54"/>
      <c r="V551" s="54"/>
      <c r="W551" s="54"/>
      <c r="X551" s="54"/>
      <c r="Y551" s="54"/>
      <c r="Z551" s="54"/>
      <c r="AA551" s="223"/>
      <c r="AB551" s="223"/>
      <c r="AC551" s="223"/>
      <c r="AD551" s="223"/>
      <c r="AE551" s="223"/>
      <c r="AF551" s="223"/>
      <c r="AG551" s="223"/>
      <c r="AH551" s="223"/>
      <c r="AI551" s="223"/>
      <c r="BB551" s="65"/>
      <c r="BE551" s="65"/>
      <c r="BQ551" s="65"/>
      <c r="CJ551" s="65"/>
      <c r="DM551" s="65"/>
      <c r="DN551" s="65"/>
      <c r="DO551" s="65"/>
    </row>
    <row r="552" spans="1:126" ht="27" customHeight="1" x14ac:dyDescent="0.2">
      <c r="A552" s="56"/>
      <c r="B552" s="54"/>
      <c r="C552" s="330"/>
      <c r="D552" s="330"/>
      <c r="E552" s="330"/>
      <c r="F552" s="330"/>
      <c r="G552" s="330"/>
      <c r="H552" s="330"/>
      <c r="I552" s="330"/>
      <c r="J552" s="330"/>
      <c r="K552" s="330"/>
      <c r="L552" s="330"/>
      <c r="M552" s="330"/>
      <c r="N552" s="330"/>
      <c r="O552" s="330"/>
      <c r="P552" s="330" t="s">
        <v>554</v>
      </c>
      <c r="Q552" s="330"/>
      <c r="R552" s="330"/>
      <c r="S552" s="330"/>
      <c r="T552" s="330"/>
      <c r="U552" s="330"/>
      <c r="V552" s="330"/>
      <c r="W552" s="330"/>
      <c r="X552" s="330"/>
      <c r="Y552" s="330"/>
      <c r="Z552" s="330"/>
      <c r="AA552" s="330"/>
      <c r="AB552" s="330"/>
      <c r="AC552" s="330"/>
      <c r="AD552" s="330"/>
      <c r="AE552" s="330"/>
      <c r="AF552" s="330"/>
      <c r="AG552" s="330"/>
      <c r="AH552" s="330"/>
      <c r="AI552" s="330"/>
    </row>
    <row r="553" spans="1:126" ht="29.25" customHeight="1" x14ac:dyDescent="0.2">
      <c r="A553" s="56"/>
      <c r="B553" s="54"/>
      <c r="C553" s="330"/>
      <c r="D553" s="330"/>
      <c r="E553" s="330"/>
      <c r="F553" s="330"/>
      <c r="G553" s="330"/>
      <c r="H553" s="330"/>
      <c r="I553" s="330"/>
      <c r="J553" s="330"/>
      <c r="K553" s="330"/>
      <c r="L553" s="330"/>
      <c r="M553" s="330"/>
      <c r="N553" s="330"/>
      <c r="O553" s="330"/>
      <c r="P553" s="330" t="s">
        <v>555</v>
      </c>
      <c r="Q553" s="330"/>
      <c r="R553" s="330"/>
      <c r="S553" s="330"/>
      <c r="T553" s="330"/>
      <c r="U553" s="330"/>
      <c r="V553" s="330"/>
      <c r="W553" s="330"/>
      <c r="X553" s="330"/>
      <c r="Y553" s="330"/>
      <c r="Z553" s="330"/>
      <c r="AA553" s="330"/>
      <c r="AB553" s="330"/>
      <c r="AC553" s="330"/>
      <c r="AD553" s="330"/>
      <c r="AE553" s="330"/>
      <c r="AF553" s="330"/>
      <c r="AG553" s="330"/>
      <c r="AH553" s="330"/>
      <c r="AI553" s="330"/>
    </row>
    <row r="554" spans="1:126" ht="15" customHeight="1" x14ac:dyDescent="0.2">
      <c r="A554" s="56"/>
      <c r="B554" s="54"/>
      <c r="C554" s="330"/>
      <c r="D554" s="330"/>
      <c r="E554" s="330"/>
      <c r="F554" s="330"/>
      <c r="G554" s="330"/>
      <c r="H554" s="330"/>
      <c r="I554" s="330"/>
      <c r="J554" s="330"/>
      <c r="K554" s="330"/>
      <c r="L554" s="330"/>
      <c r="M554" s="330"/>
      <c r="N554" s="330"/>
      <c r="O554" s="330"/>
      <c r="P554" s="330" t="s">
        <v>556</v>
      </c>
      <c r="Q554" s="330"/>
      <c r="R554" s="330"/>
      <c r="S554" s="330"/>
      <c r="T554" s="330"/>
      <c r="U554" s="330"/>
      <c r="V554" s="330"/>
      <c r="W554" s="330"/>
      <c r="X554" s="330"/>
      <c r="Y554" s="330"/>
      <c r="Z554" s="330"/>
      <c r="AA554" s="330"/>
      <c r="AB554" s="330"/>
      <c r="AC554" s="330"/>
      <c r="AD554" s="330"/>
      <c r="AE554" s="330"/>
      <c r="AF554" s="330"/>
      <c r="AG554" s="330"/>
      <c r="AH554" s="330"/>
      <c r="AI554" s="330"/>
    </row>
    <row r="555" spans="1:126" ht="29.25" customHeight="1" x14ac:dyDescent="0.2">
      <c r="A555" s="56"/>
      <c r="B555" s="54"/>
      <c r="C555" s="330"/>
      <c r="D555" s="330"/>
      <c r="E555" s="330"/>
      <c r="F555" s="330"/>
      <c r="G555" s="330"/>
      <c r="H555" s="330"/>
      <c r="I555" s="330"/>
      <c r="J555" s="330"/>
      <c r="K555" s="330"/>
      <c r="L555" s="330"/>
      <c r="M555" s="330"/>
      <c r="N555" s="330"/>
      <c r="O555" s="330"/>
      <c r="P555" s="330" t="s">
        <v>557</v>
      </c>
      <c r="Q555" s="330"/>
      <c r="R555" s="330"/>
      <c r="S555" s="330"/>
      <c r="T555" s="330"/>
      <c r="U555" s="330"/>
      <c r="V555" s="330"/>
      <c r="W555" s="330"/>
      <c r="X555" s="330"/>
      <c r="Y555" s="330"/>
      <c r="Z555" s="330"/>
      <c r="AA555" s="330"/>
      <c r="AB555" s="330"/>
      <c r="AC555" s="330"/>
      <c r="AD555" s="330"/>
      <c r="AE555" s="330"/>
      <c r="AF555" s="330"/>
      <c r="AG555" s="330"/>
      <c r="AH555" s="330"/>
      <c r="AI555" s="330"/>
      <c r="AY555" s="63"/>
      <c r="AZ555" s="63"/>
      <c r="BA555" s="63"/>
      <c r="CI555" s="63"/>
      <c r="DJ555" s="63"/>
      <c r="DK555" s="63"/>
      <c r="DL555" s="63"/>
    </row>
    <row r="556" spans="1:126" ht="26.25" customHeight="1" x14ac:dyDescent="0.2">
      <c r="A556" s="56"/>
      <c r="B556" s="54"/>
      <c r="C556" s="330"/>
      <c r="D556" s="330"/>
      <c r="E556" s="330"/>
      <c r="F556" s="330"/>
      <c r="G556" s="330"/>
      <c r="H556" s="330"/>
      <c r="I556" s="330"/>
      <c r="J556" s="330"/>
      <c r="K556" s="330"/>
      <c r="L556" s="330"/>
      <c r="M556" s="330"/>
      <c r="N556" s="330"/>
      <c r="O556" s="330"/>
      <c r="P556" s="330" t="s">
        <v>558</v>
      </c>
      <c r="Q556" s="330"/>
      <c r="R556" s="330"/>
      <c r="S556" s="330"/>
      <c r="T556" s="330"/>
      <c r="U556" s="330"/>
      <c r="V556" s="330"/>
      <c r="W556" s="330"/>
      <c r="X556" s="330"/>
      <c r="Y556" s="330"/>
      <c r="Z556" s="330"/>
      <c r="AA556" s="330"/>
      <c r="AB556" s="330"/>
      <c r="AC556" s="330"/>
      <c r="AD556" s="330"/>
      <c r="AE556" s="330"/>
      <c r="AF556" s="330"/>
      <c r="AG556" s="330"/>
      <c r="AH556" s="330"/>
      <c r="AI556" s="330"/>
    </row>
    <row r="557" spans="1:126" ht="14.25" customHeight="1" x14ac:dyDescent="0.2">
      <c r="A557" s="56"/>
      <c r="B557" s="54"/>
      <c r="C557" s="330"/>
      <c r="D557" s="330"/>
      <c r="E557" s="330"/>
      <c r="F557" s="330"/>
      <c r="G557" s="330"/>
      <c r="H557" s="330"/>
      <c r="I557" s="330"/>
      <c r="J557" s="330"/>
      <c r="K557" s="330"/>
      <c r="L557" s="330"/>
      <c r="M557" s="330"/>
      <c r="N557" s="330"/>
      <c r="O557" s="330"/>
      <c r="P557" s="330" t="s">
        <v>559</v>
      </c>
      <c r="Q557" s="330"/>
      <c r="R557" s="330"/>
      <c r="S557" s="330"/>
      <c r="T557" s="330"/>
      <c r="U557" s="330"/>
      <c r="V557" s="330"/>
      <c r="W557" s="330"/>
      <c r="X557" s="330"/>
      <c r="Y557" s="330"/>
      <c r="Z557" s="330"/>
      <c r="AA557" s="330"/>
      <c r="AB557" s="330"/>
      <c r="AC557" s="330"/>
      <c r="AD557" s="330"/>
      <c r="AE557" s="330"/>
      <c r="AF557" s="330"/>
      <c r="AG557" s="330"/>
      <c r="AH557" s="330"/>
      <c r="AI557" s="330"/>
      <c r="BC557" s="63"/>
      <c r="BD557" s="63"/>
      <c r="BF557" s="63"/>
      <c r="BG557" s="63"/>
      <c r="BH557" s="63"/>
      <c r="BI557" s="63"/>
      <c r="BJ557" s="63"/>
      <c r="BK557" s="63"/>
      <c r="BL557" s="63"/>
      <c r="BM557" s="63"/>
      <c r="BN557" s="63"/>
      <c r="BO557" s="63"/>
      <c r="BP557" s="63"/>
      <c r="BR557" s="63"/>
      <c r="BS557" s="63"/>
      <c r="BT557" s="63"/>
      <c r="BU557" s="63"/>
      <c r="BV557" s="63"/>
      <c r="BW557" s="63"/>
      <c r="BX557" s="63"/>
      <c r="BY557" s="63"/>
      <c r="BZ557" s="63"/>
      <c r="CK557" s="63"/>
      <c r="CL557" s="63"/>
      <c r="CM557" s="63"/>
      <c r="CN557" s="63"/>
      <c r="CO557" s="63"/>
      <c r="CP557" s="63"/>
      <c r="CQ557" s="63"/>
      <c r="DP557" s="63"/>
      <c r="DQ557" s="63"/>
      <c r="DR557" s="63"/>
      <c r="DS557" s="63"/>
      <c r="DT557" s="63"/>
      <c r="DU557" s="63"/>
      <c r="DV557" s="63"/>
    </row>
    <row r="558" spans="1:126" ht="14.25" customHeight="1" x14ac:dyDescent="0.2">
      <c r="A558" s="56"/>
      <c r="B558" s="54"/>
      <c r="C558" s="330"/>
      <c r="D558" s="330"/>
      <c r="E558" s="330"/>
      <c r="F558" s="330"/>
      <c r="G558" s="330"/>
      <c r="H558" s="330"/>
      <c r="I558" s="330"/>
      <c r="J558" s="330"/>
      <c r="K558" s="330"/>
      <c r="L558" s="330"/>
      <c r="M558" s="330"/>
      <c r="N558" s="330"/>
      <c r="O558" s="330"/>
      <c r="P558" s="330" t="s">
        <v>1007</v>
      </c>
      <c r="Q558" s="330"/>
      <c r="R558" s="330"/>
      <c r="S558" s="330"/>
      <c r="T558" s="330"/>
      <c r="U558" s="330"/>
      <c r="V558" s="330"/>
      <c r="W558" s="330"/>
      <c r="X558" s="330"/>
      <c r="Y558" s="330"/>
      <c r="Z558" s="330"/>
      <c r="AA558" s="330"/>
      <c r="AB558" s="330"/>
      <c r="AC558" s="330"/>
      <c r="AD558" s="330"/>
      <c r="AE558" s="330"/>
      <c r="AF558" s="330"/>
      <c r="AG558" s="330"/>
      <c r="AH558" s="330"/>
      <c r="AI558" s="330"/>
    </row>
    <row r="559" spans="1:126" ht="14.25" customHeight="1" x14ac:dyDescent="0.2">
      <c r="A559" s="56"/>
      <c r="B559" s="54"/>
      <c r="C559" s="54"/>
      <c r="D559" s="54"/>
      <c r="E559" s="223"/>
      <c r="F559" s="54"/>
      <c r="G559" s="54"/>
      <c r="H559" s="54"/>
      <c r="I559" s="54"/>
      <c r="J559" s="54"/>
      <c r="K559" s="54"/>
      <c r="L559" s="54"/>
      <c r="M559" s="54"/>
      <c r="N559" s="54"/>
      <c r="O559" s="54"/>
      <c r="P559" s="54"/>
      <c r="Q559" s="54"/>
      <c r="R559" s="54"/>
      <c r="S559" s="54"/>
      <c r="T559" s="54"/>
      <c r="U559" s="54"/>
      <c r="V559" s="54"/>
      <c r="W559" s="54"/>
      <c r="X559" s="54"/>
      <c r="Y559" s="54"/>
      <c r="Z559" s="54"/>
      <c r="AA559" s="223"/>
      <c r="AB559" s="223"/>
      <c r="AC559" s="223"/>
      <c r="AD559" s="223"/>
      <c r="AE559" s="223"/>
      <c r="AF559" s="223"/>
      <c r="AG559" s="223"/>
      <c r="AH559" s="223"/>
      <c r="AI559" s="223"/>
    </row>
    <row r="560" spans="1:126" x14ac:dyDescent="0.2">
      <c r="A560" s="54"/>
      <c r="B560" s="54"/>
      <c r="C560" s="54"/>
      <c r="D560" s="325" t="s">
        <v>384</v>
      </c>
      <c r="E560" s="325"/>
      <c r="F560" s="325"/>
      <c r="G560" s="325"/>
      <c r="H560" s="325"/>
      <c r="I560" s="325"/>
      <c r="J560" s="325"/>
      <c r="K560" s="325"/>
      <c r="L560" s="325"/>
      <c r="M560" s="325"/>
      <c r="N560" s="325"/>
      <c r="O560" s="325"/>
      <c r="P560" s="325"/>
      <c r="Q560" s="325"/>
      <c r="R560" s="325"/>
      <c r="S560" s="325"/>
      <c r="T560" s="325"/>
      <c r="U560" s="325"/>
      <c r="V560" s="325"/>
      <c r="W560" s="325"/>
      <c r="X560" s="325"/>
      <c r="Y560" s="325"/>
      <c r="Z560" s="325"/>
      <c r="AA560" s="325"/>
      <c r="AB560" s="325"/>
      <c r="AC560" s="325"/>
      <c r="AD560" s="325"/>
      <c r="AE560" s="325"/>
      <c r="AF560" s="325"/>
      <c r="AG560" s="325"/>
      <c r="AH560" s="325"/>
      <c r="AI560" s="325"/>
      <c r="AJ560" s="325"/>
      <c r="AK560" s="174"/>
      <c r="BB560" s="63"/>
      <c r="BE560" s="63"/>
      <c r="BQ560" s="63"/>
      <c r="CJ560" s="63"/>
      <c r="DM560" s="63"/>
      <c r="DN560" s="63"/>
      <c r="DO560" s="63"/>
    </row>
    <row r="561" spans="1:126" x14ac:dyDescent="0.2">
      <c r="A561" s="54"/>
      <c r="B561" s="54"/>
      <c r="C561" s="54"/>
      <c r="D561" s="54"/>
      <c r="E561" s="54"/>
      <c r="F561" s="54"/>
      <c r="G561" s="54"/>
      <c r="H561" s="54"/>
      <c r="I561" s="54"/>
      <c r="J561" s="54"/>
      <c r="K561" s="54"/>
      <c r="L561" s="54"/>
      <c r="M561" s="54"/>
      <c r="N561" s="54"/>
      <c r="O561" s="54"/>
      <c r="P561" s="54"/>
      <c r="Q561" s="54"/>
      <c r="R561" s="54"/>
      <c r="S561" s="54"/>
      <c r="T561" s="54"/>
      <c r="U561" s="54"/>
      <c r="V561" s="54"/>
      <c r="W561" s="54"/>
      <c r="X561" s="54"/>
      <c r="Y561" s="54"/>
      <c r="Z561" s="54"/>
      <c r="AA561" s="223"/>
      <c r="AB561" s="223"/>
      <c r="AC561" s="223"/>
      <c r="AD561" s="223"/>
      <c r="AE561" s="223"/>
      <c r="AF561" s="223"/>
      <c r="AG561" s="223"/>
      <c r="AH561" s="223"/>
      <c r="AI561" s="223"/>
    </row>
    <row r="562" spans="1:126" ht="14.25" customHeight="1" x14ac:dyDescent="0.2">
      <c r="A562" s="54"/>
      <c r="B562" s="280" t="s">
        <v>553</v>
      </c>
      <c r="C562" s="280"/>
      <c r="D562" s="280"/>
      <c r="E562" s="280"/>
      <c r="F562" s="280"/>
      <c r="G562" s="280" t="s">
        <v>563</v>
      </c>
      <c r="H562" s="280"/>
      <c r="I562" s="280"/>
      <c r="J562" s="280"/>
      <c r="K562" s="280"/>
      <c r="L562" s="322" t="s">
        <v>460</v>
      </c>
      <c r="M562" s="280"/>
      <c r="N562" s="280"/>
      <c r="O562" s="280"/>
      <c r="P562" s="280"/>
      <c r="Q562" s="280" t="s">
        <v>459</v>
      </c>
      <c r="R562" s="280"/>
      <c r="S562" s="280"/>
      <c r="T562" s="280"/>
      <c r="U562" s="280"/>
      <c r="V562" s="280" t="s">
        <v>567</v>
      </c>
      <c r="W562" s="280"/>
      <c r="X562" s="280"/>
      <c r="Y562" s="280"/>
      <c r="Z562" s="280"/>
      <c r="AA562" s="280" t="s">
        <v>568</v>
      </c>
      <c r="AB562" s="280"/>
      <c r="AC562" s="280"/>
      <c r="AD562" s="280"/>
      <c r="AE562" s="280"/>
      <c r="AF562" s="280" t="s">
        <v>382</v>
      </c>
      <c r="AG562" s="280"/>
      <c r="AH562" s="280"/>
      <c r="AI562" s="280"/>
      <c r="AJ562" s="221"/>
      <c r="AK562" s="182"/>
    </row>
    <row r="563" spans="1:126" x14ac:dyDescent="0.2">
      <c r="A563" s="54"/>
      <c r="B563" s="305">
        <f>IFERROR(IF(IFERROR(FIND("sin",$O$81,1),0)&gt;0,1,2),"-")</f>
        <v>2</v>
      </c>
      <c r="C563" s="305"/>
      <c r="D563" s="305"/>
      <c r="E563" s="305"/>
      <c r="F563" s="305"/>
      <c r="G563" s="305">
        <f>IFERROR(MIN($Z$122,MIN(1.9*$Z$121,125000*0.0069)),"-")</f>
        <v>0</v>
      </c>
      <c r="H563" s="305"/>
      <c r="I563" s="305"/>
      <c r="J563" s="305"/>
      <c r="K563" s="305"/>
      <c r="L563" s="305">
        <f>$S$196</f>
        <v>36.75</v>
      </c>
      <c r="M563" s="305"/>
      <c r="N563" s="305"/>
      <c r="O563" s="305"/>
      <c r="P563" s="305"/>
      <c r="Q563" s="305">
        <f>$L$410</f>
        <v>0</v>
      </c>
      <c r="R563" s="305"/>
      <c r="S563" s="305"/>
      <c r="T563" s="305"/>
      <c r="U563" s="305"/>
      <c r="V563" s="316" t="str">
        <f>IF($O$81="Ninguna","-",$Z$83+($Z$80/2))</f>
        <v>-</v>
      </c>
      <c r="W563" s="316"/>
      <c r="X563" s="316"/>
      <c r="Y563" s="316"/>
      <c r="Z563" s="316"/>
      <c r="AA563" s="316">
        <f>$Z$66</f>
        <v>25.4</v>
      </c>
      <c r="AB563" s="316"/>
      <c r="AC563" s="316"/>
      <c r="AD563" s="316"/>
      <c r="AE563" s="316"/>
      <c r="AF563" s="282" t="str">
        <f>IF($O$81="Ninguna","-",IF($Z$92="Restringido",0,0.5))</f>
        <v>-</v>
      </c>
      <c r="AG563" s="282"/>
      <c r="AH563" s="282"/>
      <c r="AI563" s="282"/>
    </row>
    <row r="564" spans="1:126" ht="14.25" customHeight="1" x14ac:dyDescent="0.2">
      <c r="A564" s="54"/>
      <c r="B564" s="54"/>
      <c r="C564" s="54"/>
      <c r="D564" s="54"/>
      <c r="E564" s="54"/>
      <c r="F564" s="54"/>
      <c r="G564" s="54"/>
      <c r="H564" s="54"/>
      <c r="I564" s="54"/>
      <c r="J564" s="54"/>
      <c r="K564" s="54"/>
      <c r="L564" s="54"/>
      <c r="M564" s="54"/>
      <c r="N564" s="54"/>
      <c r="O564" s="54"/>
      <c r="P564" s="54"/>
      <c r="Q564" s="54"/>
      <c r="R564" s="54"/>
      <c r="S564" s="54"/>
      <c r="T564" s="54"/>
      <c r="U564" s="54"/>
      <c r="V564" s="54"/>
      <c r="W564" s="54"/>
      <c r="X564" s="54"/>
      <c r="Y564" s="54"/>
      <c r="Z564" s="54"/>
      <c r="AA564" s="223"/>
      <c r="AB564" s="223"/>
      <c r="AC564" s="223"/>
      <c r="AD564" s="223"/>
      <c r="AE564" s="223"/>
      <c r="AF564" s="223"/>
      <c r="AG564" s="223"/>
      <c r="AH564" s="223"/>
      <c r="AI564" s="223"/>
      <c r="AY564" s="63"/>
      <c r="AZ564" s="63"/>
      <c r="BA564" s="63"/>
      <c r="CI564" s="63"/>
      <c r="DJ564" s="63"/>
      <c r="DK564" s="63"/>
      <c r="DL564" s="63"/>
    </row>
    <row r="565" spans="1:126" x14ac:dyDescent="0.2">
      <c r="A565" s="54"/>
      <c r="B565" s="54"/>
      <c r="C565" s="54"/>
      <c r="D565" s="325" t="s">
        <v>385</v>
      </c>
      <c r="E565" s="325"/>
      <c r="F565" s="325"/>
      <c r="G565" s="325"/>
      <c r="H565" s="325"/>
      <c r="I565" s="325"/>
      <c r="J565" s="325"/>
      <c r="K565" s="325"/>
      <c r="L565" s="325"/>
      <c r="M565" s="325"/>
      <c r="N565" s="325"/>
      <c r="O565" s="325"/>
      <c r="P565" s="325"/>
      <c r="Q565" s="325"/>
      <c r="R565" s="325"/>
      <c r="S565" s="325"/>
      <c r="T565" s="325"/>
      <c r="U565" s="325"/>
      <c r="V565" s="325"/>
      <c r="W565" s="325"/>
      <c r="X565" s="325"/>
      <c r="Y565" s="325"/>
      <c r="Z565" s="325"/>
      <c r="AA565" s="325"/>
      <c r="AB565" s="325"/>
      <c r="AC565" s="325"/>
      <c r="AD565" s="325"/>
      <c r="AE565" s="325"/>
      <c r="AF565" s="325"/>
      <c r="AG565" s="325"/>
      <c r="AH565" s="325"/>
      <c r="AI565" s="325"/>
      <c r="AJ565" s="325"/>
      <c r="AK565" s="174"/>
      <c r="AX565" s="59"/>
    </row>
    <row r="566" spans="1:126" x14ac:dyDescent="0.2">
      <c r="A566" s="54"/>
      <c r="B566" s="71"/>
      <c r="C566" s="54"/>
      <c r="D566" s="54"/>
      <c r="E566" s="54"/>
      <c r="F566" s="54"/>
      <c r="G566" s="54"/>
      <c r="H566" s="54"/>
      <c r="I566" s="54"/>
      <c r="J566" s="54"/>
      <c r="K566" s="54"/>
      <c r="L566" s="54"/>
      <c r="M566" s="54"/>
      <c r="N566" s="54"/>
      <c r="O566" s="54"/>
      <c r="P566" s="54"/>
      <c r="Q566" s="54"/>
      <c r="R566" s="54"/>
      <c r="S566" s="54"/>
      <c r="T566" s="54"/>
      <c r="U566" s="54"/>
      <c r="V566" s="223"/>
      <c r="W566" s="223"/>
      <c r="X566" s="223"/>
      <c r="Y566" s="223"/>
      <c r="Z566" s="223"/>
      <c r="AA566" s="223"/>
      <c r="AB566" s="223"/>
      <c r="AC566" s="223"/>
      <c r="AD566" s="223"/>
      <c r="AE566" s="223"/>
      <c r="AF566" s="223"/>
      <c r="AG566" s="223"/>
      <c r="AH566" s="223"/>
      <c r="AI566" s="223"/>
    </row>
    <row r="567" spans="1:126" ht="14.25" customHeight="1" x14ac:dyDescent="0.2">
      <c r="A567" s="54"/>
      <c r="B567" s="322" t="s">
        <v>562</v>
      </c>
      <c r="C567" s="280"/>
      <c r="D567" s="280"/>
      <c r="E567" s="280"/>
      <c r="F567" s="280"/>
      <c r="G567" s="280"/>
      <c r="H567" s="280"/>
      <c r="I567" s="280"/>
      <c r="J567" s="280"/>
      <c r="K567" s="280"/>
      <c r="L567" s="280" t="s">
        <v>560</v>
      </c>
      <c r="M567" s="280"/>
      <c r="N567" s="280"/>
      <c r="O567" s="280"/>
      <c r="P567" s="280"/>
      <c r="Q567" s="280" t="s">
        <v>579</v>
      </c>
      <c r="R567" s="280"/>
      <c r="S567" s="280"/>
      <c r="T567" s="280"/>
      <c r="U567" s="280"/>
      <c r="V567" s="322" t="s">
        <v>561</v>
      </c>
      <c r="W567" s="280"/>
      <c r="X567" s="280"/>
      <c r="Y567" s="280"/>
      <c r="Z567" s="280"/>
      <c r="AA567" s="223"/>
      <c r="AB567" s="223"/>
      <c r="AC567" s="223"/>
      <c r="AD567" s="223"/>
      <c r="AE567" s="223"/>
      <c r="AF567" s="223"/>
      <c r="AG567" s="223"/>
      <c r="AH567" s="223"/>
      <c r="AI567" s="223"/>
      <c r="AX567" s="59"/>
      <c r="BC567" s="63"/>
      <c r="BD567" s="63"/>
      <c r="BF567" s="63"/>
      <c r="BG567" s="63"/>
      <c r="BH567" s="63"/>
      <c r="BI567" s="63"/>
      <c r="BJ567" s="63"/>
      <c r="BK567" s="63"/>
      <c r="BL567" s="63"/>
      <c r="BM567" s="63"/>
      <c r="BN567" s="63"/>
      <c r="BO567" s="63"/>
      <c r="BP567" s="63"/>
      <c r="BR567" s="63"/>
      <c r="BS567" s="63"/>
      <c r="BT567" s="63"/>
      <c r="BU567" s="63"/>
      <c r="BV567" s="63"/>
      <c r="BW567" s="63"/>
      <c r="BX567" s="63"/>
      <c r="BY567" s="63"/>
      <c r="BZ567" s="63"/>
      <c r="CK567" s="63"/>
      <c r="CL567" s="63"/>
      <c r="CM567" s="63"/>
      <c r="CN567" s="63"/>
      <c r="CO567" s="63"/>
      <c r="CP567" s="63"/>
      <c r="CQ567" s="63"/>
      <c r="DP567" s="63"/>
      <c r="DQ567" s="63"/>
      <c r="DR567" s="63"/>
      <c r="DS567" s="63"/>
      <c r="DT567" s="63"/>
      <c r="DU567" s="63"/>
      <c r="DV567" s="63"/>
    </row>
    <row r="568" spans="1:126" x14ac:dyDescent="0.2">
      <c r="A568" s="54"/>
      <c r="B568" s="305" t="str">
        <f>IF($O$81="Ninguna","-",IFERROR((1.2*(PI()*((($G$400*4/PI())^0.5)^3)/32)*$G$563)/1000,"-"))</f>
        <v>-</v>
      </c>
      <c r="C568" s="305"/>
      <c r="D568" s="305"/>
      <c r="E568" s="305"/>
      <c r="F568" s="305"/>
      <c r="G568" s="282" t="str">
        <f>IF($O$81="Ninguna","-",IFERROR(1-($L$563/$Q$563),"-"))</f>
        <v>-</v>
      </c>
      <c r="H568" s="282"/>
      <c r="I568" s="282"/>
      <c r="J568" s="282"/>
      <c r="K568" s="282"/>
      <c r="L568" s="305" t="str">
        <f>IF($O$81="Ninguna","-",IFERROR(B568*G568,"-"))</f>
        <v>-</v>
      </c>
      <c r="M568" s="305"/>
      <c r="N568" s="305"/>
      <c r="O568" s="305"/>
      <c r="P568" s="305"/>
      <c r="Q568" s="316" t="str">
        <f>IF($O$81="Ninguna","-",IFERROR(($V$563)+($AF$563*$AA$563),"-"))</f>
        <v>-</v>
      </c>
      <c r="R568" s="316"/>
      <c r="S568" s="316"/>
      <c r="T568" s="316"/>
      <c r="U568" s="316"/>
      <c r="V568" s="305" t="str">
        <f>IF(Z$83&gt;0,IFERROR( B563*L568/Q568,"-"),"-")</f>
        <v>-</v>
      </c>
      <c r="W568" s="305"/>
      <c r="X568" s="305"/>
      <c r="Y568" s="305"/>
      <c r="Z568" s="305"/>
      <c r="AA568" s="223"/>
      <c r="AB568" s="223"/>
      <c r="AC568" s="223"/>
      <c r="AD568" s="223"/>
      <c r="AE568" s="223"/>
      <c r="AF568" s="223"/>
      <c r="AG568" s="223"/>
      <c r="AH568" s="223"/>
      <c r="AI568" s="223"/>
    </row>
    <row r="569" spans="1:126" x14ac:dyDescent="0.2">
      <c r="A569" s="54"/>
      <c r="B569" s="54"/>
      <c r="C569" s="54"/>
      <c r="D569" s="54"/>
      <c r="E569" s="54"/>
      <c r="F569" s="54"/>
      <c r="G569" s="54"/>
      <c r="H569" s="54"/>
      <c r="I569" s="54"/>
      <c r="J569" s="54"/>
      <c r="K569" s="54"/>
      <c r="L569" s="54"/>
      <c r="M569" s="54"/>
      <c r="N569" s="54"/>
      <c r="O569" s="54"/>
      <c r="P569" s="54"/>
      <c r="Q569" s="54"/>
      <c r="R569" s="54"/>
      <c r="S569" s="54"/>
      <c r="T569" s="54"/>
      <c r="U569" s="54"/>
      <c r="V569" s="223"/>
      <c r="W569" s="223"/>
      <c r="X569" s="223"/>
      <c r="Y569" s="223"/>
      <c r="Z569" s="223"/>
      <c r="AA569" s="223"/>
      <c r="AB569" s="223"/>
      <c r="AC569" s="223"/>
      <c r="AD569" s="223"/>
      <c r="AE569" s="223"/>
      <c r="AF569" s="223"/>
      <c r="AG569" s="223"/>
      <c r="AH569" s="223"/>
      <c r="AI569" s="223"/>
      <c r="AX569" s="59"/>
    </row>
    <row r="570" spans="1:126" x14ac:dyDescent="0.2">
      <c r="A570" s="54"/>
      <c r="B570" s="54"/>
      <c r="C570" s="54"/>
      <c r="D570" s="325" t="s">
        <v>386</v>
      </c>
      <c r="E570" s="325"/>
      <c r="F570" s="325"/>
      <c r="G570" s="325"/>
      <c r="H570" s="325"/>
      <c r="I570" s="325"/>
      <c r="J570" s="325"/>
      <c r="K570" s="325"/>
      <c r="L570" s="325"/>
      <c r="M570" s="325"/>
      <c r="N570" s="325"/>
      <c r="O570" s="325"/>
      <c r="P570" s="325"/>
      <c r="Q570" s="325"/>
      <c r="R570" s="325"/>
      <c r="S570" s="325"/>
      <c r="T570" s="325"/>
      <c r="U570" s="325"/>
      <c r="V570" s="325"/>
      <c r="W570" s="325"/>
      <c r="X570" s="325"/>
      <c r="Y570" s="325"/>
      <c r="Z570" s="325"/>
      <c r="AA570" s="325"/>
      <c r="AB570" s="325"/>
      <c r="AC570" s="325"/>
      <c r="AD570" s="325"/>
      <c r="AE570" s="325"/>
      <c r="AF570" s="325"/>
      <c r="AG570" s="325"/>
      <c r="AH570" s="325"/>
      <c r="AI570" s="325"/>
      <c r="AJ570" s="325"/>
      <c r="AK570" s="174"/>
      <c r="AX570" s="59"/>
    </row>
    <row r="571" spans="1:126" x14ac:dyDescent="0.2">
      <c r="A571" s="54"/>
      <c r="B571" s="54"/>
      <c r="C571" s="54"/>
      <c r="D571" s="54"/>
      <c r="E571" s="54"/>
      <c r="F571" s="54"/>
      <c r="G571" s="54"/>
      <c r="H571" s="54"/>
      <c r="I571" s="54"/>
      <c r="J571" s="54"/>
      <c r="K571" s="54"/>
      <c r="L571" s="54"/>
      <c r="M571" s="54"/>
      <c r="N571" s="54"/>
      <c r="O571" s="54"/>
      <c r="P571" s="54"/>
      <c r="Q571" s="54"/>
      <c r="R571" s="54"/>
      <c r="S571" s="54"/>
      <c r="T571" s="54"/>
      <c r="U571" s="54"/>
      <c r="V571" s="54"/>
      <c r="W571" s="54"/>
      <c r="X571" s="54"/>
      <c r="Y571" s="54"/>
      <c r="Z571" s="54"/>
      <c r="AA571" s="223"/>
      <c r="AB571" s="223"/>
      <c r="AC571" s="223"/>
      <c r="AD571" s="223"/>
      <c r="AE571" s="223"/>
      <c r="AF571" s="223"/>
      <c r="AG571" s="223"/>
      <c r="AH571" s="223"/>
      <c r="AI571" s="223"/>
      <c r="BB571" s="63"/>
      <c r="BE571" s="63"/>
      <c r="BQ571" s="63"/>
      <c r="CJ571" s="63"/>
      <c r="DM571" s="63"/>
      <c r="DN571" s="63"/>
      <c r="DO571" s="63"/>
    </row>
    <row r="572" spans="1:126" ht="14.25" customHeight="1" x14ac:dyDescent="0.2">
      <c r="A572" s="54"/>
      <c r="B572" s="322" t="s">
        <v>569</v>
      </c>
      <c r="C572" s="280"/>
      <c r="D572" s="280"/>
      <c r="E572" s="280"/>
      <c r="F572" s="280"/>
      <c r="G572" s="280" t="s">
        <v>457</v>
      </c>
      <c r="H572" s="280"/>
      <c r="I572" s="280"/>
      <c r="J572" s="280"/>
      <c r="K572" s="280"/>
      <c r="L572" s="322" t="s">
        <v>569</v>
      </c>
      <c r="M572" s="280"/>
      <c r="N572" s="280"/>
      <c r="O572" s="280"/>
      <c r="P572" s="280"/>
      <c r="Q572" s="322" t="s">
        <v>551</v>
      </c>
      <c r="R572" s="280"/>
      <c r="S572" s="280"/>
      <c r="T572" s="280"/>
      <c r="U572" s="280"/>
      <c r="V572" s="280" t="s">
        <v>910</v>
      </c>
      <c r="W572" s="280"/>
      <c r="X572" s="280"/>
      <c r="Y572" s="280"/>
      <c r="Z572" s="280"/>
      <c r="AA572" s="496" t="s">
        <v>1003</v>
      </c>
      <c r="AB572" s="496"/>
      <c r="AC572" s="496"/>
      <c r="AD572" s="496"/>
      <c r="AE572" s="496"/>
      <c r="AF572" s="223"/>
      <c r="AG572" s="223"/>
      <c r="AH572" s="223"/>
      <c r="AI572" s="223"/>
      <c r="BC572" s="63"/>
      <c r="BD572" s="63"/>
      <c r="BF572" s="63"/>
      <c r="BG572" s="63"/>
      <c r="BH572" s="63"/>
      <c r="BI572" s="63"/>
      <c r="BJ572" s="63"/>
      <c r="BK572" s="63"/>
      <c r="BL572" s="63"/>
      <c r="BM572" s="63"/>
      <c r="BN572" s="63"/>
      <c r="BO572" s="63"/>
      <c r="BP572" s="63"/>
      <c r="BR572" s="63"/>
      <c r="BS572" s="63"/>
      <c r="BT572" s="63"/>
      <c r="BU572" s="63"/>
      <c r="BV572" s="63"/>
      <c r="BW572" s="63"/>
      <c r="BX572" s="63"/>
      <c r="BY572" s="63"/>
      <c r="BZ572" s="63"/>
      <c r="CK572" s="63"/>
      <c r="CL572" s="63"/>
      <c r="CM572" s="63"/>
      <c r="CN572" s="63"/>
      <c r="CO572" s="63"/>
      <c r="CP572" s="63"/>
      <c r="CQ572" s="63"/>
      <c r="DP572" s="63"/>
      <c r="DQ572" s="63"/>
      <c r="DR572" s="63"/>
      <c r="DS572" s="63"/>
      <c r="DT572" s="63"/>
      <c r="DU572" s="63"/>
      <c r="DV572" s="63"/>
    </row>
    <row r="573" spans="1:126" x14ac:dyDescent="0.2">
      <c r="A573" s="54"/>
      <c r="B573" s="305" t="str">
        <f>IF(V568="-","-",V568)</f>
        <v>-</v>
      </c>
      <c r="C573" s="305"/>
      <c r="D573" s="305"/>
      <c r="E573" s="305"/>
      <c r="F573" s="305"/>
      <c r="G573" s="282" t="str">
        <f>IF($B573="-","-",IFERROR(IF($Z$120="(dúctil)",0.65,IF($Z$120="(no dúctil)",0.6,"-")),"-"))</f>
        <v>-</v>
      </c>
      <c r="H573" s="282"/>
      <c r="I573" s="282"/>
      <c r="J573" s="282"/>
      <c r="K573" s="282"/>
      <c r="L573" s="305" t="str">
        <f>IF($B573="-","-",$B573*$G573)</f>
        <v>-</v>
      </c>
      <c r="M573" s="305"/>
      <c r="N573" s="305"/>
      <c r="O573" s="305"/>
      <c r="P573" s="305"/>
      <c r="Q573" s="305" t="str">
        <f>IF($B$573="-","-",$S$198)</f>
        <v>-</v>
      </c>
      <c r="R573" s="305"/>
      <c r="S573" s="305"/>
      <c r="T573" s="305"/>
      <c r="U573" s="305"/>
      <c r="V573" s="305" t="str">
        <f>IFERROR(100*$Q573/($L573/$AA573),"-")</f>
        <v>-</v>
      </c>
      <c r="W573" s="305"/>
      <c r="X573" s="305"/>
      <c r="Y573" s="305"/>
      <c r="Z573" s="305"/>
      <c r="AA573" s="282">
        <f>IFERROR($L$176,1)</f>
        <v>1</v>
      </c>
      <c r="AB573" s="282"/>
      <c r="AC573" s="282"/>
      <c r="AD573" s="282"/>
      <c r="AE573" s="282"/>
      <c r="AF573" s="223"/>
      <c r="AG573" s="223"/>
      <c r="AH573" s="223"/>
      <c r="AI573" s="223"/>
      <c r="AV573" s="59"/>
      <c r="AW573" s="59"/>
      <c r="AY573" s="63"/>
      <c r="AZ573" s="63"/>
      <c r="BA573" s="63"/>
      <c r="CI573" s="63"/>
      <c r="DJ573" s="63"/>
      <c r="DK573" s="63"/>
      <c r="DL573" s="63"/>
    </row>
    <row r="574" spans="1:126" x14ac:dyDescent="0.2">
      <c r="A574" s="54"/>
      <c r="B574" s="54"/>
      <c r="C574" s="54"/>
      <c r="D574" s="54"/>
      <c r="E574" s="54"/>
      <c r="F574" s="54"/>
      <c r="G574" s="54"/>
      <c r="H574" s="54"/>
      <c r="I574" s="54"/>
      <c r="J574" s="54"/>
      <c r="K574" s="54"/>
      <c r="L574" s="54"/>
      <c r="M574" s="54"/>
      <c r="N574" s="54"/>
      <c r="O574" s="54"/>
      <c r="P574" s="54"/>
      <c r="Q574" s="54"/>
      <c r="R574" s="54"/>
      <c r="S574" s="54"/>
      <c r="T574" s="54"/>
      <c r="U574" s="54"/>
      <c r="V574" s="54"/>
      <c r="W574" s="54"/>
      <c r="X574" s="54"/>
      <c r="Y574" s="54"/>
      <c r="Z574" s="54"/>
      <c r="AA574" s="223"/>
      <c r="AB574" s="223"/>
      <c r="AC574" s="223"/>
      <c r="AD574" s="223"/>
      <c r="AE574" s="223"/>
      <c r="AF574" s="223"/>
      <c r="AG574" s="223"/>
      <c r="AH574" s="223"/>
      <c r="AI574" s="223"/>
    </row>
    <row r="575" spans="1:126" x14ac:dyDescent="0.2">
      <c r="A575" s="54"/>
      <c r="B575" s="54"/>
      <c r="C575" s="54"/>
      <c r="D575" s="54"/>
      <c r="E575" s="54"/>
      <c r="F575" s="54"/>
      <c r="G575" s="54"/>
      <c r="H575" s="54"/>
      <c r="I575" s="54"/>
      <c r="J575" s="54"/>
      <c r="K575" s="54"/>
      <c r="L575" s="54"/>
      <c r="M575" s="54"/>
      <c r="N575" s="54"/>
      <c r="O575" s="54"/>
      <c r="P575" s="54"/>
      <c r="Q575" s="54"/>
      <c r="R575" s="54"/>
      <c r="S575" s="54"/>
      <c r="T575" s="54"/>
      <c r="U575" s="54"/>
      <c r="V575" s="54"/>
      <c r="W575" s="54"/>
      <c r="X575" s="54"/>
      <c r="Y575" s="54"/>
      <c r="Z575" s="54"/>
      <c r="AA575" s="223"/>
      <c r="AB575" s="223"/>
      <c r="AC575" s="223"/>
      <c r="AD575" s="223"/>
      <c r="AE575" s="223"/>
      <c r="AF575" s="223"/>
      <c r="AG575" s="223"/>
      <c r="AH575" s="223"/>
      <c r="AI575" s="223"/>
      <c r="AV575" s="59"/>
      <c r="AW575" s="59"/>
    </row>
    <row r="576" spans="1:126" x14ac:dyDescent="0.2">
      <c r="A576" s="54"/>
      <c r="B576" s="54"/>
      <c r="C576" s="324" t="s">
        <v>580</v>
      </c>
      <c r="D576" s="333"/>
      <c r="E576" s="333"/>
      <c r="F576" s="333"/>
      <c r="G576" s="333"/>
      <c r="H576" s="333"/>
      <c r="I576" s="333"/>
      <c r="J576" s="333"/>
      <c r="K576" s="333"/>
      <c r="L576" s="333"/>
      <c r="M576" s="333"/>
      <c r="N576" s="333"/>
      <c r="O576" s="333"/>
      <c r="P576" s="333"/>
      <c r="Q576" s="333"/>
      <c r="R576" s="333"/>
      <c r="S576" s="333"/>
      <c r="T576" s="333"/>
      <c r="U576" s="333"/>
      <c r="V576" s="333"/>
      <c r="W576" s="333"/>
      <c r="X576" s="333"/>
      <c r="Y576" s="333"/>
      <c r="Z576" s="333"/>
      <c r="AA576" s="333"/>
      <c r="AB576" s="333"/>
      <c r="AC576" s="333"/>
      <c r="AD576" s="333"/>
      <c r="AE576" s="333"/>
      <c r="AF576" s="333"/>
      <c r="AG576" s="333"/>
      <c r="AH576" s="333"/>
      <c r="AI576" s="333"/>
      <c r="AJ576" s="333"/>
      <c r="AK576" s="175"/>
    </row>
    <row r="577" spans="1:126" ht="14.25" customHeight="1" x14ac:dyDescent="0.2">
      <c r="A577" s="56"/>
      <c r="B577" s="54"/>
      <c r="C577" s="54"/>
      <c r="D577" s="54"/>
      <c r="E577" s="223"/>
      <c r="F577" s="54"/>
      <c r="G577" s="54"/>
      <c r="H577" s="54"/>
      <c r="I577" s="54"/>
      <c r="J577" s="54"/>
      <c r="K577" s="54"/>
      <c r="L577" s="54"/>
      <c r="M577" s="54"/>
      <c r="N577" s="54"/>
      <c r="O577" s="54"/>
      <c r="P577" s="54"/>
      <c r="Q577" s="54"/>
      <c r="R577" s="54"/>
      <c r="S577" s="54"/>
      <c r="T577" s="54"/>
      <c r="U577" s="54"/>
      <c r="V577" s="54"/>
      <c r="W577" s="54"/>
      <c r="X577" s="54"/>
      <c r="Y577" s="54"/>
      <c r="Z577" s="54"/>
      <c r="AA577" s="223"/>
      <c r="AB577" s="223"/>
      <c r="AC577" s="223"/>
      <c r="AD577" s="223"/>
      <c r="AE577" s="223"/>
      <c r="AF577" s="223"/>
      <c r="AG577" s="223"/>
      <c r="AH577" s="223"/>
      <c r="AI577" s="223"/>
      <c r="AV577" s="59"/>
      <c r="AW577" s="59"/>
    </row>
    <row r="578" spans="1:126" ht="29.25" customHeight="1" x14ac:dyDescent="0.2">
      <c r="A578" s="56"/>
      <c r="B578" s="54"/>
      <c r="C578" s="330"/>
      <c r="D578" s="330"/>
      <c r="E578" s="330"/>
      <c r="F578" s="330"/>
      <c r="G578" s="330"/>
      <c r="H578" s="330"/>
      <c r="I578" s="330"/>
      <c r="J578" s="330"/>
      <c r="K578" s="330"/>
      <c r="L578" s="330"/>
      <c r="M578" s="330"/>
      <c r="N578" s="330"/>
      <c r="O578" s="330"/>
      <c r="P578" s="330" t="s">
        <v>1029</v>
      </c>
      <c r="Q578" s="330"/>
      <c r="R578" s="330"/>
      <c r="S578" s="330"/>
      <c r="T578" s="330"/>
      <c r="U578" s="330"/>
      <c r="V578" s="330"/>
      <c r="W578" s="330"/>
      <c r="X578" s="330"/>
      <c r="Y578" s="330"/>
      <c r="Z578" s="330"/>
      <c r="AA578" s="330"/>
      <c r="AB578" s="330"/>
      <c r="AC578" s="330"/>
      <c r="AD578" s="330"/>
      <c r="AE578" s="330"/>
      <c r="AF578" s="330"/>
      <c r="AG578" s="330"/>
      <c r="AH578" s="330"/>
      <c r="AI578" s="330"/>
      <c r="AL578" s="59"/>
      <c r="AM578" s="59"/>
      <c r="AN578" s="59"/>
      <c r="AO578" s="59"/>
      <c r="AP578" s="59"/>
      <c r="AQ578" s="59"/>
      <c r="AR578" s="59"/>
      <c r="AS578" s="59"/>
      <c r="AT578" s="59"/>
      <c r="AU578" s="59"/>
      <c r="AV578" s="59"/>
      <c r="AW578" s="59"/>
      <c r="BB578" s="62"/>
      <c r="BC578" s="62"/>
      <c r="BD578" s="62"/>
      <c r="BE578" s="62"/>
      <c r="BF578" s="62"/>
      <c r="BG578" s="62"/>
      <c r="BH578" s="62"/>
      <c r="BI578" s="62"/>
      <c r="BJ578" s="62"/>
      <c r="BK578" s="62"/>
      <c r="BL578" s="62"/>
      <c r="BM578" s="62"/>
      <c r="BN578" s="62"/>
      <c r="BO578" s="62"/>
      <c r="BP578" s="62"/>
      <c r="BQ578" s="62"/>
      <c r="BR578" s="62"/>
      <c r="BS578" s="62"/>
      <c r="BT578" s="62"/>
      <c r="BU578" s="62"/>
      <c r="BV578" s="62"/>
      <c r="BW578" s="62"/>
      <c r="BX578" s="62"/>
      <c r="BY578" s="62"/>
      <c r="BZ578" s="62"/>
      <c r="CH578" s="59"/>
      <c r="CJ578" s="62"/>
      <c r="CK578" s="62"/>
      <c r="CL578" s="62"/>
      <c r="CM578" s="62"/>
      <c r="CN578" s="62"/>
      <c r="CO578" s="62"/>
      <c r="CP578" s="62"/>
      <c r="CQ578" s="62"/>
      <c r="DM578" s="62"/>
      <c r="DN578" s="62"/>
      <c r="DO578" s="62"/>
      <c r="DP578" s="62"/>
      <c r="DQ578" s="62"/>
      <c r="DR578" s="62"/>
      <c r="DS578" s="62"/>
      <c r="DT578" s="62"/>
      <c r="DU578" s="62"/>
      <c r="DV578" s="62"/>
    </row>
    <row r="579" spans="1:126" ht="15.75" customHeight="1" x14ac:dyDescent="0.2">
      <c r="A579" s="56"/>
      <c r="B579" s="59"/>
      <c r="C579" s="330"/>
      <c r="D579" s="330"/>
      <c r="E579" s="330"/>
      <c r="F579" s="330"/>
      <c r="G579" s="330"/>
      <c r="H579" s="330"/>
      <c r="I579" s="330"/>
      <c r="J579" s="330"/>
      <c r="K579" s="330"/>
      <c r="L579" s="330"/>
      <c r="M579" s="330"/>
      <c r="N579" s="330"/>
      <c r="O579" s="330"/>
      <c r="P579" s="330" t="s">
        <v>1007</v>
      </c>
      <c r="Q579" s="330"/>
      <c r="R579" s="330"/>
      <c r="S579" s="330"/>
      <c r="T579" s="330"/>
      <c r="U579" s="330"/>
      <c r="V579" s="330"/>
      <c r="W579" s="330"/>
      <c r="X579" s="330"/>
      <c r="Y579" s="330"/>
      <c r="Z579" s="330"/>
      <c r="AA579" s="330"/>
      <c r="AB579" s="330"/>
      <c r="AC579" s="330"/>
      <c r="AD579" s="330"/>
      <c r="AE579" s="330"/>
      <c r="AF579" s="330"/>
      <c r="AG579" s="330"/>
      <c r="AH579" s="330"/>
      <c r="AI579" s="330"/>
      <c r="BB579" s="62"/>
      <c r="BE579" s="62"/>
      <c r="BQ579" s="62"/>
      <c r="CJ579" s="62"/>
      <c r="DM579" s="62"/>
      <c r="DN579" s="62"/>
      <c r="DO579" s="62"/>
    </row>
    <row r="580" spans="1:126" ht="15" customHeight="1" x14ac:dyDescent="0.2">
      <c r="A580" s="56"/>
      <c r="B580" s="54"/>
      <c r="C580" s="330"/>
      <c r="D580" s="330"/>
      <c r="E580" s="330"/>
      <c r="F580" s="330"/>
      <c r="G580" s="330"/>
      <c r="H580" s="330"/>
      <c r="I580" s="330"/>
      <c r="J580" s="330"/>
      <c r="K580" s="330"/>
      <c r="L580" s="330"/>
      <c r="M580" s="330"/>
      <c r="N580" s="330"/>
      <c r="O580" s="330"/>
      <c r="P580" s="330" t="s">
        <v>1031</v>
      </c>
      <c r="Q580" s="330"/>
      <c r="R580" s="330"/>
      <c r="S580" s="330"/>
      <c r="T580" s="330"/>
      <c r="U580" s="330"/>
      <c r="V580" s="330"/>
      <c r="W580" s="330"/>
      <c r="X580" s="330"/>
      <c r="Y580" s="330"/>
      <c r="Z580" s="330"/>
      <c r="AA580" s="330"/>
      <c r="AB580" s="330"/>
      <c r="AC580" s="330"/>
      <c r="AD580" s="330"/>
      <c r="AE580" s="330"/>
      <c r="AF580" s="330"/>
      <c r="AG580" s="330"/>
      <c r="AH580" s="330"/>
      <c r="AI580" s="330"/>
      <c r="AL580" s="59"/>
      <c r="AM580" s="59"/>
      <c r="AN580" s="59"/>
      <c r="AO580" s="59"/>
      <c r="AP580" s="59"/>
      <c r="AQ580" s="59"/>
      <c r="AR580" s="59"/>
      <c r="AS580" s="59"/>
      <c r="AT580" s="59"/>
      <c r="AU580" s="59"/>
      <c r="BB580" s="62"/>
      <c r="BE580" s="62"/>
      <c r="BQ580" s="62"/>
      <c r="CH580" s="59"/>
      <c r="CJ580" s="62"/>
      <c r="DM580" s="62"/>
      <c r="DN580" s="62"/>
      <c r="DO580" s="62"/>
    </row>
    <row r="581" spans="1:126" ht="19.5" customHeight="1" x14ac:dyDescent="0.2">
      <c r="A581" s="56"/>
      <c r="B581" s="54"/>
      <c r="C581" s="330"/>
      <c r="D581" s="330"/>
      <c r="E581" s="330"/>
      <c r="F581" s="330"/>
      <c r="G581" s="330"/>
      <c r="H581" s="330"/>
      <c r="I581" s="330"/>
      <c r="J581" s="330"/>
      <c r="K581" s="330"/>
      <c r="L581" s="330"/>
      <c r="M581" s="330"/>
      <c r="N581" s="330"/>
      <c r="O581" s="330"/>
      <c r="P581" s="330" t="s">
        <v>1030</v>
      </c>
      <c r="Q581" s="330"/>
      <c r="R581" s="330"/>
      <c r="S581" s="330"/>
      <c r="T581" s="330"/>
      <c r="U581" s="330"/>
      <c r="V581" s="330"/>
      <c r="W581" s="330"/>
      <c r="X581" s="330"/>
      <c r="Y581" s="330"/>
      <c r="Z581" s="330"/>
      <c r="AA581" s="330"/>
      <c r="AB581" s="330"/>
      <c r="AC581" s="330"/>
      <c r="AD581" s="330"/>
      <c r="AE581" s="330"/>
      <c r="AF581" s="330"/>
      <c r="AG581" s="330"/>
      <c r="AH581" s="330"/>
      <c r="AI581" s="330"/>
      <c r="BB581" s="62"/>
      <c r="BE581" s="62"/>
      <c r="BQ581" s="62"/>
      <c r="CJ581" s="62"/>
      <c r="DM581" s="62"/>
      <c r="DN581" s="62"/>
      <c r="DO581" s="62"/>
    </row>
    <row r="582" spans="1:126" ht="41.25" customHeight="1" x14ac:dyDescent="0.2">
      <c r="A582" s="56"/>
      <c r="B582" s="59"/>
      <c r="C582" s="330"/>
      <c r="D582" s="330"/>
      <c r="E582" s="330"/>
      <c r="F582" s="330"/>
      <c r="G582" s="330"/>
      <c r="H582" s="330"/>
      <c r="I582" s="330"/>
      <c r="J582" s="330"/>
      <c r="K582" s="330"/>
      <c r="L582" s="330"/>
      <c r="M582" s="330"/>
      <c r="N582" s="330"/>
      <c r="O582" s="330"/>
      <c r="P582" s="330" t="s">
        <v>1033</v>
      </c>
      <c r="Q582" s="330"/>
      <c r="R582" s="330"/>
      <c r="S582" s="330"/>
      <c r="T582" s="330"/>
      <c r="U582" s="330"/>
      <c r="V582" s="330"/>
      <c r="W582" s="330"/>
      <c r="X582" s="330"/>
      <c r="Y582" s="330"/>
      <c r="Z582" s="330"/>
      <c r="AA582" s="330"/>
      <c r="AB582" s="330"/>
      <c r="AC582" s="330"/>
      <c r="AD582" s="330"/>
      <c r="AE582" s="330"/>
      <c r="AF582" s="330"/>
      <c r="AG582" s="330"/>
      <c r="AH582" s="330"/>
      <c r="AI582" s="330"/>
      <c r="AL582" s="59"/>
      <c r="AM582" s="59"/>
      <c r="AN582" s="59"/>
      <c r="AO582" s="59"/>
      <c r="AP582" s="59"/>
      <c r="AQ582" s="59"/>
      <c r="AR582" s="59"/>
      <c r="AS582" s="59"/>
      <c r="AT582" s="59"/>
      <c r="AU582" s="59"/>
      <c r="BB582" s="62"/>
      <c r="BC582" s="63"/>
      <c r="BD582" s="63"/>
      <c r="BE582" s="62"/>
      <c r="BF582" s="63"/>
      <c r="BG582" s="63"/>
      <c r="BH582" s="63"/>
      <c r="BI582" s="63"/>
      <c r="BJ582" s="63"/>
      <c r="BK582" s="63"/>
      <c r="BL582" s="63"/>
      <c r="BM582" s="63"/>
      <c r="BN582" s="63"/>
      <c r="BO582" s="63"/>
      <c r="BP582" s="63"/>
      <c r="BQ582" s="62"/>
      <c r="BR582" s="63"/>
      <c r="BS582" s="63"/>
      <c r="BT582" s="63"/>
      <c r="BU582" s="63"/>
      <c r="BV582" s="63"/>
      <c r="BW582" s="63"/>
      <c r="BX582" s="63"/>
      <c r="BY582" s="63"/>
      <c r="BZ582" s="63"/>
      <c r="CH582" s="59"/>
      <c r="CJ582" s="62"/>
      <c r="CK582" s="63"/>
      <c r="CL582" s="63"/>
      <c r="CM582" s="63"/>
      <c r="CN582" s="63"/>
      <c r="CO582" s="63"/>
      <c r="CP582" s="63"/>
      <c r="CQ582" s="63"/>
      <c r="DM582" s="62"/>
      <c r="DN582" s="62"/>
      <c r="DO582" s="62"/>
      <c r="DP582" s="63"/>
      <c r="DQ582" s="63"/>
      <c r="DR582" s="63"/>
      <c r="DS582" s="63"/>
      <c r="DT582" s="63"/>
      <c r="DU582" s="63"/>
      <c r="DV582" s="63"/>
    </row>
    <row r="583" spans="1:126" ht="30" customHeight="1" x14ac:dyDescent="0.2">
      <c r="A583" s="56"/>
      <c r="B583" s="54"/>
      <c r="C583" s="330"/>
      <c r="D583" s="330"/>
      <c r="E583" s="330"/>
      <c r="F583" s="330"/>
      <c r="G583" s="330"/>
      <c r="H583" s="330"/>
      <c r="I583" s="330"/>
      <c r="J583" s="330"/>
      <c r="K583" s="330"/>
      <c r="L583" s="330"/>
      <c r="M583" s="330"/>
      <c r="N583" s="330"/>
      <c r="O583" s="330"/>
      <c r="P583" s="330" t="s">
        <v>1034</v>
      </c>
      <c r="Q583" s="330"/>
      <c r="R583" s="330"/>
      <c r="S583" s="330"/>
      <c r="T583" s="330"/>
      <c r="U583" s="330"/>
      <c r="V583" s="330"/>
      <c r="W583" s="330"/>
      <c r="X583" s="330"/>
      <c r="Y583" s="330"/>
      <c r="Z583" s="330"/>
      <c r="AA583" s="330"/>
      <c r="AB583" s="330"/>
      <c r="AC583" s="330"/>
      <c r="AD583" s="330"/>
      <c r="AE583" s="330"/>
      <c r="AF583" s="330"/>
      <c r="AG583" s="330"/>
      <c r="AH583" s="330"/>
      <c r="AI583" s="330"/>
      <c r="AL583" s="59"/>
      <c r="AM583" s="59"/>
      <c r="AN583" s="59"/>
      <c r="AO583" s="59"/>
      <c r="AP583" s="59"/>
      <c r="AQ583" s="59"/>
      <c r="AR583" s="59"/>
      <c r="AS583" s="59"/>
      <c r="AT583" s="59"/>
      <c r="AU583" s="59"/>
      <c r="BB583" s="62"/>
      <c r="BE583" s="62"/>
      <c r="BQ583" s="62"/>
      <c r="CH583" s="59"/>
      <c r="CJ583" s="62"/>
      <c r="DM583" s="62"/>
      <c r="DN583" s="62"/>
      <c r="DO583" s="62"/>
    </row>
    <row r="584" spans="1:126" ht="38.25" customHeight="1" x14ac:dyDescent="0.2">
      <c r="A584" s="56"/>
      <c r="B584" s="59"/>
      <c r="C584" s="330"/>
      <c r="D584" s="330"/>
      <c r="E584" s="330"/>
      <c r="F584" s="330"/>
      <c r="G584" s="330"/>
      <c r="H584" s="330"/>
      <c r="I584" s="330"/>
      <c r="J584" s="330"/>
      <c r="K584" s="330"/>
      <c r="L584" s="330"/>
      <c r="M584" s="330"/>
      <c r="N584" s="330"/>
      <c r="O584" s="330"/>
      <c r="P584" s="330" t="s">
        <v>1035</v>
      </c>
      <c r="Q584" s="330"/>
      <c r="R584" s="330"/>
      <c r="S584" s="330"/>
      <c r="T584" s="330"/>
      <c r="U584" s="330"/>
      <c r="V584" s="330"/>
      <c r="W584" s="330"/>
      <c r="X584" s="330"/>
      <c r="Y584" s="330"/>
      <c r="Z584" s="330"/>
      <c r="AA584" s="330"/>
      <c r="AB584" s="330"/>
      <c r="AC584" s="330"/>
      <c r="AD584" s="330"/>
      <c r="AE584" s="330"/>
      <c r="AF584" s="330"/>
      <c r="AG584" s="330"/>
      <c r="AH584" s="330"/>
      <c r="AI584" s="330"/>
      <c r="BB584" s="62"/>
      <c r="BE584" s="62"/>
      <c r="BQ584" s="62"/>
      <c r="CJ584" s="62"/>
      <c r="DM584" s="62"/>
      <c r="DN584" s="62"/>
      <c r="DO584" s="62"/>
    </row>
    <row r="585" spans="1:126" ht="27" customHeight="1" x14ac:dyDescent="0.2">
      <c r="A585" s="56"/>
      <c r="B585" s="54"/>
      <c r="C585" s="330"/>
      <c r="D585" s="330"/>
      <c r="E585" s="330"/>
      <c r="F585" s="330"/>
      <c r="G585" s="330"/>
      <c r="H585" s="330"/>
      <c r="I585" s="330"/>
      <c r="J585" s="330"/>
      <c r="K585" s="330"/>
      <c r="L585" s="330"/>
      <c r="M585" s="330"/>
      <c r="N585" s="330"/>
      <c r="O585" s="330"/>
      <c r="P585" s="330" t="s">
        <v>1032</v>
      </c>
      <c r="Q585" s="330"/>
      <c r="R585" s="330"/>
      <c r="S585" s="330"/>
      <c r="T585" s="330"/>
      <c r="U585" s="330"/>
      <c r="V585" s="330"/>
      <c r="W585" s="330"/>
      <c r="X585" s="330"/>
      <c r="Y585" s="330"/>
      <c r="Z585" s="330"/>
      <c r="AA585" s="330"/>
      <c r="AB585" s="330"/>
      <c r="AC585" s="330"/>
      <c r="AD585" s="330"/>
      <c r="AE585" s="330"/>
      <c r="AF585" s="330"/>
      <c r="AG585" s="330"/>
      <c r="AH585" s="330"/>
      <c r="AI585" s="330"/>
      <c r="BB585" s="62"/>
      <c r="BE585" s="62"/>
      <c r="BQ585" s="62"/>
      <c r="CJ585" s="62"/>
      <c r="DM585" s="62"/>
      <c r="DN585" s="62"/>
      <c r="DO585" s="62"/>
    </row>
    <row r="586" spans="1:126" ht="42.75" customHeight="1" x14ac:dyDescent="0.2">
      <c r="A586" s="56"/>
      <c r="B586" s="54"/>
      <c r="C586" s="330"/>
      <c r="D586" s="330"/>
      <c r="E586" s="330"/>
      <c r="F586" s="330"/>
      <c r="G586" s="330"/>
      <c r="H586" s="330"/>
      <c r="I586" s="330"/>
      <c r="J586" s="330"/>
      <c r="K586" s="330"/>
      <c r="L586" s="330"/>
      <c r="M586" s="330"/>
      <c r="N586" s="330"/>
      <c r="O586" s="330"/>
      <c r="P586" s="330" t="s">
        <v>599</v>
      </c>
      <c r="Q586" s="330"/>
      <c r="R586" s="330"/>
      <c r="S586" s="330"/>
      <c r="T586" s="330"/>
      <c r="U586" s="330"/>
      <c r="V586" s="330"/>
      <c r="W586" s="330"/>
      <c r="X586" s="330"/>
      <c r="Y586" s="330"/>
      <c r="Z586" s="330"/>
      <c r="AA586" s="330"/>
      <c r="AB586" s="330"/>
      <c r="AC586" s="330"/>
      <c r="AD586" s="330"/>
      <c r="AE586" s="330"/>
      <c r="AF586" s="330"/>
      <c r="AG586" s="330"/>
      <c r="AH586" s="330"/>
      <c r="AI586" s="330"/>
      <c r="BB586" s="62"/>
      <c r="BE586" s="62"/>
      <c r="BQ586" s="62"/>
      <c r="CJ586" s="62"/>
      <c r="DM586" s="62"/>
      <c r="DN586" s="62"/>
      <c r="DO586" s="62"/>
    </row>
    <row r="587" spans="1:126" ht="13.5" customHeight="1" x14ac:dyDescent="0.2">
      <c r="A587" s="56"/>
      <c r="B587" s="54"/>
      <c r="C587" s="54"/>
      <c r="D587" s="54"/>
      <c r="E587" s="223"/>
      <c r="F587" s="54"/>
      <c r="G587" s="54"/>
      <c r="H587" s="54"/>
      <c r="I587" s="54"/>
      <c r="J587" s="54"/>
      <c r="K587" s="54"/>
      <c r="L587" s="54"/>
      <c r="M587" s="54"/>
      <c r="N587" s="54"/>
      <c r="O587" s="54"/>
      <c r="P587" s="54"/>
      <c r="Q587" s="54"/>
      <c r="R587" s="54"/>
      <c r="S587" s="54"/>
      <c r="T587" s="54"/>
      <c r="U587" s="54"/>
      <c r="V587" s="54"/>
      <c r="W587" s="54"/>
      <c r="X587" s="54"/>
      <c r="Y587" s="54"/>
      <c r="Z587" s="54"/>
      <c r="AA587" s="223"/>
      <c r="AB587" s="223"/>
      <c r="AC587" s="223"/>
      <c r="AD587" s="223"/>
      <c r="AE587" s="223"/>
      <c r="AF587" s="223"/>
      <c r="AG587" s="223"/>
      <c r="AH587" s="223"/>
      <c r="AI587" s="223"/>
      <c r="AY587" s="63"/>
      <c r="AZ587" s="63"/>
      <c r="BA587" s="63"/>
      <c r="BB587" s="62"/>
      <c r="BE587" s="62"/>
      <c r="BQ587" s="62"/>
      <c r="CI587" s="63"/>
      <c r="CJ587" s="62"/>
      <c r="DJ587" s="63"/>
      <c r="DK587" s="63"/>
      <c r="DL587" s="63"/>
      <c r="DM587" s="62"/>
      <c r="DN587" s="62"/>
      <c r="DO587" s="62"/>
    </row>
    <row r="588" spans="1:126" x14ac:dyDescent="0.2">
      <c r="A588" s="54"/>
      <c r="B588" s="54"/>
      <c r="C588" s="54"/>
      <c r="D588" s="325" t="s">
        <v>384</v>
      </c>
      <c r="E588" s="325"/>
      <c r="F588" s="325"/>
      <c r="G588" s="325"/>
      <c r="H588" s="325"/>
      <c r="I588" s="325"/>
      <c r="J588" s="325"/>
      <c r="K588" s="325"/>
      <c r="L588" s="325"/>
      <c r="M588" s="325"/>
      <c r="N588" s="325"/>
      <c r="O588" s="325"/>
      <c r="P588" s="325"/>
      <c r="Q588" s="325"/>
      <c r="R588" s="325"/>
      <c r="S588" s="325"/>
      <c r="T588" s="325"/>
      <c r="U588" s="325"/>
      <c r="V588" s="325"/>
      <c r="W588" s="325"/>
      <c r="X588" s="325"/>
      <c r="Y588" s="325"/>
      <c r="Z588" s="325"/>
      <c r="AA588" s="325"/>
      <c r="AB588" s="325"/>
      <c r="AC588" s="325"/>
      <c r="AD588" s="325"/>
      <c r="AE588" s="325"/>
      <c r="AF588" s="325"/>
      <c r="AG588" s="325"/>
      <c r="AH588" s="325"/>
      <c r="AI588" s="325"/>
      <c r="AJ588" s="325"/>
      <c r="AK588" s="174"/>
    </row>
    <row r="589" spans="1:126" x14ac:dyDescent="0.2">
      <c r="A589" s="54"/>
      <c r="B589" s="54"/>
      <c r="C589" s="54"/>
      <c r="D589" s="54"/>
      <c r="E589" s="54"/>
      <c r="F589" s="54"/>
      <c r="G589" s="54"/>
      <c r="H589" s="54"/>
      <c r="I589" s="54"/>
      <c r="J589" s="54"/>
      <c r="K589" s="54"/>
      <c r="L589" s="54"/>
      <c r="M589" s="54"/>
      <c r="N589" s="54"/>
      <c r="O589" s="54"/>
      <c r="P589" s="54"/>
      <c r="Q589" s="54"/>
      <c r="R589" s="54"/>
      <c r="S589" s="54"/>
      <c r="T589" s="54"/>
      <c r="U589" s="54"/>
      <c r="V589" s="54"/>
      <c r="W589" s="54"/>
      <c r="X589" s="54"/>
      <c r="Y589" s="54"/>
      <c r="Z589" s="54"/>
      <c r="AA589" s="223"/>
      <c r="AB589" s="223"/>
      <c r="AC589" s="223"/>
      <c r="AD589" s="223"/>
      <c r="AE589" s="223"/>
      <c r="AF589" s="223"/>
      <c r="AG589" s="223"/>
      <c r="AH589" s="223"/>
      <c r="AI589" s="223"/>
    </row>
    <row r="590" spans="1:126" ht="14.25" customHeight="1" x14ac:dyDescent="0.2">
      <c r="B590" s="280" t="s">
        <v>538</v>
      </c>
      <c r="C590" s="280"/>
      <c r="D590" s="280"/>
      <c r="E590" s="280"/>
      <c r="F590" s="280"/>
      <c r="G590" s="280" t="s">
        <v>449</v>
      </c>
      <c r="H590" s="280"/>
      <c r="I590" s="280"/>
      <c r="J590" s="280"/>
      <c r="K590" s="280"/>
      <c r="L590" s="280" t="s">
        <v>589</v>
      </c>
      <c r="M590" s="280"/>
      <c r="N590" s="280"/>
      <c r="O590" s="280"/>
      <c r="P590" s="280"/>
      <c r="Q590" s="280" t="s">
        <v>590</v>
      </c>
      <c r="R590" s="280"/>
      <c r="S590" s="280"/>
      <c r="T590" s="280"/>
      <c r="U590" s="280"/>
      <c r="V590" s="280" t="s">
        <v>484</v>
      </c>
      <c r="W590" s="280"/>
      <c r="X590" s="280"/>
      <c r="Y590" s="280"/>
      <c r="Z590" s="280"/>
      <c r="AA590" s="280" t="s">
        <v>592</v>
      </c>
      <c r="AB590" s="280"/>
      <c r="AC590" s="280"/>
      <c r="AD590" s="280"/>
      <c r="AE590" s="280"/>
      <c r="AF590" s="223"/>
      <c r="AG590" s="223"/>
      <c r="AH590" s="223"/>
      <c r="AI590" s="223"/>
    </row>
    <row r="591" spans="1:126" x14ac:dyDescent="0.2">
      <c r="B591" s="316">
        <f>$Z$66</f>
        <v>25.4</v>
      </c>
      <c r="C591" s="316"/>
      <c r="D591" s="316"/>
      <c r="E591" s="316"/>
      <c r="F591" s="316"/>
      <c r="G591" s="316">
        <f>$Z$104</f>
        <v>0</v>
      </c>
      <c r="H591" s="316"/>
      <c r="I591" s="316"/>
      <c r="J591" s="316"/>
      <c r="K591" s="316"/>
      <c r="L591" s="316">
        <f>IFERROR(
                          IF( AND( $Z$104&lt;1.5*$Z$75,  $Z$76&lt;1.5*$Z$75,  $Z$76&lt;1.5*$Z$75 ),
                               MAX( $Z$76/1.5,  $Z$104/1.5,  $Z$74/3 ),
                               IF($Z$93="Libre",
                                    $Z$75,
                                    $Z$75+$Z$73
                               )
                          ),
"-")</f>
        <v>83.333333333333329</v>
      </c>
      <c r="M591" s="316"/>
      <c r="N591" s="316"/>
      <c r="O591" s="316"/>
      <c r="P591" s="316"/>
      <c r="Q591" s="316">
        <f>IFERROR(
                          IF( AND( $Z$104&lt;1.5*$Z$76,  $Z$75&lt;1.5*$Z$76,  $Z$75&lt;1.5*$Z$76 ),
                               MAX( $Z$75/1.5,  $Z$104/1.5,  $Z$73/3 ),
                               IF($Z$93="Libre",
                                    $Z$76,
                                    $Z$76+$Z$74
                               )
                          ),
"-")</f>
        <v>83.333333333333329</v>
      </c>
      <c r="R591" s="316"/>
      <c r="S591" s="316"/>
      <c r="T591" s="316"/>
      <c r="U591" s="316"/>
      <c r="V591" s="316">
        <f>$Z$112</f>
        <v>0</v>
      </c>
      <c r="W591" s="316"/>
      <c r="X591" s="316"/>
      <c r="Y591" s="316"/>
      <c r="Z591" s="316"/>
      <c r="AA591" s="282">
        <f>$Z$116</f>
        <v>203.2</v>
      </c>
      <c r="AB591" s="282"/>
      <c r="AC591" s="282"/>
      <c r="AD591" s="282"/>
      <c r="AE591" s="282"/>
      <c r="AF591" s="223"/>
      <c r="AG591" s="223"/>
      <c r="AH591" s="223"/>
      <c r="AI591" s="223"/>
      <c r="BB591" s="63"/>
      <c r="BE591" s="63"/>
      <c r="BQ591" s="63"/>
      <c r="CJ591" s="63"/>
      <c r="DM591" s="63"/>
      <c r="DN591" s="63"/>
      <c r="DO591" s="63"/>
    </row>
    <row r="592" spans="1:126" ht="14.25" customHeight="1" x14ac:dyDescent="0.2">
      <c r="A592" s="54"/>
      <c r="B592" s="54"/>
      <c r="C592" s="54"/>
      <c r="D592" s="54"/>
      <c r="E592" s="54"/>
      <c r="F592" s="54"/>
      <c r="G592" s="54"/>
      <c r="H592" s="54"/>
      <c r="I592" s="54"/>
      <c r="J592" s="54"/>
      <c r="K592" s="54"/>
      <c r="L592" s="223"/>
      <c r="M592" s="223"/>
      <c r="N592" s="223"/>
      <c r="O592" s="223"/>
      <c r="P592" s="223"/>
      <c r="Q592" s="223"/>
      <c r="R592" s="223"/>
      <c r="S592" s="223"/>
      <c r="T592" s="223"/>
      <c r="U592" s="223"/>
      <c r="V592" s="223"/>
      <c r="W592" s="223"/>
      <c r="X592" s="223"/>
      <c r="Y592" s="223"/>
      <c r="Z592" s="223"/>
      <c r="AA592" s="223"/>
      <c r="AB592" s="223"/>
      <c r="AC592" s="223"/>
      <c r="AD592" s="223"/>
      <c r="AE592" s="223"/>
      <c r="AF592" s="223"/>
      <c r="AG592" s="223"/>
      <c r="AH592" s="223"/>
      <c r="AI592" s="223"/>
      <c r="AY592" s="63"/>
      <c r="AZ592" s="63"/>
      <c r="BA592" s="63"/>
      <c r="BC592" s="63"/>
      <c r="BD592" s="63"/>
      <c r="BF592" s="63"/>
      <c r="BG592" s="63"/>
      <c r="BH592" s="63"/>
      <c r="BI592" s="63"/>
      <c r="BJ592" s="63"/>
      <c r="BK592" s="63"/>
      <c r="BL592" s="63"/>
      <c r="BM592" s="63"/>
      <c r="BN592" s="63"/>
      <c r="BO592" s="63"/>
      <c r="BP592" s="63"/>
      <c r="BR592" s="63"/>
      <c r="BS592" s="63"/>
      <c r="BT592" s="63"/>
      <c r="BU592" s="63"/>
      <c r="BV592" s="63"/>
      <c r="BW592" s="63"/>
      <c r="BX592" s="63"/>
      <c r="BY592" s="63"/>
      <c r="BZ592" s="63"/>
      <c r="CI592" s="63"/>
      <c r="CK592" s="63"/>
      <c r="CL592" s="63"/>
      <c r="CM592" s="63"/>
      <c r="CN592" s="63"/>
      <c r="CO592" s="63"/>
      <c r="CP592" s="63"/>
      <c r="CQ592" s="63"/>
      <c r="DJ592" s="63"/>
      <c r="DK592" s="63"/>
      <c r="DL592" s="63"/>
      <c r="DP592" s="63"/>
      <c r="DQ592" s="63"/>
      <c r="DR592" s="63"/>
      <c r="DS592" s="63"/>
      <c r="DT592" s="63"/>
      <c r="DU592" s="63"/>
      <c r="DV592" s="63"/>
    </row>
    <row r="593" spans="1:130" ht="14.25" customHeight="1" x14ac:dyDescent="0.2">
      <c r="A593" s="54"/>
      <c r="B593" s="280" t="s">
        <v>517</v>
      </c>
      <c r="C593" s="280"/>
      <c r="D593" s="280"/>
      <c r="E593" s="280"/>
      <c r="F593" s="280"/>
      <c r="G593" s="280" t="s">
        <v>486</v>
      </c>
      <c r="H593" s="280"/>
      <c r="I593" s="280" t="s">
        <v>379</v>
      </c>
      <c r="J593" s="280"/>
      <c r="K593" s="280"/>
      <c r="L593" s="280" t="s">
        <v>588</v>
      </c>
      <c r="M593" s="280"/>
      <c r="N593" s="280"/>
      <c r="O593" s="280"/>
      <c r="P593" s="280"/>
      <c r="Q593" s="546" t="s">
        <v>1038</v>
      </c>
      <c r="R593" s="546"/>
      <c r="S593" s="546"/>
      <c r="T593" s="546"/>
      <c r="U593" s="546"/>
      <c r="V593" s="223"/>
      <c r="W593" s="223"/>
      <c r="X593" s="223"/>
      <c r="Y593" s="223"/>
      <c r="Z593" s="223"/>
      <c r="AA593" s="223"/>
      <c r="AB593" s="223"/>
      <c r="AC593" s="223"/>
      <c r="AD593" s="223"/>
      <c r="AE593" s="223"/>
      <c r="AF593" s="223"/>
      <c r="AG593" s="223"/>
      <c r="AH593" s="223"/>
      <c r="AI593" s="223"/>
    </row>
    <row r="594" spans="1:130" x14ac:dyDescent="0.2">
      <c r="A594" s="54"/>
      <c r="B594" s="305">
        <f>$Z$97</f>
        <v>0</v>
      </c>
      <c r="C594" s="305"/>
      <c r="D594" s="305"/>
      <c r="E594" s="305"/>
      <c r="F594" s="305"/>
      <c r="G594" s="282">
        <f>IF($D$103="Peso normal",1,IF(OR((O$62="Adhesivo"),(IFERROR(FIND("Expansivo",O$63,1)&gt;0,FALSE()) )),0.8,1))*Z$103</f>
        <v>1</v>
      </c>
      <c r="H594" s="282"/>
      <c r="I594" s="282"/>
      <c r="J594" s="282"/>
      <c r="K594" s="282"/>
      <c r="L594" s="316">
        <f>IF($L$591&lt;$Q$591,ABS(0-$T$187),ABS(0-$Q$188))</f>
        <v>125</v>
      </c>
      <c r="M594" s="316"/>
      <c r="N594" s="316"/>
      <c r="O594" s="316"/>
      <c r="P594" s="316"/>
      <c r="Q594" s="530">
        <v>3</v>
      </c>
      <c r="R594" s="530"/>
      <c r="S594" s="530"/>
      <c r="T594" s="530"/>
      <c r="U594" s="530"/>
      <c r="V594" s="223"/>
      <c r="W594" s="223"/>
      <c r="X594" s="223"/>
      <c r="Y594" s="223"/>
      <c r="Z594" s="223"/>
      <c r="AA594" s="223"/>
      <c r="AB594" s="223"/>
      <c r="AC594" s="223"/>
      <c r="AD594" s="223"/>
      <c r="AE594" s="223"/>
      <c r="AF594" s="223"/>
      <c r="AG594" s="223"/>
      <c r="AH594" s="223"/>
      <c r="AI594" s="223"/>
      <c r="BB594" s="63"/>
      <c r="BE594" s="63"/>
      <c r="BQ594" s="63"/>
      <c r="CJ594" s="63"/>
      <c r="DM594" s="63"/>
      <c r="DN594" s="63"/>
      <c r="DO594" s="63"/>
    </row>
    <row r="595" spans="1:130" ht="14.25" customHeight="1" x14ac:dyDescent="0.2">
      <c r="A595" s="54"/>
      <c r="B595" s="54"/>
      <c r="C595" s="54"/>
      <c r="D595" s="54"/>
      <c r="E595" s="54"/>
      <c r="F595" s="54"/>
      <c r="G595" s="54"/>
      <c r="H595" s="54"/>
      <c r="I595" s="54"/>
      <c r="J595" s="54"/>
      <c r="K595" s="54"/>
      <c r="L595" s="54"/>
      <c r="M595" s="54"/>
      <c r="N595" s="54"/>
      <c r="O595" s="54"/>
      <c r="P595" s="54"/>
      <c r="Q595" s="54"/>
      <c r="R595" s="54"/>
      <c r="S595" s="54"/>
      <c r="T595" s="54"/>
      <c r="U595" s="54"/>
      <c r="V595" s="54"/>
      <c r="W595" s="54"/>
      <c r="X595" s="54"/>
      <c r="Y595" s="54"/>
      <c r="Z595" s="54"/>
      <c r="AA595" s="223"/>
      <c r="AB595" s="223"/>
      <c r="AC595" s="223"/>
      <c r="AD595" s="223"/>
      <c r="AE595" s="223"/>
      <c r="AF595" s="223"/>
      <c r="AG595" s="223"/>
      <c r="AH595" s="223"/>
      <c r="AI595" s="223"/>
      <c r="AY595" s="63"/>
      <c r="AZ595" s="63"/>
      <c r="BA595" s="63"/>
      <c r="BC595" s="63"/>
      <c r="BD595" s="63"/>
      <c r="BF595" s="63"/>
      <c r="BG595" s="63"/>
      <c r="BH595" s="63"/>
      <c r="BI595" s="63"/>
      <c r="BJ595" s="63"/>
      <c r="BK595" s="63"/>
      <c r="BL595" s="63"/>
      <c r="BM595" s="63"/>
      <c r="BN595" s="63"/>
      <c r="BO595" s="63"/>
      <c r="BP595" s="63"/>
      <c r="BR595" s="63"/>
      <c r="BS595" s="63"/>
      <c r="BT595" s="63"/>
      <c r="BU595" s="63"/>
      <c r="BV595" s="63"/>
      <c r="BW595" s="63"/>
      <c r="BX595" s="63"/>
      <c r="BY595" s="63"/>
      <c r="BZ595" s="63"/>
      <c r="CI595" s="63"/>
      <c r="CK595" s="63"/>
      <c r="CL595" s="63"/>
      <c r="CM595" s="63"/>
      <c r="CN595" s="63"/>
      <c r="CO595" s="63"/>
      <c r="CP595" s="63"/>
      <c r="CQ595" s="63"/>
      <c r="DJ595" s="63"/>
      <c r="DK595" s="63"/>
      <c r="DL595" s="63"/>
      <c r="DP595" s="63"/>
      <c r="DQ595" s="63"/>
      <c r="DR595" s="63"/>
      <c r="DS595" s="63"/>
      <c r="DT595" s="63"/>
      <c r="DU595" s="63"/>
      <c r="DV595" s="63"/>
    </row>
    <row r="596" spans="1:130" x14ac:dyDescent="0.2">
      <c r="A596" s="54"/>
      <c r="B596" s="54"/>
      <c r="C596" s="54"/>
      <c r="D596" s="325" t="s">
        <v>385</v>
      </c>
      <c r="E596" s="325"/>
      <c r="F596" s="325"/>
      <c r="G596" s="325"/>
      <c r="H596" s="325"/>
      <c r="I596" s="325"/>
      <c r="J596" s="325"/>
      <c r="K596" s="325"/>
      <c r="L596" s="325"/>
      <c r="M596" s="325"/>
      <c r="N596" s="325"/>
      <c r="O596" s="325"/>
      <c r="P596" s="325"/>
      <c r="Q596" s="325"/>
      <c r="R596" s="325"/>
      <c r="S596" s="325"/>
      <c r="T596" s="325"/>
      <c r="U596" s="325"/>
      <c r="V596" s="325"/>
      <c r="W596" s="325"/>
      <c r="X596" s="325"/>
      <c r="Y596" s="325"/>
      <c r="Z596" s="325"/>
      <c r="AA596" s="325"/>
      <c r="AB596" s="325"/>
      <c r="AC596" s="325"/>
      <c r="AD596" s="325"/>
      <c r="AE596" s="325"/>
      <c r="AF596" s="325"/>
      <c r="AG596" s="325"/>
      <c r="AH596" s="325"/>
      <c r="AI596" s="325"/>
      <c r="AJ596" s="325"/>
      <c r="AK596" s="174"/>
    </row>
    <row r="597" spans="1:130" x14ac:dyDescent="0.2">
      <c r="A597" s="54"/>
      <c r="B597" s="54"/>
      <c r="C597" s="54"/>
      <c r="D597" s="54"/>
      <c r="E597" s="54"/>
      <c r="F597" s="54"/>
      <c r="G597" s="54"/>
      <c r="H597" s="54"/>
      <c r="I597" s="54"/>
      <c r="J597" s="54"/>
      <c r="K597" s="54"/>
      <c r="L597" s="54"/>
      <c r="M597" s="54"/>
      <c r="N597" s="54"/>
      <c r="O597" s="54"/>
      <c r="P597" s="54"/>
      <c r="Q597" s="54"/>
      <c r="R597" s="54"/>
      <c r="S597" s="54"/>
      <c r="T597" s="54"/>
      <c r="U597" s="54"/>
      <c r="V597" s="54"/>
      <c r="W597" s="54"/>
      <c r="X597" s="54"/>
      <c r="Y597" s="54"/>
      <c r="Z597" s="54"/>
      <c r="AA597" s="223"/>
      <c r="AB597" s="223"/>
      <c r="AC597" s="223"/>
      <c r="AD597" s="223"/>
      <c r="AE597" s="223"/>
      <c r="AF597" s="223"/>
      <c r="AG597" s="223"/>
      <c r="AH597" s="223"/>
      <c r="AI597" s="223"/>
    </row>
    <row r="598" spans="1:130" ht="14.25" customHeight="1" x14ac:dyDescent="0.2">
      <c r="A598" s="54"/>
      <c r="B598" s="280" t="s">
        <v>949</v>
      </c>
      <c r="C598" s="280"/>
      <c r="D598" s="280"/>
      <c r="E598" s="280"/>
      <c r="F598" s="280" t="s">
        <v>950</v>
      </c>
      <c r="G598" s="280"/>
      <c r="H598" s="280"/>
      <c r="I598" s="280"/>
      <c r="J598" s="280" t="s">
        <v>947</v>
      </c>
      <c r="K598" s="280"/>
      <c r="L598" s="280"/>
      <c r="M598" s="280"/>
      <c r="N598" s="280" t="s">
        <v>948</v>
      </c>
      <c r="O598" s="280"/>
      <c r="P598" s="280"/>
      <c r="Q598" s="280"/>
      <c r="R598" s="280" t="s">
        <v>585</v>
      </c>
      <c r="S598" s="280"/>
      <c r="T598" s="280"/>
      <c r="U598" s="280"/>
      <c r="V598" s="280" t="s">
        <v>917</v>
      </c>
      <c r="W598" s="280"/>
      <c r="X598" s="280"/>
      <c r="Y598" s="280"/>
      <c r="Z598" s="280" t="s">
        <v>918</v>
      </c>
      <c r="AA598" s="280"/>
      <c r="AB598" s="280"/>
      <c r="AC598" s="280"/>
      <c r="AD598" s="280" t="s">
        <v>586</v>
      </c>
      <c r="AE598" s="280"/>
      <c r="AF598" s="280"/>
      <c r="AG598" s="280"/>
      <c r="AH598" s="280" t="s">
        <v>587</v>
      </c>
      <c r="AI598" s="280"/>
      <c r="AJ598" s="280"/>
      <c r="AK598" s="55"/>
      <c r="AN598" s="182"/>
      <c r="AY598" s="55"/>
      <c r="AZ598" s="55"/>
      <c r="BA598" s="55"/>
      <c r="BB598" s="55"/>
      <c r="CA598" s="61"/>
      <c r="CB598" s="61"/>
      <c r="CC598" s="61"/>
      <c r="CD598" s="61"/>
      <c r="CI598" s="55"/>
      <c r="CJ598" s="55"/>
      <c r="CK598" s="55"/>
      <c r="CL598" s="55"/>
      <c r="CR598" s="61"/>
      <c r="CS598" s="61"/>
      <c r="CT598" s="61"/>
      <c r="CU598" s="61"/>
      <c r="CW598" s="61"/>
      <c r="CX598" s="61"/>
      <c r="CY598" s="61"/>
      <c r="CZ598" s="61"/>
      <c r="DB598" s="61"/>
      <c r="DC598" s="61"/>
      <c r="DD598" s="61"/>
      <c r="DE598" s="61"/>
      <c r="DJ598" s="55"/>
      <c r="DK598" s="55"/>
      <c r="DL598" s="55"/>
      <c r="DM598" s="55"/>
      <c r="DW598" s="61"/>
      <c r="DX598" s="61"/>
      <c r="DY598" s="61"/>
      <c r="DZ598" s="61"/>
    </row>
    <row r="599" spans="1:130" x14ac:dyDescent="0.2">
      <c r="A599" s="54"/>
      <c r="B599" s="281">
        <f>IFERROR( IF($Z$135="-",
                             IF($L$187&gt;0, SUM($CR$213:$CV$282),
                             IF($L$187&lt;0, SUM($CW$213:$DA$282),"-")),"-"),"-")</f>
        <v>7.5000000000000011E-2</v>
      </c>
      <c r="C599" s="281"/>
      <c r="D599" s="281"/>
      <c r="E599" s="281"/>
      <c r="F599" s="281">
        <f>IFERROR( IF($Z$135="-",
                             IF($L$188&gt;0, SUM($DB$213:$DF$282),
                             IF($L$188&lt;0, SUM($DG$213:$DK$282),"-")),"-"),"-")</f>
        <v>3.0750000000000002</v>
      </c>
      <c r="G599" s="281"/>
      <c r="H599" s="281"/>
      <c r="I599" s="281"/>
      <c r="J599" s="281">
        <f>IFERROR( IF($Z$135="-", 4.5*(L591^2)/1000000,"-"),"-")</f>
        <v>3.1249999999999997E-2</v>
      </c>
      <c r="K599" s="281"/>
      <c r="L599" s="281"/>
      <c r="M599" s="281"/>
      <c r="N599" s="281">
        <f>IFERROR( IF($Z$135="-", 4.5*(Q591^2)/1000000,"-"),"-")</f>
        <v>3.1249999999999997E-2</v>
      </c>
      <c r="O599" s="281"/>
      <c r="P599" s="281"/>
      <c r="Q599" s="281"/>
      <c r="R599" s="282">
        <f>IFERROR( IF($Z$135="-",
                            IF($B$378="Grupo",
                                  MIN(  1,
                                              (1/(1+(2*ABS(0-$T$187)/(3*$L$591))))
                                            )*
                                  MIN(  1,
                                              (1/(1+(2*ABS(0-$Q$188)/(3*$Q$591))))),
                                  "-"),"-"),"-")</f>
        <v>0.25</v>
      </c>
      <c r="S599" s="282"/>
      <c r="T599" s="282"/>
      <c r="U599" s="282"/>
      <c r="V599" s="282">
        <f>IFERROR( IF($Z$135="-", IF($Q$591&gt;=(1.5*$L$591),1,(0.7+(0.3*($Q$591/(1.5*$L$591))))),"-"),0)</f>
        <v>0.89999999999999991</v>
      </c>
      <c r="W599" s="282"/>
      <c r="X599" s="282"/>
      <c r="Y599" s="282"/>
      <c r="Z599" s="282">
        <f>IFERROR( IF($Z$135="-", IF($L$591&gt;=(1.5*$Q$591),1,(0.7+(0.3*($L$591/(1.5*$Q$591))))),"-"),0)</f>
        <v>0.89999999999999991</v>
      </c>
      <c r="AA599" s="282"/>
      <c r="AB599" s="282"/>
      <c r="AC599" s="282"/>
      <c r="AD599" s="282">
        <f>IFERROR( IF($Z$135="-", IF($Z$99="No Fisurado",1.4,IF($Z$100="Confinado",1.4,IF($Z$101="B",1.25,1))),"-"),0)</f>
        <v>1</v>
      </c>
      <c r="AE599" s="282"/>
      <c r="AF599" s="282"/>
      <c r="AG599" s="282"/>
      <c r="AH599" s="282">
        <f>IFERROR( IF($Z$135="-", IF($G$591&lt;1.5*MIN($L$591:$U$591),MAX(1,(1.5*MIN($L$591:$U$591)/$G$591)^0.5), 1 ),"-"),0)</f>
        <v>0</v>
      </c>
      <c r="AI599" s="282"/>
      <c r="AJ599" s="282"/>
      <c r="AK599" s="55"/>
      <c r="AN599" s="88"/>
      <c r="AY599" s="55"/>
      <c r="AZ599" s="55"/>
      <c r="BA599" s="55"/>
      <c r="BB599" s="55"/>
      <c r="BF599" s="63"/>
      <c r="BI599" s="63"/>
      <c r="BU599" s="63"/>
      <c r="CA599" s="61"/>
      <c r="CB599" s="61"/>
      <c r="CC599" s="61"/>
      <c r="CD599" s="61"/>
      <c r="CI599" s="55"/>
      <c r="CJ599" s="55"/>
      <c r="CK599" s="55"/>
      <c r="CL599" s="55"/>
      <c r="CN599" s="63"/>
      <c r="CR599" s="61"/>
      <c r="CS599" s="61"/>
      <c r="CT599" s="61"/>
      <c r="CU599" s="61"/>
      <c r="CW599" s="61"/>
      <c r="CX599" s="61"/>
      <c r="CY599" s="61"/>
      <c r="CZ599" s="61"/>
      <c r="DB599" s="61"/>
      <c r="DC599" s="61"/>
      <c r="DD599" s="61"/>
      <c r="DE599" s="61"/>
      <c r="DJ599" s="55"/>
      <c r="DK599" s="55"/>
      <c r="DL599" s="55"/>
      <c r="DM599" s="55"/>
      <c r="DQ599" s="63"/>
      <c r="DR599" s="63"/>
      <c r="DS599" s="63"/>
      <c r="DW599" s="61"/>
      <c r="DX599" s="61"/>
      <c r="DY599" s="61"/>
      <c r="DZ599" s="61"/>
    </row>
    <row r="600" spans="1:130" x14ac:dyDescent="0.2">
      <c r="A600" s="54"/>
      <c r="B600" s="223"/>
      <c r="C600" s="223"/>
      <c r="D600" s="223"/>
      <c r="E600" s="223"/>
      <c r="F600" s="223"/>
      <c r="G600" s="223"/>
      <c r="H600" s="223"/>
      <c r="I600" s="223"/>
      <c r="J600" s="223"/>
      <c r="K600" s="223"/>
      <c r="L600" s="183"/>
      <c r="M600" s="183"/>
      <c r="N600" s="223"/>
      <c r="O600" s="223"/>
      <c r="P600" s="223"/>
      <c r="Q600" s="223"/>
      <c r="R600" s="223"/>
      <c r="S600" s="223"/>
      <c r="T600" s="223"/>
      <c r="U600" s="223"/>
      <c r="V600" s="223"/>
      <c r="W600" s="223"/>
      <c r="X600" s="223"/>
      <c r="Y600" s="223"/>
      <c r="Z600" s="223"/>
      <c r="AA600" s="223"/>
      <c r="AB600" s="223"/>
      <c r="AC600" s="223"/>
      <c r="AD600" s="223"/>
      <c r="AE600" s="223"/>
      <c r="AF600" s="223"/>
      <c r="AG600" s="223"/>
      <c r="AH600" s="184"/>
      <c r="AI600" s="223"/>
      <c r="AK600" s="55"/>
      <c r="BB600" s="63"/>
      <c r="BE600" s="63"/>
      <c r="BQ600" s="63"/>
      <c r="CJ600" s="63"/>
      <c r="DM600" s="63"/>
      <c r="DN600" s="63"/>
      <c r="DO600" s="63"/>
    </row>
    <row r="601" spans="1:130" x14ac:dyDescent="0.2">
      <c r="A601" s="54"/>
      <c r="B601" s="280" t="s">
        <v>942</v>
      </c>
      <c r="C601" s="280"/>
      <c r="D601" s="280"/>
      <c r="E601" s="280"/>
      <c r="F601" s="280"/>
      <c r="G601" s="280" t="s">
        <v>943</v>
      </c>
      <c r="H601" s="280"/>
      <c r="I601" s="280"/>
      <c r="J601" s="280"/>
      <c r="K601" s="280"/>
      <c r="L601" s="183"/>
      <c r="M601" s="183"/>
      <c r="N601" s="223"/>
      <c r="O601" s="223"/>
      <c r="P601" s="223"/>
      <c r="Q601" s="223"/>
      <c r="R601" s="223"/>
      <c r="S601" s="223"/>
      <c r="T601" s="223"/>
      <c r="U601" s="223"/>
      <c r="V601" s="223"/>
      <c r="W601" s="223"/>
      <c r="X601" s="223"/>
      <c r="Y601" s="223"/>
      <c r="Z601" s="223"/>
      <c r="AA601" s="223"/>
      <c r="AB601" s="223"/>
      <c r="AC601" s="223"/>
      <c r="AD601" s="223"/>
      <c r="AE601" s="223"/>
      <c r="AF601" s="223"/>
      <c r="AG601" s="223"/>
      <c r="AH601" s="184"/>
      <c r="AI601" s="223"/>
      <c r="AK601" s="55"/>
      <c r="BB601" s="63"/>
      <c r="BE601" s="63"/>
      <c r="BQ601" s="63"/>
      <c r="CJ601" s="63"/>
      <c r="DM601" s="63"/>
      <c r="DN601" s="63"/>
      <c r="DO601" s="63"/>
    </row>
    <row r="602" spans="1:130" x14ac:dyDescent="0.2">
      <c r="A602" s="54"/>
      <c r="B602" s="305">
        <f>IFERROR( IF($Z$135="-", MIN((IF($O$62="Gancho",0.66,0.6)*(($AA$591/$B$591)^0.2)*(B591^0.5)),3.7) * $G$594 * ($B$594^0.5) * ($L$591^1.5)/1000,$Z$135),"-")</f>
        <v>0</v>
      </c>
      <c r="C602" s="305"/>
      <c r="D602" s="305"/>
      <c r="E602" s="305"/>
      <c r="F602" s="305"/>
      <c r="G602" s="305">
        <f>IFERROR( IF($Z$135="-", MIN((IF($O$62="Gancho",0.66,0.6)*(($AA$591/$B$591)^0.2)*(G591^0.5)),3.7) * $G$594 * ($B$594^0.5) * ($Q$591^1.5)/1000,$Z$135),"-")</f>
        <v>0</v>
      </c>
      <c r="H602" s="305"/>
      <c r="I602" s="305"/>
      <c r="J602" s="305"/>
      <c r="K602" s="305"/>
      <c r="L602" s="183"/>
      <c r="M602" s="183"/>
      <c r="N602" s="183"/>
      <c r="O602" s="183"/>
      <c r="P602" s="183"/>
      <c r="Q602" s="183"/>
      <c r="R602" s="183"/>
      <c r="S602" s="183"/>
      <c r="T602" s="183"/>
      <c r="U602" s="183"/>
      <c r="V602" s="183"/>
      <c r="W602" s="183"/>
      <c r="X602" s="183"/>
      <c r="Y602" s="183"/>
      <c r="Z602" s="183"/>
      <c r="AA602" s="183"/>
      <c r="AB602" s="183"/>
      <c r="AC602" s="183"/>
      <c r="AD602" s="184"/>
      <c r="AE602" s="184"/>
      <c r="AF602" s="184"/>
      <c r="AG602" s="184"/>
      <c r="AH602" s="184"/>
      <c r="AI602" s="223"/>
      <c r="AK602" s="55"/>
      <c r="BB602" s="63"/>
      <c r="BE602" s="63"/>
      <c r="BQ602" s="63"/>
      <c r="CJ602" s="63"/>
      <c r="DM602" s="63"/>
      <c r="DN602" s="63"/>
      <c r="DO602" s="63"/>
    </row>
    <row r="603" spans="1:130" x14ac:dyDescent="0.2">
      <c r="A603" s="54"/>
      <c r="B603" s="54"/>
      <c r="C603" s="54"/>
      <c r="D603" s="54"/>
      <c r="E603" s="54"/>
      <c r="F603" s="54"/>
      <c r="G603" s="54"/>
      <c r="H603" s="54"/>
      <c r="I603" s="54"/>
      <c r="J603" s="54"/>
      <c r="K603" s="54"/>
      <c r="L603" s="54"/>
      <c r="M603" s="54"/>
      <c r="N603" s="54"/>
      <c r="O603" s="54"/>
      <c r="P603" s="54"/>
      <c r="Q603" s="54"/>
      <c r="R603" s="54"/>
      <c r="S603" s="54"/>
      <c r="T603" s="54"/>
      <c r="U603" s="54"/>
      <c r="V603" s="54"/>
      <c r="W603" s="54"/>
      <c r="X603" s="54"/>
      <c r="Y603" s="54"/>
      <c r="Z603" s="54"/>
      <c r="AA603" s="223"/>
      <c r="AB603" s="223"/>
      <c r="AC603" s="223"/>
      <c r="AD603" s="223"/>
      <c r="AE603" s="223"/>
      <c r="AF603" s="223"/>
      <c r="AG603" s="223"/>
      <c r="AH603" s="223"/>
      <c r="AI603" s="223"/>
      <c r="BC603" s="63"/>
      <c r="BD603" s="63"/>
      <c r="BF603" s="63"/>
      <c r="BG603" s="63"/>
      <c r="BH603" s="63"/>
      <c r="BI603" s="63"/>
      <c r="BJ603" s="63"/>
      <c r="BK603" s="63"/>
      <c r="BL603" s="63"/>
      <c r="BM603" s="63"/>
      <c r="BN603" s="63"/>
      <c r="BO603" s="63"/>
      <c r="BP603" s="63"/>
      <c r="BR603" s="63"/>
      <c r="BS603" s="63"/>
      <c r="BT603" s="63"/>
      <c r="BU603" s="63"/>
      <c r="BV603" s="63"/>
      <c r="BW603" s="63"/>
      <c r="BX603" s="63"/>
      <c r="BY603" s="63"/>
      <c r="BZ603" s="63"/>
      <c r="CK603" s="63"/>
      <c r="CL603" s="63"/>
      <c r="CM603" s="63"/>
      <c r="CN603" s="63"/>
      <c r="CO603" s="63"/>
      <c r="CP603" s="63"/>
      <c r="CQ603" s="63"/>
      <c r="DP603" s="63"/>
      <c r="DQ603" s="63"/>
      <c r="DR603" s="63"/>
      <c r="DS603" s="63"/>
      <c r="DT603" s="63"/>
      <c r="DU603" s="63"/>
      <c r="DV603" s="63"/>
    </row>
    <row r="604" spans="1:130" x14ac:dyDescent="0.2">
      <c r="A604" s="54"/>
      <c r="B604" s="54"/>
      <c r="C604" s="54"/>
      <c r="D604" s="325" t="s">
        <v>386</v>
      </c>
      <c r="E604" s="325"/>
      <c r="F604" s="325"/>
      <c r="G604" s="325"/>
      <c r="H604" s="325"/>
      <c r="I604" s="325"/>
      <c r="J604" s="325"/>
      <c r="K604" s="325"/>
      <c r="L604" s="325"/>
      <c r="M604" s="325"/>
      <c r="N604" s="325"/>
      <c r="O604" s="325"/>
      <c r="P604" s="325"/>
      <c r="Q604" s="325"/>
      <c r="R604" s="325"/>
      <c r="S604" s="325"/>
      <c r="T604" s="325"/>
      <c r="U604" s="325"/>
      <c r="V604" s="325"/>
      <c r="W604" s="325"/>
      <c r="X604" s="325"/>
      <c r="Y604" s="325"/>
      <c r="Z604" s="325"/>
      <c r="AA604" s="325"/>
      <c r="AB604" s="325"/>
      <c r="AC604" s="325"/>
      <c r="AD604" s="325"/>
      <c r="AE604" s="325"/>
      <c r="AF604" s="325"/>
      <c r="AG604" s="325"/>
      <c r="AH604" s="325"/>
      <c r="AI604" s="325"/>
      <c r="AJ604" s="325"/>
      <c r="AK604" s="174"/>
    </row>
    <row r="605" spans="1:130" x14ac:dyDescent="0.2">
      <c r="A605" s="54"/>
      <c r="B605" s="54"/>
      <c r="C605" s="54"/>
      <c r="D605" s="54"/>
      <c r="E605" s="54"/>
      <c r="F605" s="54"/>
      <c r="G605" s="54"/>
      <c r="H605" s="54"/>
      <c r="I605" s="54"/>
      <c r="J605" s="54"/>
      <c r="K605" s="54"/>
      <c r="L605" s="54"/>
      <c r="M605" s="54"/>
      <c r="N605" s="54"/>
      <c r="O605" s="54"/>
      <c r="P605" s="54"/>
      <c r="Q605" s="54"/>
      <c r="R605" s="54"/>
      <c r="S605" s="54"/>
      <c r="T605" s="54"/>
      <c r="U605" s="54"/>
      <c r="V605" s="54"/>
      <c r="W605" s="54"/>
      <c r="X605" s="54"/>
      <c r="Y605" s="54"/>
      <c r="Z605" s="54"/>
      <c r="AA605" s="223"/>
      <c r="AB605" s="223"/>
      <c r="AC605" s="223"/>
      <c r="AD605" s="223"/>
      <c r="AE605" s="223"/>
      <c r="AF605" s="223"/>
      <c r="AG605" s="223"/>
      <c r="AH605" s="223"/>
      <c r="AI605" s="223"/>
      <c r="AT605" s="72"/>
    </row>
    <row r="606" spans="1:130" ht="14.25" customHeight="1" x14ac:dyDescent="0.2">
      <c r="A606" s="54"/>
      <c r="B606" s="280" t="s">
        <v>471</v>
      </c>
      <c r="C606" s="280"/>
      <c r="D606" s="280"/>
      <c r="E606" s="280"/>
      <c r="F606" s="280"/>
      <c r="G606" s="280" t="s">
        <v>911</v>
      </c>
      <c r="H606" s="280"/>
      <c r="I606" s="280"/>
      <c r="J606" s="280"/>
      <c r="K606" s="280"/>
      <c r="L606" s="280" t="s">
        <v>912</v>
      </c>
      <c r="M606" s="280"/>
      <c r="N606" s="280"/>
      <c r="O606" s="280"/>
      <c r="P606" s="280"/>
      <c r="Q606" s="322" t="s">
        <v>913</v>
      </c>
      <c r="R606" s="280"/>
      <c r="S606" s="280"/>
      <c r="T606" s="280"/>
      <c r="U606" s="280"/>
      <c r="V606" s="322" t="s">
        <v>914</v>
      </c>
      <c r="W606" s="280"/>
      <c r="X606" s="280"/>
      <c r="Y606" s="280"/>
      <c r="Z606" s="280"/>
      <c r="AA606" s="280" t="s">
        <v>910</v>
      </c>
      <c r="AB606" s="280"/>
      <c r="AC606" s="280"/>
      <c r="AD606" s="280"/>
      <c r="AE606" s="280"/>
      <c r="AF606" s="496" t="s">
        <v>1003</v>
      </c>
      <c r="AG606" s="496"/>
      <c r="AH606" s="496"/>
      <c r="AI606" s="496"/>
      <c r="AJ606" s="496"/>
    </row>
    <row r="607" spans="1:130" x14ac:dyDescent="0.2">
      <c r="A607" s="54"/>
      <c r="B607" s="282">
        <f>IF(AND(B602="-",G602="-"),"-",IFERROR(IF($Z$135="-", IF($Z$101="A",0.75,0.7),0.75),"-"))</f>
        <v>0.7</v>
      </c>
      <c r="C607" s="282"/>
      <c r="D607" s="282"/>
      <c r="E607" s="282"/>
      <c r="F607" s="282"/>
      <c r="G607" s="305">
        <f>IFERROR( IF($B$607="-","-",  MIN(
              2/V$599*(F$599/N$599)*IF(R$599="-",1,R$599)*V$599*AD$599*AH$599*G$602,
                             1*(B$599/J$599)*IF(R$599="-",1,R$599)*V$599*AD$599*AH$599*B$602))*$B607,"-")</f>
        <v>0</v>
      </c>
      <c r="H607" s="305"/>
      <c r="I607" s="305"/>
      <c r="J607" s="305"/>
      <c r="K607" s="305"/>
      <c r="L607" s="305">
        <f>IFERROR( IF($B$607="-","-",  MIN(
              2/Z$599*(B$599/J$599)*IF(R$599="-",1,R$599)*Z$599*AD$599*AH$599*B$602,
                             1*(F$599/N$599)*IF(R$599="-",1,R$599)*Z$599*AD$599*AH$599*G$602))*$B607,"-")</f>
        <v>0</v>
      </c>
      <c r="M607" s="305"/>
      <c r="N607" s="305"/>
      <c r="O607" s="305"/>
      <c r="P607" s="305"/>
      <c r="Q607" s="305">
        <f>IF($G$607="-","-",IF($Q$594=1,$L$187/2,IF($Q$594=2,$L$187,IF($Q$594=3,$L$187,"-"))))</f>
        <v>0.99999999999999822</v>
      </c>
      <c r="R607" s="305"/>
      <c r="S607" s="305"/>
      <c r="T607" s="305"/>
      <c r="U607" s="305"/>
      <c r="V607" s="305">
        <f>IF($L$607="-","-",IF($Q$594=1,$L$188/2,IF($Q$594=2,$L$188,IF($Q$594=3,$L$188,"-"))))</f>
        <v>1.9999999999999991</v>
      </c>
      <c r="W607" s="305"/>
      <c r="X607" s="305"/>
      <c r="Y607" s="305"/>
      <c r="Z607" s="305"/>
      <c r="AA607" s="305" t="str">
        <f>IFERROR(100*MAX($Q607/($G607/$AF607),$V607/($L607/$AF607)),"-")</f>
        <v>-</v>
      </c>
      <c r="AB607" s="305"/>
      <c r="AC607" s="305"/>
      <c r="AD607" s="305"/>
      <c r="AE607" s="305"/>
      <c r="AF607" s="282">
        <f>IFERROR($L$176,1)</f>
        <v>1</v>
      </c>
      <c r="AG607" s="282"/>
      <c r="AH607" s="282"/>
      <c r="AI607" s="282"/>
      <c r="AJ607" s="282"/>
    </row>
    <row r="608" spans="1:130" x14ac:dyDescent="0.2">
      <c r="A608" s="54"/>
      <c r="B608" s="54"/>
      <c r="C608" s="54"/>
      <c r="D608" s="54"/>
      <c r="E608" s="54"/>
      <c r="F608" s="54"/>
      <c r="G608" s="54"/>
      <c r="H608" s="54"/>
      <c r="I608" s="54"/>
      <c r="J608" s="54"/>
      <c r="K608" s="54"/>
      <c r="L608" s="54"/>
      <c r="M608" s="54"/>
      <c r="N608" s="54"/>
      <c r="O608" s="54"/>
      <c r="P608" s="54"/>
      <c r="Q608" s="54"/>
      <c r="R608" s="54"/>
      <c r="S608" s="54"/>
      <c r="T608" s="54"/>
      <c r="U608" s="54"/>
      <c r="V608" s="54"/>
      <c r="W608" s="54"/>
      <c r="X608" s="54"/>
      <c r="Y608" s="54"/>
      <c r="Z608" s="54"/>
      <c r="AA608" s="223"/>
      <c r="AB608" s="223"/>
      <c r="AC608" s="223"/>
      <c r="AD608" s="223"/>
      <c r="AE608" s="223"/>
      <c r="AF608" s="223"/>
      <c r="AG608" s="223"/>
      <c r="AH608" s="223"/>
      <c r="AI608" s="223"/>
    </row>
    <row r="609" spans="1:126" x14ac:dyDescent="0.2">
      <c r="A609" s="54"/>
      <c r="B609" s="54"/>
      <c r="C609" s="54"/>
      <c r="D609" s="54"/>
      <c r="E609" s="54"/>
      <c r="F609" s="54"/>
      <c r="G609" s="54"/>
      <c r="H609" s="54"/>
      <c r="I609" s="54"/>
      <c r="J609" s="54"/>
      <c r="K609" s="54"/>
      <c r="L609" s="54"/>
      <c r="M609" s="54"/>
      <c r="N609" s="54"/>
      <c r="O609" s="54"/>
      <c r="P609" s="54"/>
      <c r="Q609" s="54"/>
      <c r="R609" s="54"/>
      <c r="S609" s="54"/>
      <c r="T609" s="54"/>
      <c r="U609" s="54"/>
      <c r="V609" s="54"/>
      <c r="W609" s="54"/>
      <c r="X609" s="54"/>
      <c r="Y609" s="54"/>
      <c r="Z609" s="54"/>
      <c r="AA609" s="223"/>
      <c r="AB609" s="223"/>
      <c r="AC609" s="223"/>
      <c r="AD609" s="223"/>
      <c r="AE609" s="223"/>
      <c r="AF609" s="223"/>
      <c r="AG609" s="223"/>
      <c r="AH609" s="223"/>
      <c r="AI609" s="223"/>
    </row>
    <row r="610" spans="1:126" x14ac:dyDescent="0.2">
      <c r="A610" s="54"/>
      <c r="B610" s="54"/>
      <c r="C610" s="324" t="s">
        <v>581</v>
      </c>
      <c r="D610" s="333"/>
      <c r="E610" s="333"/>
      <c r="F610" s="333"/>
      <c r="G610" s="333"/>
      <c r="H610" s="333"/>
      <c r="I610" s="333"/>
      <c r="J610" s="333"/>
      <c r="K610" s="333"/>
      <c r="L610" s="333"/>
      <c r="M610" s="333"/>
      <c r="N610" s="333"/>
      <c r="O610" s="333"/>
      <c r="P610" s="333"/>
      <c r="Q610" s="333"/>
      <c r="R610" s="333"/>
      <c r="S610" s="333"/>
      <c r="T610" s="333"/>
      <c r="U610" s="333"/>
      <c r="V610" s="333"/>
      <c r="W610" s="333"/>
      <c r="X610" s="333"/>
      <c r="Y610" s="333"/>
      <c r="Z610" s="333"/>
      <c r="AA610" s="333"/>
      <c r="AB610" s="333"/>
      <c r="AC610" s="333"/>
      <c r="AD610" s="333"/>
      <c r="AE610" s="333"/>
      <c r="AF610" s="333"/>
      <c r="AG610" s="333"/>
      <c r="AH610" s="333"/>
      <c r="AI610" s="333"/>
      <c r="AJ610" s="333"/>
      <c r="AK610" s="175"/>
    </row>
    <row r="611" spans="1:126" x14ac:dyDescent="0.2">
      <c r="A611" s="56"/>
      <c r="B611" s="54"/>
      <c r="C611" s="54"/>
      <c r="D611" s="54"/>
      <c r="E611" s="223"/>
      <c r="F611" s="54"/>
      <c r="G611" s="54"/>
      <c r="H611" s="54"/>
      <c r="I611" s="54"/>
      <c r="J611" s="54"/>
      <c r="K611" s="54"/>
      <c r="L611" s="54"/>
      <c r="M611" s="54"/>
      <c r="N611" s="54"/>
      <c r="O611" s="54"/>
      <c r="P611" s="54"/>
      <c r="Q611" s="54"/>
      <c r="R611" s="54"/>
      <c r="S611" s="54"/>
      <c r="T611" s="54"/>
      <c r="U611" s="54"/>
      <c r="V611" s="54"/>
      <c r="W611" s="54"/>
      <c r="X611" s="54"/>
      <c r="Y611" s="54"/>
      <c r="Z611" s="54"/>
      <c r="AA611" s="223"/>
      <c r="AB611" s="223"/>
      <c r="AC611" s="223"/>
      <c r="AD611" s="223"/>
      <c r="AE611" s="223"/>
      <c r="AF611" s="223"/>
      <c r="AG611" s="223"/>
      <c r="AH611" s="223"/>
      <c r="AI611" s="223"/>
    </row>
    <row r="612" spans="1:126" x14ac:dyDescent="0.2">
      <c r="A612" s="54"/>
      <c r="B612" s="54"/>
      <c r="C612" s="54"/>
      <c r="D612" s="325" t="s">
        <v>384</v>
      </c>
      <c r="E612" s="325"/>
      <c r="F612" s="325"/>
      <c r="G612" s="325"/>
      <c r="H612" s="325"/>
      <c r="I612" s="325"/>
      <c r="J612" s="325"/>
      <c r="K612" s="325"/>
      <c r="L612" s="325"/>
      <c r="M612" s="325"/>
      <c r="N612" s="325"/>
      <c r="O612" s="325"/>
      <c r="P612" s="325"/>
      <c r="Q612" s="325"/>
      <c r="R612" s="325"/>
      <c r="S612" s="325"/>
      <c r="T612" s="325"/>
      <c r="U612" s="325"/>
      <c r="V612" s="325"/>
      <c r="W612" s="325"/>
      <c r="X612" s="325"/>
      <c r="Y612" s="325"/>
      <c r="Z612" s="325"/>
      <c r="AA612" s="325"/>
      <c r="AB612" s="325"/>
      <c r="AC612" s="325"/>
      <c r="AD612" s="325"/>
      <c r="AE612" s="325"/>
      <c r="AF612" s="325"/>
      <c r="AG612" s="325"/>
      <c r="AH612" s="325"/>
      <c r="AI612" s="325"/>
      <c r="AJ612" s="325"/>
      <c r="AK612" s="174"/>
      <c r="BB612" s="63"/>
      <c r="BC612" s="63"/>
      <c r="BD612" s="63"/>
      <c r="BE612" s="63"/>
      <c r="BF612" s="63"/>
      <c r="BG612" s="63"/>
      <c r="BH612" s="63"/>
      <c r="BI612" s="63"/>
      <c r="BJ612" s="63"/>
      <c r="BK612" s="63"/>
      <c r="BL612" s="63"/>
      <c r="BM612" s="63"/>
      <c r="BN612" s="63"/>
      <c r="BO612" s="63"/>
      <c r="BP612" s="63"/>
      <c r="BQ612" s="63"/>
      <c r="BR612" s="63"/>
      <c r="BS612" s="63"/>
      <c r="BT612" s="63"/>
      <c r="BU612" s="63"/>
      <c r="BV612" s="63"/>
      <c r="BW612" s="63"/>
      <c r="BX612" s="63"/>
      <c r="BY612" s="63"/>
      <c r="BZ612" s="63"/>
      <c r="CJ612" s="63"/>
      <c r="CK612" s="63"/>
      <c r="CL612" s="63"/>
      <c r="CM612" s="63"/>
      <c r="CN612" s="63"/>
      <c r="CO612" s="63"/>
      <c r="CP612" s="63"/>
      <c r="CQ612" s="63"/>
      <c r="DM612" s="63"/>
      <c r="DN612" s="63"/>
      <c r="DO612" s="63"/>
      <c r="DP612" s="63"/>
      <c r="DQ612" s="63"/>
      <c r="DR612" s="63"/>
      <c r="DS612" s="63"/>
      <c r="DT612" s="63"/>
      <c r="DU612" s="63"/>
      <c r="DV612" s="63"/>
    </row>
    <row r="613" spans="1:126" x14ac:dyDescent="0.2">
      <c r="A613" s="54"/>
      <c r="B613" s="54"/>
      <c r="C613" s="54"/>
      <c r="D613" s="54"/>
      <c r="E613" s="54"/>
      <c r="F613" s="54"/>
      <c r="G613" s="54"/>
      <c r="H613" s="54"/>
      <c r="I613" s="54"/>
      <c r="J613" s="54"/>
      <c r="K613" s="54"/>
      <c r="L613" s="54"/>
      <c r="M613" s="54"/>
      <c r="N613" s="54"/>
      <c r="O613" s="54"/>
      <c r="P613" s="54"/>
      <c r="Q613" s="223"/>
      <c r="R613" s="223"/>
      <c r="S613" s="223"/>
      <c r="T613" s="223"/>
      <c r="U613" s="223"/>
      <c r="V613" s="223"/>
      <c r="W613" s="223"/>
      <c r="X613" s="223"/>
      <c r="Y613" s="223"/>
      <c r="Z613" s="223"/>
      <c r="AA613" s="223"/>
      <c r="AB613" s="223"/>
      <c r="AC613" s="223"/>
      <c r="AD613" s="223"/>
      <c r="AE613" s="223"/>
      <c r="AF613" s="223"/>
      <c r="AG613" s="223"/>
      <c r="AH613" s="223"/>
      <c r="AI613" s="223"/>
    </row>
    <row r="614" spans="1:126" ht="15" customHeight="1" x14ac:dyDescent="0.2">
      <c r="A614" s="56"/>
      <c r="B614" s="59"/>
      <c r="C614" s="330"/>
      <c r="D614" s="330"/>
      <c r="E614" s="330"/>
      <c r="F614" s="330"/>
      <c r="G614" s="330"/>
      <c r="H614" s="330"/>
      <c r="I614" s="330"/>
      <c r="J614" s="330"/>
      <c r="K614" s="330"/>
      <c r="L614" s="330"/>
      <c r="M614" s="330"/>
      <c r="N614" s="330"/>
      <c r="O614" s="330"/>
      <c r="P614" s="330" t="s">
        <v>1036</v>
      </c>
      <c r="Q614" s="330"/>
      <c r="R614" s="330"/>
      <c r="S614" s="330"/>
      <c r="T614" s="330"/>
      <c r="U614" s="330"/>
      <c r="V614" s="330"/>
      <c r="W614" s="330"/>
      <c r="X614" s="330"/>
      <c r="Y614" s="330"/>
      <c r="Z614" s="330"/>
      <c r="AA614" s="330"/>
      <c r="AB614" s="330"/>
      <c r="AC614" s="330"/>
      <c r="AD614" s="330"/>
      <c r="AE614" s="330"/>
      <c r="AF614" s="330"/>
      <c r="AG614" s="330"/>
      <c r="AH614" s="330"/>
      <c r="AI614" s="330"/>
      <c r="BB614" s="62"/>
      <c r="BC614" s="62"/>
      <c r="BD614" s="62"/>
      <c r="BE614" s="62"/>
      <c r="BF614" s="62"/>
      <c r="BG614" s="62"/>
      <c r="BH614" s="62"/>
      <c r="BI614" s="62"/>
      <c r="BJ614" s="62"/>
      <c r="BK614" s="62"/>
      <c r="BL614" s="62"/>
      <c r="BM614" s="62"/>
      <c r="BN614" s="62"/>
      <c r="BO614" s="62"/>
      <c r="BP614" s="62"/>
      <c r="BQ614" s="62"/>
      <c r="BR614" s="62"/>
      <c r="BS614" s="62"/>
      <c r="BT614" s="62"/>
      <c r="BU614" s="62"/>
      <c r="BV614" s="62"/>
      <c r="BW614" s="62"/>
      <c r="BX614" s="62"/>
      <c r="BY614" s="62"/>
      <c r="BZ614" s="62"/>
      <c r="CJ614" s="62"/>
      <c r="CK614" s="62"/>
      <c r="CL614" s="62"/>
      <c r="CM614" s="62"/>
      <c r="CN614" s="62"/>
      <c r="CO614" s="62"/>
      <c r="CP614" s="62"/>
      <c r="CQ614" s="62"/>
      <c r="DM614" s="62"/>
      <c r="DN614" s="62"/>
      <c r="DO614" s="62"/>
      <c r="DP614" s="62"/>
      <c r="DQ614" s="62"/>
      <c r="DR614" s="62"/>
      <c r="DS614" s="62"/>
      <c r="DT614" s="62"/>
      <c r="DU614" s="62"/>
      <c r="DV614" s="62"/>
    </row>
    <row r="615" spans="1:126" ht="18" customHeight="1" x14ac:dyDescent="0.2">
      <c r="A615" s="56"/>
      <c r="B615" s="59"/>
      <c r="C615" s="330"/>
      <c r="D615" s="330"/>
      <c r="E615" s="330"/>
      <c r="F615" s="330"/>
      <c r="G615" s="330"/>
      <c r="H615" s="330"/>
      <c r="I615" s="330"/>
      <c r="J615" s="330"/>
      <c r="K615" s="330"/>
      <c r="L615" s="330"/>
      <c r="M615" s="330"/>
      <c r="N615" s="330"/>
      <c r="O615" s="330"/>
      <c r="P615" s="330" t="s">
        <v>1037</v>
      </c>
      <c r="Q615" s="330"/>
      <c r="R615" s="330"/>
      <c r="S615" s="330"/>
      <c r="T615" s="330"/>
      <c r="U615" s="330"/>
      <c r="V615" s="330"/>
      <c r="W615" s="330"/>
      <c r="X615" s="330"/>
      <c r="Y615" s="330"/>
      <c r="Z615" s="330"/>
      <c r="AA615" s="330"/>
      <c r="AB615" s="330"/>
      <c r="AC615" s="330"/>
      <c r="AD615" s="330"/>
      <c r="AE615" s="330"/>
      <c r="AF615" s="330"/>
      <c r="AG615" s="330"/>
      <c r="AH615" s="330"/>
      <c r="AI615" s="330"/>
      <c r="BB615" s="62"/>
      <c r="BC615" s="62"/>
      <c r="BD615" s="62"/>
      <c r="BE615" s="62"/>
      <c r="BF615" s="62"/>
      <c r="BG615" s="62"/>
      <c r="BH615" s="62"/>
      <c r="BI615" s="62"/>
      <c r="BJ615" s="62"/>
      <c r="BK615" s="62"/>
      <c r="BL615" s="62"/>
      <c r="BM615" s="62"/>
      <c r="BN615" s="62"/>
      <c r="BO615" s="62"/>
      <c r="BP615" s="62"/>
      <c r="BQ615" s="62"/>
      <c r="BR615" s="62"/>
      <c r="BS615" s="62"/>
      <c r="BT615" s="62"/>
      <c r="BU615" s="62"/>
      <c r="BV615" s="62"/>
      <c r="BW615" s="62"/>
      <c r="BX615" s="62"/>
      <c r="BY615" s="62"/>
      <c r="BZ615" s="62"/>
      <c r="CJ615" s="62"/>
      <c r="CK615" s="62"/>
      <c r="CL615" s="62"/>
      <c r="CM615" s="62"/>
      <c r="CN615" s="62"/>
      <c r="CO615" s="62"/>
      <c r="CP615" s="62"/>
      <c r="CQ615" s="62"/>
      <c r="DM615" s="62"/>
      <c r="DN615" s="62"/>
      <c r="DO615" s="62"/>
      <c r="DP615" s="62"/>
      <c r="DQ615" s="62"/>
      <c r="DR615" s="62"/>
      <c r="DS615" s="62"/>
      <c r="DT615" s="62"/>
      <c r="DU615" s="62"/>
      <c r="DV615" s="62"/>
    </row>
    <row r="616" spans="1:126" ht="16.5" customHeight="1" x14ac:dyDescent="0.2">
      <c r="A616" s="56"/>
      <c r="B616" s="59"/>
      <c r="C616" s="330"/>
      <c r="D616" s="330"/>
      <c r="E616" s="330"/>
      <c r="F616" s="330"/>
      <c r="G616" s="330"/>
      <c r="H616" s="330"/>
      <c r="I616" s="330"/>
      <c r="J616" s="330"/>
      <c r="K616" s="330"/>
      <c r="L616" s="330"/>
      <c r="M616" s="330"/>
      <c r="N616" s="330"/>
      <c r="O616" s="330"/>
      <c r="P616" s="330" t="s">
        <v>1007</v>
      </c>
      <c r="Q616" s="330"/>
      <c r="R616" s="330"/>
      <c r="S616" s="330"/>
      <c r="T616" s="330"/>
      <c r="U616" s="330"/>
      <c r="V616" s="330"/>
      <c r="W616" s="330"/>
      <c r="X616" s="330"/>
      <c r="Y616" s="330"/>
      <c r="Z616" s="330"/>
      <c r="AA616" s="330"/>
      <c r="AB616" s="330"/>
      <c r="AC616" s="330"/>
      <c r="AD616" s="330"/>
      <c r="AE616" s="330"/>
      <c r="AF616" s="330"/>
      <c r="AG616" s="330"/>
      <c r="AH616" s="330"/>
      <c r="AI616" s="330"/>
      <c r="BB616" s="62"/>
      <c r="BC616" s="62"/>
      <c r="BD616" s="62"/>
      <c r="BE616" s="62"/>
      <c r="BF616" s="62"/>
      <c r="BG616" s="62"/>
      <c r="BH616" s="62"/>
      <c r="BI616" s="62"/>
      <c r="BJ616" s="62"/>
      <c r="BK616" s="62"/>
      <c r="BL616" s="62"/>
      <c r="BM616" s="62"/>
      <c r="BN616" s="62"/>
      <c r="BO616" s="62"/>
      <c r="BP616" s="62"/>
      <c r="BQ616" s="62"/>
      <c r="BR616" s="62"/>
      <c r="BS616" s="62"/>
      <c r="BT616" s="62"/>
      <c r="BU616" s="62"/>
      <c r="BV616" s="62"/>
      <c r="BW616" s="62"/>
      <c r="BX616" s="62"/>
      <c r="BY616" s="62"/>
      <c r="BZ616" s="62"/>
      <c r="CJ616" s="62"/>
      <c r="CK616" s="62"/>
      <c r="CL616" s="62"/>
      <c r="CM616" s="62"/>
      <c r="CN616" s="62"/>
      <c r="CO616" s="62"/>
      <c r="CP616" s="62"/>
      <c r="CQ616" s="62"/>
      <c r="DM616" s="62"/>
      <c r="DN616" s="62"/>
      <c r="DO616" s="62"/>
      <c r="DP616" s="62"/>
      <c r="DQ616" s="62"/>
      <c r="DR616" s="62"/>
      <c r="DS616" s="62"/>
      <c r="DT616" s="62"/>
      <c r="DU616" s="62"/>
      <c r="DV616" s="62"/>
    </row>
    <row r="617" spans="1:126" x14ac:dyDescent="0.2">
      <c r="A617" s="54"/>
      <c r="B617" s="54"/>
      <c r="C617" s="54"/>
      <c r="D617" s="54"/>
      <c r="E617" s="54"/>
      <c r="F617" s="54"/>
      <c r="G617" s="54"/>
      <c r="H617" s="54"/>
      <c r="I617" s="54"/>
      <c r="J617" s="54"/>
      <c r="K617" s="54"/>
      <c r="L617" s="54"/>
      <c r="M617" s="54"/>
      <c r="N617" s="54"/>
      <c r="O617" s="54"/>
      <c r="P617" s="54"/>
      <c r="Q617" s="223"/>
      <c r="R617" s="223"/>
      <c r="S617" s="223"/>
      <c r="T617" s="223"/>
      <c r="U617" s="223"/>
      <c r="V617" s="223"/>
      <c r="W617" s="223"/>
      <c r="X617" s="223"/>
      <c r="Y617" s="223"/>
      <c r="Z617" s="223"/>
      <c r="AA617" s="223"/>
      <c r="AB617" s="223"/>
      <c r="AC617" s="223"/>
      <c r="AD617" s="223"/>
      <c r="AE617" s="223"/>
      <c r="AF617" s="223"/>
      <c r="AG617" s="223"/>
      <c r="AH617" s="223"/>
      <c r="AI617" s="223"/>
    </row>
    <row r="618" spans="1:126" ht="14.25" customHeight="1" x14ac:dyDescent="0.2">
      <c r="A618" s="54"/>
      <c r="B618" s="280" t="s">
        <v>571</v>
      </c>
      <c r="C618" s="280"/>
      <c r="D618" s="280"/>
      <c r="E618" s="280"/>
      <c r="F618" s="280"/>
      <c r="G618" s="280" t="s">
        <v>474</v>
      </c>
      <c r="H618" s="280"/>
      <c r="I618" s="280"/>
      <c r="J618" s="280"/>
      <c r="K618" s="280"/>
      <c r="L618" s="322" t="s">
        <v>626</v>
      </c>
      <c r="M618" s="280"/>
      <c r="N618" s="280"/>
      <c r="O618" s="280"/>
      <c r="P618" s="280"/>
      <c r="Q618" s="223"/>
      <c r="R618" s="223"/>
      <c r="S618" s="223"/>
      <c r="T618" s="223"/>
      <c r="U618" s="223"/>
      <c r="V618" s="223"/>
      <c r="W618" s="223"/>
      <c r="X618" s="223"/>
      <c r="Y618" s="223"/>
      <c r="Z618" s="223"/>
      <c r="AA618" s="223"/>
      <c r="AB618" s="223"/>
      <c r="AC618" s="223"/>
      <c r="AD618" s="223"/>
      <c r="AE618" s="223"/>
      <c r="AF618" s="223"/>
      <c r="AG618" s="223"/>
      <c r="AH618" s="223"/>
      <c r="AI618" s="223"/>
    </row>
    <row r="619" spans="1:126" x14ac:dyDescent="0.2">
      <c r="A619" s="54"/>
      <c r="B619" s="305">
        <f>IFERROR( IF(Z$68&lt;=(2.5*25.4),1,2),"-")</f>
        <v>2</v>
      </c>
      <c r="C619" s="305"/>
      <c r="D619" s="305"/>
      <c r="E619" s="305"/>
      <c r="F619" s="305"/>
      <c r="G619" s="370">
        <f>IF($B$440="-","-",$B$440)</f>
        <v>145.66009573860973</v>
      </c>
      <c r="H619" s="370"/>
      <c r="I619" s="370"/>
      <c r="J619" s="370"/>
      <c r="K619" s="370"/>
      <c r="L619" s="370" t="str">
        <f>IF($B$493="-","-",$B$493)</f>
        <v>-</v>
      </c>
      <c r="M619" s="370"/>
      <c r="N619" s="370"/>
      <c r="O619" s="370"/>
      <c r="P619" s="370"/>
      <c r="Q619" s="223"/>
      <c r="R619" s="223"/>
      <c r="S619" s="223"/>
      <c r="T619" s="223"/>
      <c r="U619" s="223"/>
      <c r="V619" s="223"/>
      <c r="W619" s="223"/>
      <c r="X619" s="223"/>
      <c r="Y619" s="223"/>
      <c r="Z619" s="223"/>
      <c r="AA619" s="223"/>
      <c r="AB619" s="223"/>
      <c r="AC619" s="223"/>
      <c r="AD619" s="223"/>
      <c r="AE619" s="223"/>
      <c r="AF619" s="223"/>
      <c r="AG619" s="223"/>
      <c r="AH619" s="223"/>
      <c r="AI619" s="223"/>
      <c r="AM619" s="87" t="s">
        <v>652</v>
      </c>
      <c r="AN619" s="88" t="s">
        <v>736</v>
      </c>
    </row>
    <row r="620" spans="1:126" ht="14.25" customHeight="1" x14ac:dyDescent="0.2">
      <c r="A620" s="54"/>
      <c r="B620" s="54"/>
      <c r="C620" s="54"/>
      <c r="D620" s="54"/>
      <c r="E620" s="54"/>
      <c r="F620" s="54"/>
      <c r="G620" s="54"/>
      <c r="H620" s="54"/>
      <c r="I620" s="54"/>
      <c r="J620" s="54"/>
      <c r="K620" s="54"/>
      <c r="L620" s="54"/>
      <c r="M620" s="54"/>
      <c r="N620" s="54"/>
      <c r="O620" s="54"/>
      <c r="P620" s="54"/>
      <c r="Q620" s="223"/>
      <c r="R620" s="223"/>
      <c r="S620" s="223"/>
      <c r="T620" s="223"/>
      <c r="U620" s="223"/>
      <c r="V620" s="223"/>
      <c r="W620" s="223"/>
      <c r="X620" s="223"/>
      <c r="Y620" s="223"/>
      <c r="Z620" s="223"/>
      <c r="AA620" s="223"/>
      <c r="AB620" s="223"/>
      <c r="AC620" s="223"/>
      <c r="AD620" s="223"/>
      <c r="AE620" s="223"/>
      <c r="AF620" s="223"/>
      <c r="AG620" s="223"/>
      <c r="AH620" s="223"/>
      <c r="AI620" s="223"/>
    </row>
    <row r="621" spans="1:126" x14ac:dyDescent="0.2">
      <c r="A621" s="54"/>
      <c r="B621" s="54"/>
      <c r="C621" s="54"/>
      <c r="D621" s="325" t="s">
        <v>385</v>
      </c>
      <c r="E621" s="325"/>
      <c r="F621" s="325"/>
      <c r="G621" s="325"/>
      <c r="H621" s="325"/>
      <c r="I621" s="325"/>
      <c r="J621" s="325"/>
      <c r="K621" s="325"/>
      <c r="L621" s="325"/>
      <c r="M621" s="325"/>
      <c r="N621" s="325"/>
      <c r="O621" s="325"/>
      <c r="P621" s="325"/>
      <c r="Q621" s="325"/>
      <c r="R621" s="325"/>
      <c r="S621" s="325"/>
      <c r="T621" s="325"/>
      <c r="U621" s="325"/>
      <c r="V621" s="325"/>
      <c r="W621" s="325"/>
      <c r="X621" s="325"/>
      <c r="Y621" s="325"/>
      <c r="Z621" s="325"/>
      <c r="AA621" s="325"/>
      <c r="AB621" s="325"/>
      <c r="AC621" s="325"/>
      <c r="AD621" s="325"/>
      <c r="AE621" s="325"/>
      <c r="AF621" s="325"/>
      <c r="AG621" s="325"/>
      <c r="AH621" s="325"/>
      <c r="AI621" s="325"/>
      <c r="AJ621" s="325"/>
      <c r="AK621" s="174"/>
      <c r="BB621" s="63"/>
      <c r="BE621" s="63"/>
      <c r="BQ621" s="63"/>
      <c r="CJ621" s="63"/>
      <c r="DM621" s="63"/>
      <c r="DN621" s="63"/>
      <c r="DO621" s="63"/>
    </row>
    <row r="622" spans="1:126" x14ac:dyDescent="0.2">
      <c r="A622" s="54"/>
      <c r="B622" s="54"/>
      <c r="C622" s="54"/>
      <c r="D622" s="54"/>
      <c r="E622" s="54"/>
      <c r="F622" s="54"/>
      <c r="G622" s="54"/>
      <c r="H622" s="54"/>
      <c r="I622" s="54"/>
      <c r="J622" s="54"/>
      <c r="K622" s="54"/>
      <c r="L622" s="54"/>
      <c r="M622" s="54"/>
      <c r="N622" s="54"/>
      <c r="O622" s="54"/>
      <c r="P622" s="54"/>
      <c r="Q622" s="54"/>
      <c r="R622" s="54"/>
      <c r="S622" s="54"/>
      <c r="T622" s="54"/>
      <c r="U622" s="54"/>
      <c r="V622" s="54"/>
      <c r="W622" s="54"/>
      <c r="X622" s="54"/>
      <c r="Y622" s="54"/>
      <c r="Z622" s="54"/>
      <c r="AA622" s="223"/>
      <c r="AB622" s="223"/>
      <c r="AC622" s="223"/>
      <c r="AD622" s="223"/>
      <c r="AE622" s="223"/>
      <c r="AF622" s="223"/>
      <c r="AG622" s="223"/>
      <c r="AH622" s="223"/>
      <c r="AI622" s="223"/>
      <c r="AY622" s="63"/>
      <c r="AZ622" s="63"/>
      <c r="BA622" s="63"/>
      <c r="CI622" s="63"/>
      <c r="DJ622" s="63"/>
      <c r="DK622" s="63"/>
      <c r="DL622" s="63"/>
    </row>
    <row r="623" spans="1:126" ht="14.25" customHeight="1" x14ac:dyDescent="0.2">
      <c r="A623" s="54"/>
      <c r="B623" s="280" t="s">
        <v>572</v>
      </c>
      <c r="C623" s="280"/>
      <c r="D623" s="280"/>
      <c r="E623" s="280"/>
      <c r="F623" s="280"/>
      <c r="G623" s="280" t="s">
        <v>573</v>
      </c>
      <c r="H623" s="280"/>
      <c r="I623" s="280"/>
      <c r="J623" s="280"/>
      <c r="K623" s="280"/>
      <c r="L623" s="54"/>
      <c r="M623" s="54"/>
      <c r="N623" s="54"/>
      <c r="O623" s="54"/>
      <c r="P623" s="54"/>
      <c r="Q623" s="54"/>
      <c r="R623" s="54"/>
      <c r="S623" s="54"/>
      <c r="T623" s="54"/>
      <c r="U623" s="54"/>
      <c r="V623" s="54"/>
      <c r="W623" s="54"/>
      <c r="X623" s="54"/>
      <c r="Y623" s="54"/>
      <c r="Z623" s="54"/>
      <c r="AA623" s="54"/>
      <c r="AB623" s="54"/>
      <c r="AC623" s="54"/>
      <c r="AD623" s="54"/>
      <c r="AE623" s="54"/>
      <c r="AF623" s="54"/>
      <c r="AG623" s="54"/>
      <c r="AH623" s="54"/>
      <c r="AI623" s="54"/>
      <c r="AJ623" s="222"/>
      <c r="AK623" s="180"/>
      <c r="AL623" s="54"/>
      <c r="AN623" s="217"/>
      <c r="AO623" s="217"/>
      <c r="AP623" s="217"/>
      <c r="AQ623" s="217"/>
      <c r="AR623" s="217"/>
      <c r="AS623" s="217"/>
      <c r="AT623" s="217"/>
      <c r="AU623" s="217"/>
      <c r="AV623" s="217"/>
      <c r="AW623" s="217"/>
      <c r="AX623" s="217"/>
    </row>
    <row r="624" spans="1:126" x14ac:dyDescent="0.2">
      <c r="A624" s="54"/>
      <c r="B624" s="305">
        <f>IFERROR( IF($O$62="Adhesivo",MIN($G$619,$L$619),G619),"-")</f>
        <v>145.66009573860973</v>
      </c>
      <c r="C624" s="305"/>
      <c r="D624" s="305"/>
      <c r="E624" s="305"/>
      <c r="F624" s="305"/>
      <c r="G624" s="305">
        <f>IFERROR( B$619*B$624,"-")</f>
        <v>291.32019147721945</v>
      </c>
      <c r="H624" s="305"/>
      <c r="I624" s="305"/>
      <c r="J624" s="305"/>
      <c r="K624" s="305"/>
      <c r="L624" s="54"/>
      <c r="M624" s="54"/>
      <c r="N624" s="54"/>
      <c r="O624" s="54"/>
      <c r="P624" s="54"/>
      <c r="Q624" s="54"/>
      <c r="R624" s="54"/>
      <c r="S624" s="54"/>
      <c r="T624" s="54"/>
      <c r="U624" s="54"/>
      <c r="V624" s="54"/>
      <c r="W624" s="54"/>
      <c r="X624" s="54"/>
      <c r="Y624" s="54"/>
      <c r="Z624" s="54"/>
      <c r="AA624" s="54"/>
      <c r="AB624" s="54"/>
      <c r="AC624" s="54"/>
      <c r="AD624" s="54"/>
      <c r="AE624" s="54"/>
      <c r="AF624" s="54"/>
      <c r="AG624" s="54"/>
      <c r="AH624" s="54"/>
      <c r="AI624" s="54"/>
      <c r="AJ624" s="222"/>
      <c r="AK624" s="180"/>
      <c r="AL624" s="54"/>
      <c r="AN624" s="217"/>
      <c r="AO624" s="217"/>
      <c r="AP624" s="217"/>
      <c r="AQ624" s="217"/>
      <c r="AR624" s="217"/>
      <c r="AS624" s="217"/>
      <c r="AT624" s="217"/>
      <c r="AU624" s="217"/>
      <c r="AV624" s="217"/>
      <c r="AW624" s="217"/>
      <c r="AX624" s="217"/>
    </row>
    <row r="625" spans="1:126" x14ac:dyDescent="0.2">
      <c r="A625" s="54"/>
      <c r="B625" s="54"/>
      <c r="C625" s="54"/>
      <c r="D625" s="54"/>
      <c r="E625" s="54"/>
      <c r="F625" s="54"/>
      <c r="G625" s="54"/>
      <c r="H625" s="54"/>
      <c r="I625" s="54"/>
      <c r="J625" s="54"/>
      <c r="K625" s="54"/>
      <c r="L625" s="54"/>
      <c r="M625" s="54"/>
      <c r="N625" s="54"/>
      <c r="O625" s="54"/>
      <c r="P625" s="54"/>
      <c r="Q625" s="54"/>
      <c r="R625" s="54"/>
      <c r="S625" s="54"/>
      <c r="T625" s="54"/>
      <c r="U625" s="54"/>
      <c r="V625" s="54"/>
      <c r="W625" s="54"/>
      <c r="X625" s="54"/>
      <c r="Y625" s="54"/>
      <c r="Z625" s="54"/>
      <c r="AA625" s="54"/>
      <c r="AB625" s="54"/>
      <c r="AC625" s="54"/>
      <c r="AD625" s="54"/>
      <c r="AE625" s="54"/>
      <c r="AF625" s="54"/>
      <c r="AG625" s="54"/>
      <c r="AH625" s="54"/>
      <c r="AI625" s="54"/>
      <c r="AJ625" s="222"/>
      <c r="AK625" s="180"/>
      <c r="AL625" s="54"/>
      <c r="AN625" s="217"/>
      <c r="AO625" s="217"/>
      <c r="AP625" s="217"/>
      <c r="AQ625" s="217"/>
      <c r="AR625" s="217"/>
      <c r="AS625" s="217"/>
      <c r="AT625" s="217"/>
      <c r="AU625" s="217"/>
      <c r="AV625" s="217"/>
      <c r="AW625" s="217"/>
      <c r="AX625" s="217"/>
      <c r="BC625" s="63"/>
      <c r="BD625" s="63"/>
      <c r="BF625" s="63"/>
      <c r="BG625" s="63"/>
      <c r="BH625" s="63"/>
      <c r="BI625" s="63"/>
      <c r="BJ625" s="63"/>
      <c r="BK625" s="63"/>
      <c r="BL625" s="63"/>
      <c r="BM625" s="63"/>
      <c r="BN625" s="63"/>
      <c r="BO625" s="63"/>
      <c r="BP625" s="63"/>
      <c r="BR625" s="63"/>
      <c r="BS625" s="63"/>
      <c r="BT625" s="63"/>
      <c r="BU625" s="63"/>
      <c r="BV625" s="63"/>
      <c r="BW625" s="63"/>
      <c r="BX625" s="63"/>
      <c r="BY625" s="63"/>
      <c r="BZ625" s="63"/>
      <c r="CK625" s="63"/>
      <c r="CL625" s="63"/>
      <c r="CM625" s="63"/>
      <c r="CN625" s="63"/>
      <c r="CO625" s="63"/>
      <c r="CP625" s="63"/>
      <c r="CQ625" s="63"/>
      <c r="DP625" s="63"/>
      <c r="DQ625" s="63"/>
      <c r="DR625" s="63"/>
      <c r="DS625" s="63"/>
      <c r="DT625" s="63"/>
      <c r="DU625" s="63"/>
      <c r="DV625" s="63"/>
    </row>
    <row r="626" spans="1:126" x14ac:dyDescent="0.2">
      <c r="A626" s="54"/>
      <c r="B626" s="54"/>
      <c r="C626" s="54"/>
      <c r="D626" s="325" t="s">
        <v>386</v>
      </c>
      <c r="E626" s="325"/>
      <c r="F626" s="325"/>
      <c r="G626" s="325"/>
      <c r="H626" s="325"/>
      <c r="I626" s="325"/>
      <c r="J626" s="325"/>
      <c r="K626" s="325"/>
      <c r="L626" s="325"/>
      <c r="M626" s="325"/>
      <c r="N626" s="325"/>
      <c r="O626" s="325"/>
      <c r="P626" s="325"/>
      <c r="Q626" s="325"/>
      <c r="R626" s="325"/>
      <c r="S626" s="325"/>
      <c r="T626" s="325"/>
      <c r="U626" s="325"/>
      <c r="V626" s="325"/>
      <c r="W626" s="325"/>
      <c r="X626" s="325"/>
      <c r="Y626" s="325"/>
      <c r="Z626" s="325"/>
      <c r="AA626" s="325"/>
      <c r="AB626" s="325"/>
      <c r="AC626" s="325"/>
      <c r="AD626" s="325"/>
      <c r="AE626" s="325"/>
      <c r="AF626" s="325"/>
      <c r="AG626" s="325"/>
      <c r="AH626" s="325"/>
      <c r="AI626" s="325"/>
      <c r="AJ626" s="325"/>
      <c r="AK626" s="174"/>
      <c r="AN626" s="217"/>
      <c r="AO626" s="217"/>
      <c r="AP626" s="217"/>
      <c r="AQ626" s="217"/>
      <c r="AR626" s="217"/>
      <c r="AS626" s="217"/>
      <c r="AT626" s="217"/>
      <c r="AU626" s="217"/>
      <c r="AV626" s="217"/>
      <c r="AW626" s="217"/>
      <c r="AX626" s="217"/>
    </row>
    <row r="627" spans="1:126" x14ac:dyDescent="0.2">
      <c r="A627" s="54"/>
      <c r="B627" s="54"/>
      <c r="C627" s="54"/>
      <c r="D627" s="54"/>
      <c r="E627" s="54"/>
      <c r="F627" s="54"/>
      <c r="G627" s="54"/>
      <c r="H627" s="54"/>
      <c r="I627" s="54"/>
      <c r="J627" s="54"/>
      <c r="K627" s="54"/>
      <c r="L627" s="54"/>
      <c r="M627" s="54"/>
      <c r="N627" s="54"/>
      <c r="O627" s="54"/>
      <c r="P627" s="54"/>
      <c r="Q627" s="54"/>
      <c r="R627" s="54"/>
      <c r="S627" s="54"/>
      <c r="T627" s="54"/>
      <c r="U627" s="54"/>
      <c r="V627" s="54"/>
      <c r="W627" s="54"/>
      <c r="X627" s="54"/>
      <c r="Y627" s="54"/>
      <c r="Z627" s="54"/>
      <c r="AA627" s="223"/>
      <c r="AB627" s="223"/>
      <c r="AC627" s="223"/>
      <c r="AD627" s="223"/>
      <c r="AE627" s="223"/>
      <c r="AF627" s="223"/>
      <c r="AG627" s="223"/>
      <c r="AH627" s="223"/>
      <c r="AI627" s="223"/>
      <c r="AN627" s="217"/>
      <c r="AO627" s="217"/>
      <c r="AP627" s="217"/>
      <c r="AQ627" s="217"/>
      <c r="AR627" s="217"/>
      <c r="AS627" s="217"/>
      <c r="AT627" s="217"/>
      <c r="AU627" s="217"/>
      <c r="AV627" s="217"/>
      <c r="AW627" s="217"/>
      <c r="AX627" s="217"/>
    </row>
    <row r="628" spans="1:126" ht="14.25" customHeight="1" x14ac:dyDescent="0.2">
      <c r="A628" s="54"/>
      <c r="B628" s="322" t="s">
        <v>984</v>
      </c>
      <c r="C628" s="280"/>
      <c r="D628" s="280"/>
      <c r="E628" s="280"/>
      <c r="F628" s="280"/>
      <c r="G628" s="280" t="s">
        <v>471</v>
      </c>
      <c r="H628" s="280"/>
      <c r="I628" s="280"/>
      <c r="J628" s="280"/>
      <c r="K628" s="280"/>
      <c r="L628" s="280" t="s">
        <v>550</v>
      </c>
      <c r="M628" s="280"/>
      <c r="N628" s="280"/>
      <c r="O628" s="280"/>
      <c r="P628" s="280"/>
      <c r="Q628" s="322" t="s">
        <v>551</v>
      </c>
      <c r="R628" s="280"/>
      <c r="S628" s="280"/>
      <c r="T628" s="280"/>
      <c r="U628" s="280"/>
      <c r="V628" s="280" t="s">
        <v>910</v>
      </c>
      <c r="W628" s="280"/>
      <c r="X628" s="280"/>
      <c r="Y628" s="280"/>
      <c r="Z628" s="280"/>
      <c r="AA628" s="496" t="s">
        <v>1003</v>
      </c>
      <c r="AB628" s="496"/>
      <c r="AC628" s="496"/>
      <c r="AD628" s="496"/>
      <c r="AE628" s="496"/>
      <c r="AF628" s="223"/>
      <c r="AG628" s="223"/>
      <c r="AH628" s="223"/>
      <c r="AI628" s="223"/>
    </row>
    <row r="629" spans="1:126" x14ac:dyDescent="0.2">
      <c r="A629" s="54"/>
      <c r="B629" s="305">
        <f>IF(G624="-","-",G624)</f>
        <v>291.32019147721945</v>
      </c>
      <c r="C629" s="305"/>
      <c r="D629" s="305"/>
      <c r="E629" s="305"/>
      <c r="F629" s="305"/>
      <c r="G629" s="282">
        <f>IF($B629="-","-", IFERROR(IF($O$61="Embebido",IF($Z$101="A",0.75,0.7),IF($Z$101="A",IF($Z$90="Baja",0.75,IF($Z$90="Moderada",0.65,0.55)),IF($Z$90="Baja",0.65,IF($Z$90="Moderada",0.55,0.45)))),"-"))</f>
        <v>0.45</v>
      </c>
      <c r="H629" s="282"/>
      <c r="I629" s="282"/>
      <c r="J629" s="282"/>
      <c r="K629" s="282"/>
      <c r="L629" s="305">
        <f>IF($B$629="-","-",$B629*$G629)</f>
        <v>131.09408616474875</v>
      </c>
      <c r="M629" s="305"/>
      <c r="N629" s="305"/>
      <c r="O629" s="305"/>
      <c r="P629" s="305"/>
      <c r="Q629" s="305">
        <f>IF($B$629="-","-",$S$198)</f>
        <v>9.017344398435716</v>
      </c>
      <c r="R629" s="305"/>
      <c r="S629" s="305"/>
      <c r="T629" s="305"/>
      <c r="U629" s="305"/>
      <c r="V629" s="305">
        <f>IFERROR(100*$Q629/($L629/$AA629),"-")</f>
        <v>6.8785287439308487</v>
      </c>
      <c r="W629" s="305"/>
      <c r="X629" s="305"/>
      <c r="Y629" s="305"/>
      <c r="Z629" s="305"/>
      <c r="AA629" s="282">
        <f>IFERROR($L$176,1)</f>
        <v>1</v>
      </c>
      <c r="AB629" s="282"/>
      <c r="AC629" s="282"/>
      <c r="AD629" s="282"/>
      <c r="AE629" s="282"/>
      <c r="AF629" s="223"/>
      <c r="AG629" s="223"/>
      <c r="AH629" s="223"/>
      <c r="AI629" s="223"/>
    </row>
    <row r="630" spans="1:126" x14ac:dyDescent="0.2">
      <c r="A630" s="54"/>
      <c r="B630" s="54"/>
      <c r="C630" s="54"/>
      <c r="D630" s="54"/>
      <c r="E630" s="54"/>
      <c r="F630" s="54"/>
      <c r="G630" s="54"/>
      <c r="H630" s="54"/>
      <c r="I630" s="54"/>
      <c r="J630" s="54"/>
      <c r="K630" s="54"/>
      <c r="L630" s="54"/>
      <c r="M630" s="54"/>
      <c r="N630" s="54"/>
      <c r="O630" s="54"/>
      <c r="P630" s="54"/>
      <c r="Q630" s="54"/>
      <c r="R630" s="54"/>
      <c r="S630" s="54"/>
      <c r="T630" s="54"/>
      <c r="U630" s="54"/>
      <c r="V630" s="54"/>
      <c r="W630" s="54"/>
      <c r="X630" s="54"/>
      <c r="Y630" s="54"/>
      <c r="Z630" s="54"/>
      <c r="AA630" s="223"/>
      <c r="AB630" s="223"/>
      <c r="AC630" s="223"/>
      <c r="AD630" s="223"/>
      <c r="AE630" s="223"/>
      <c r="AF630" s="223"/>
      <c r="AG630" s="223"/>
      <c r="AH630" s="223"/>
      <c r="AI630" s="223"/>
      <c r="BB630" s="63"/>
      <c r="BE630" s="63"/>
      <c r="BQ630" s="63"/>
      <c r="CJ630" s="63"/>
      <c r="DM630" s="63"/>
      <c r="DN630" s="63"/>
      <c r="DO630" s="63"/>
    </row>
    <row r="631" spans="1:126" x14ac:dyDescent="0.2">
      <c r="A631" s="54"/>
      <c r="B631" s="54"/>
      <c r="C631" s="54"/>
      <c r="D631" s="54"/>
      <c r="E631" s="54"/>
      <c r="F631" s="54"/>
      <c r="G631" s="54"/>
      <c r="H631" s="54"/>
      <c r="I631" s="54"/>
      <c r="J631" s="54"/>
      <c r="K631" s="54"/>
      <c r="L631" s="54"/>
      <c r="M631" s="54"/>
      <c r="N631" s="54"/>
      <c r="O631" s="54"/>
      <c r="P631" s="54"/>
      <c r="Q631" s="54"/>
      <c r="R631" s="54"/>
      <c r="S631" s="54"/>
      <c r="T631" s="54"/>
      <c r="U631" s="54"/>
      <c r="V631" s="54"/>
      <c r="W631" s="54"/>
      <c r="X631" s="54"/>
      <c r="Y631" s="54"/>
      <c r="Z631" s="54"/>
      <c r="AA631" s="223"/>
      <c r="AB631" s="223"/>
      <c r="AC631" s="223"/>
      <c r="AD631" s="223"/>
      <c r="AE631" s="223"/>
      <c r="AF631" s="223"/>
      <c r="AG631" s="223"/>
      <c r="AH631" s="223"/>
      <c r="AI631" s="223"/>
    </row>
    <row r="632" spans="1:126" ht="15" x14ac:dyDescent="0.2">
      <c r="A632" s="54"/>
      <c r="B632" s="248" t="s">
        <v>997</v>
      </c>
      <c r="C632" s="248"/>
      <c r="D632" s="248"/>
      <c r="E632" s="248"/>
      <c r="F632" s="248"/>
      <c r="G632" s="248"/>
      <c r="H632" s="248"/>
      <c r="I632" s="248"/>
      <c r="J632" s="248"/>
      <c r="K632" s="248"/>
      <c r="L632" s="248"/>
      <c r="M632" s="248"/>
      <c r="N632" s="248"/>
      <c r="O632" s="248"/>
      <c r="P632" s="248"/>
      <c r="Q632" s="248"/>
      <c r="R632" s="248"/>
      <c r="S632" s="248"/>
      <c r="T632" s="248"/>
      <c r="U632" s="248"/>
      <c r="V632" s="248"/>
      <c r="W632" s="248"/>
      <c r="X632" s="248"/>
      <c r="Y632" s="248"/>
      <c r="Z632" s="248"/>
      <c r="AA632" s="248"/>
      <c r="AB632" s="248"/>
      <c r="AC632" s="248"/>
      <c r="AD632" s="248"/>
      <c r="AE632" s="248"/>
      <c r="AF632" s="248"/>
      <c r="AG632" s="248"/>
      <c r="AH632" s="248"/>
      <c r="AI632" s="248"/>
      <c r="AJ632" s="248"/>
      <c r="AK632" s="176"/>
    </row>
    <row r="633" spans="1:126" x14ac:dyDescent="0.2">
      <c r="A633" s="54"/>
      <c r="B633" s="54"/>
      <c r="C633" s="54"/>
      <c r="D633" s="54"/>
      <c r="E633" s="54"/>
      <c r="F633" s="54"/>
      <c r="G633" s="54"/>
      <c r="H633" s="54"/>
      <c r="I633" s="54"/>
      <c r="J633" s="54"/>
      <c r="K633" s="54"/>
      <c r="L633" s="54"/>
      <c r="M633" s="54"/>
      <c r="N633" s="54"/>
      <c r="O633" s="54"/>
      <c r="P633" s="54"/>
      <c r="Q633" s="54"/>
      <c r="R633" s="54"/>
      <c r="S633" s="54"/>
      <c r="T633" s="54"/>
      <c r="U633" s="54"/>
      <c r="V633" s="54"/>
      <c r="W633" s="54"/>
      <c r="X633" s="54"/>
      <c r="Y633" s="54"/>
      <c r="Z633" s="54"/>
      <c r="AA633" s="223"/>
      <c r="AB633" s="223"/>
      <c r="AC633" s="223"/>
      <c r="AD633" s="223"/>
      <c r="AE633" s="223"/>
      <c r="AF633" s="223"/>
      <c r="AG633" s="223"/>
      <c r="AH633" s="223"/>
      <c r="AI633" s="223"/>
    </row>
    <row r="634" spans="1:126" x14ac:dyDescent="0.2">
      <c r="A634" s="54"/>
      <c r="B634" s="54"/>
      <c r="C634" s="54"/>
      <c r="D634" s="325" t="s">
        <v>384</v>
      </c>
      <c r="E634" s="325"/>
      <c r="F634" s="325"/>
      <c r="G634" s="325"/>
      <c r="H634" s="325"/>
      <c r="I634" s="325"/>
      <c r="J634" s="325"/>
      <c r="K634" s="325"/>
      <c r="L634" s="325"/>
      <c r="M634" s="325"/>
      <c r="N634" s="325"/>
      <c r="O634" s="325"/>
      <c r="P634" s="325"/>
      <c r="Q634" s="325"/>
      <c r="R634" s="325"/>
      <c r="S634" s="325"/>
      <c r="T634" s="325"/>
      <c r="U634" s="325"/>
      <c r="V634" s="325"/>
      <c r="W634" s="325"/>
      <c r="X634" s="325"/>
      <c r="Y634" s="325"/>
      <c r="Z634" s="325"/>
      <c r="AA634" s="325"/>
      <c r="AB634" s="325"/>
      <c r="AC634" s="325"/>
      <c r="AD634" s="325"/>
      <c r="AE634" s="325"/>
      <c r="AF634" s="325"/>
      <c r="AG634" s="325"/>
      <c r="AH634" s="325"/>
      <c r="AI634" s="325"/>
      <c r="AJ634" s="325"/>
      <c r="AK634" s="174"/>
      <c r="BC634" s="55"/>
      <c r="BD634" s="55"/>
      <c r="BF634" s="55"/>
      <c r="BG634" s="55"/>
      <c r="BH634" s="55"/>
      <c r="BI634" s="55"/>
      <c r="BJ634" s="55"/>
      <c r="BK634" s="55"/>
      <c r="BL634" s="55"/>
      <c r="BM634" s="55"/>
      <c r="BN634" s="55"/>
      <c r="BO634" s="55"/>
      <c r="BP634" s="55"/>
      <c r="BR634" s="55"/>
      <c r="BS634" s="55"/>
      <c r="BT634" s="55"/>
      <c r="BU634" s="55"/>
      <c r="BV634" s="55"/>
      <c r="BW634" s="55"/>
      <c r="BX634" s="55"/>
      <c r="BY634" s="55"/>
      <c r="BZ634" s="55"/>
      <c r="CK634" s="55"/>
      <c r="CL634" s="55"/>
      <c r="CM634" s="55"/>
      <c r="CN634" s="55"/>
      <c r="CO634" s="55"/>
      <c r="CP634" s="55"/>
      <c r="CQ634" s="55"/>
      <c r="DP634" s="55"/>
      <c r="DQ634" s="55"/>
      <c r="DR634" s="55"/>
      <c r="DS634" s="55"/>
      <c r="DT634" s="55"/>
      <c r="DU634" s="55"/>
      <c r="DV634" s="55"/>
    </row>
    <row r="635" spans="1:126" x14ac:dyDescent="0.2">
      <c r="A635" s="54"/>
      <c r="B635" s="54"/>
      <c r="C635" s="54"/>
      <c r="D635" s="54"/>
      <c r="E635" s="54"/>
      <c r="F635" s="54"/>
      <c r="G635" s="54"/>
      <c r="H635" s="54"/>
      <c r="I635" s="54"/>
      <c r="J635" s="54"/>
      <c r="K635" s="54"/>
      <c r="L635" s="54"/>
      <c r="M635" s="54"/>
      <c r="N635" s="54"/>
      <c r="O635" s="54"/>
      <c r="P635" s="54"/>
      <c r="Q635" s="54"/>
      <c r="R635" s="54"/>
      <c r="S635" s="54"/>
      <c r="T635" s="54"/>
      <c r="U635" s="54"/>
      <c r="V635" s="54"/>
      <c r="W635" s="54"/>
      <c r="X635" s="54"/>
      <c r="Y635" s="54"/>
      <c r="Z635" s="54"/>
      <c r="AA635" s="223"/>
      <c r="AB635" s="223"/>
      <c r="AC635" s="223"/>
      <c r="AD635" s="223"/>
      <c r="AE635" s="223"/>
      <c r="AF635" s="223"/>
      <c r="AG635" s="223"/>
      <c r="AH635" s="223"/>
      <c r="AI635" s="223"/>
      <c r="BC635" s="55"/>
      <c r="BD635" s="55"/>
      <c r="BF635" s="55"/>
      <c r="BG635" s="55"/>
      <c r="BH635" s="55"/>
      <c r="BI635" s="55"/>
      <c r="BJ635" s="55"/>
      <c r="BK635" s="55"/>
      <c r="BL635" s="55"/>
      <c r="BM635" s="55"/>
      <c r="BN635" s="55"/>
      <c r="BO635" s="55"/>
      <c r="BP635" s="55"/>
      <c r="BR635" s="55"/>
      <c r="BS635" s="55"/>
      <c r="BT635" s="55"/>
      <c r="BU635" s="55"/>
      <c r="BV635" s="55"/>
      <c r="BW635" s="55"/>
      <c r="BX635" s="55"/>
      <c r="BY635" s="55"/>
      <c r="BZ635" s="55"/>
      <c r="CK635" s="55"/>
      <c r="CL635" s="55"/>
      <c r="CM635" s="55"/>
      <c r="CN635" s="55"/>
      <c r="CO635" s="55"/>
      <c r="CP635" s="55"/>
      <c r="CQ635" s="55"/>
      <c r="DP635" s="55"/>
      <c r="DQ635" s="55"/>
      <c r="DR635" s="55"/>
      <c r="DS635" s="55"/>
      <c r="DT635" s="55"/>
      <c r="DU635" s="55"/>
      <c r="DV635" s="55"/>
    </row>
    <row r="636" spans="1:126" ht="14.25" customHeight="1" x14ac:dyDescent="0.2">
      <c r="A636" s="54"/>
      <c r="B636" s="280" t="s">
        <v>909</v>
      </c>
      <c r="C636" s="280"/>
      <c r="D636" s="280"/>
      <c r="E636" s="280"/>
      <c r="F636" s="280"/>
      <c r="G636" s="280" t="s">
        <v>910</v>
      </c>
      <c r="H636" s="280"/>
      <c r="I636" s="280"/>
      <c r="J636" s="280"/>
      <c r="K636" s="280"/>
      <c r="L636" s="54"/>
      <c r="M636" s="54"/>
      <c r="N636" s="54"/>
      <c r="O636" s="54"/>
      <c r="P636" s="54"/>
      <c r="Q636" s="54"/>
      <c r="R636" s="54"/>
      <c r="S636" s="54"/>
      <c r="T636" s="54"/>
      <c r="U636" s="54"/>
      <c r="V636" s="54"/>
      <c r="W636" s="54"/>
      <c r="X636" s="54"/>
      <c r="Y636" s="54"/>
      <c r="Z636" s="54"/>
      <c r="AA636" s="223"/>
      <c r="AB636" s="223"/>
      <c r="AC636" s="223"/>
      <c r="AD636" s="223"/>
      <c r="AE636" s="223"/>
      <c r="AF636" s="223"/>
      <c r="AG636" s="223"/>
      <c r="AH636" s="223"/>
      <c r="AI636" s="223"/>
      <c r="AJ636" s="221"/>
      <c r="AK636" s="182"/>
      <c r="BC636" s="55"/>
      <c r="BD636" s="55"/>
      <c r="BF636" s="55"/>
      <c r="BG636" s="55"/>
      <c r="BH636" s="55"/>
      <c r="BI636" s="55"/>
      <c r="BJ636" s="55"/>
      <c r="BK636" s="55"/>
      <c r="BL636" s="55"/>
      <c r="BM636" s="55"/>
      <c r="BN636" s="55"/>
      <c r="BO636" s="55"/>
      <c r="BP636" s="55"/>
      <c r="BR636" s="55"/>
      <c r="BS636" s="55"/>
      <c r="BT636" s="55"/>
      <c r="BU636" s="55"/>
      <c r="BV636" s="55"/>
      <c r="BW636" s="55"/>
      <c r="BX636" s="55"/>
      <c r="BY636" s="55"/>
      <c r="BZ636" s="55"/>
      <c r="CK636" s="55"/>
      <c r="CL636" s="55"/>
      <c r="CM636" s="55"/>
      <c r="CN636" s="55"/>
      <c r="CO636" s="55"/>
      <c r="CP636" s="55"/>
      <c r="CQ636" s="55"/>
      <c r="DP636" s="55"/>
      <c r="DQ636" s="55"/>
      <c r="DR636" s="55"/>
      <c r="DS636" s="55"/>
      <c r="DT636" s="55"/>
      <c r="DU636" s="55"/>
      <c r="DV636" s="55"/>
    </row>
    <row r="637" spans="1:126" x14ac:dyDescent="0.2">
      <c r="A637" s="54"/>
      <c r="B637" s="305">
        <f>MAX(Y385:AE389)</f>
        <v>63.313306059963772</v>
      </c>
      <c r="C637" s="305"/>
      <c r="D637" s="305"/>
      <c r="E637" s="305"/>
      <c r="F637" s="305"/>
      <c r="G637" s="305">
        <f>MAX(Y522:AE525)</f>
        <v>6.8785287439308487</v>
      </c>
      <c r="H637" s="305"/>
      <c r="I637" s="305"/>
      <c r="J637" s="305"/>
      <c r="K637" s="305"/>
      <c r="L637" s="54"/>
      <c r="M637" s="54"/>
      <c r="N637" s="54"/>
      <c r="O637" s="54"/>
      <c r="P637" s="54"/>
      <c r="Q637" s="54"/>
      <c r="R637" s="54"/>
      <c r="S637" s="54"/>
      <c r="T637" s="54"/>
      <c r="U637" s="54"/>
      <c r="V637" s="54"/>
      <c r="W637" s="54"/>
      <c r="X637" s="54"/>
      <c r="Y637" s="54"/>
      <c r="Z637" s="54"/>
      <c r="AA637" s="223"/>
      <c r="AB637" s="223"/>
      <c r="AC637" s="223"/>
      <c r="AD637" s="223"/>
      <c r="AE637" s="223"/>
      <c r="AF637" s="223"/>
      <c r="AG637" s="223"/>
      <c r="AH637" s="223"/>
      <c r="AI637" s="223"/>
      <c r="BB637" s="63"/>
      <c r="BC637" s="55"/>
      <c r="BD637" s="55"/>
      <c r="BE637" s="63"/>
      <c r="BF637" s="55"/>
      <c r="BG637" s="55"/>
      <c r="BH637" s="55"/>
      <c r="BI637" s="55"/>
      <c r="BJ637" s="55"/>
      <c r="BK637" s="55"/>
      <c r="BL637" s="55"/>
      <c r="BM637" s="55"/>
      <c r="BN637" s="55"/>
      <c r="BO637" s="55"/>
      <c r="BP637" s="55"/>
      <c r="BQ637" s="63"/>
      <c r="BR637" s="55"/>
      <c r="BS637" s="55"/>
      <c r="BT637" s="55"/>
      <c r="BU637" s="55"/>
      <c r="BV637" s="55"/>
      <c r="BW637" s="55"/>
      <c r="BX637" s="55"/>
      <c r="BY637" s="55"/>
      <c r="BZ637" s="55"/>
      <c r="CJ637" s="63"/>
      <c r="CK637" s="55"/>
      <c r="CL637" s="55"/>
      <c r="CM637" s="55"/>
      <c r="CN637" s="55"/>
      <c r="CO637" s="55"/>
      <c r="CP637" s="55"/>
      <c r="CQ637" s="55"/>
      <c r="DM637" s="63"/>
      <c r="DN637" s="63"/>
      <c r="DO637" s="63"/>
      <c r="DP637" s="55"/>
      <c r="DQ637" s="55"/>
      <c r="DR637" s="55"/>
      <c r="DS637" s="55"/>
      <c r="DT637" s="55"/>
      <c r="DU637" s="55"/>
      <c r="DV637" s="55"/>
    </row>
    <row r="638" spans="1:126" x14ac:dyDescent="0.2">
      <c r="A638" s="54"/>
      <c r="B638" s="54"/>
      <c r="C638" s="54"/>
      <c r="D638" s="54"/>
      <c r="E638" s="54"/>
      <c r="F638" s="54"/>
      <c r="G638" s="54"/>
      <c r="H638" s="54"/>
      <c r="I638" s="54"/>
      <c r="J638" s="54"/>
      <c r="K638" s="54"/>
      <c r="L638" s="54"/>
      <c r="M638" s="54"/>
      <c r="N638" s="54"/>
      <c r="O638" s="54"/>
      <c r="P638" s="54"/>
      <c r="Q638" s="54"/>
      <c r="R638" s="54"/>
      <c r="S638" s="54"/>
      <c r="T638" s="54"/>
      <c r="U638" s="54"/>
      <c r="V638" s="54"/>
      <c r="W638" s="54"/>
      <c r="X638" s="54"/>
      <c r="Y638" s="54"/>
      <c r="Z638" s="54"/>
      <c r="AA638" s="223"/>
      <c r="AB638" s="223"/>
      <c r="AC638" s="223"/>
      <c r="AD638" s="223"/>
      <c r="AE638" s="223"/>
      <c r="AF638" s="223"/>
      <c r="AG638" s="223"/>
      <c r="AH638" s="223"/>
      <c r="AI638" s="223"/>
      <c r="BC638" s="55"/>
      <c r="BD638" s="55"/>
      <c r="BF638" s="55"/>
      <c r="BG638" s="55"/>
      <c r="BH638" s="55"/>
      <c r="BI638" s="55"/>
      <c r="BJ638" s="55"/>
      <c r="BK638" s="55"/>
      <c r="BL638" s="55"/>
      <c r="BM638" s="55"/>
      <c r="BN638" s="55"/>
      <c r="BO638" s="55"/>
      <c r="BP638" s="55"/>
      <c r="BR638" s="55"/>
      <c r="BS638" s="55"/>
      <c r="BT638" s="55"/>
      <c r="BU638" s="55"/>
      <c r="BV638" s="55"/>
      <c r="BW638" s="55"/>
      <c r="BX638" s="55"/>
      <c r="BY638" s="55"/>
      <c r="BZ638" s="55"/>
      <c r="CK638" s="55"/>
      <c r="CL638" s="55"/>
      <c r="CM638" s="55"/>
      <c r="CN638" s="55"/>
      <c r="CO638" s="55"/>
      <c r="CP638" s="55"/>
      <c r="CQ638" s="55"/>
      <c r="DP638" s="55"/>
      <c r="DQ638" s="55"/>
      <c r="DR638" s="55"/>
      <c r="DS638" s="55"/>
      <c r="DT638" s="55"/>
      <c r="DU638" s="55"/>
      <c r="DV638" s="55"/>
    </row>
    <row r="639" spans="1:126" x14ac:dyDescent="0.2">
      <c r="A639" s="54"/>
      <c r="B639" s="54"/>
      <c r="C639" s="54"/>
      <c r="D639" s="325" t="s">
        <v>385</v>
      </c>
      <c r="E639" s="325"/>
      <c r="F639" s="325"/>
      <c r="G639" s="325"/>
      <c r="H639" s="325"/>
      <c r="I639" s="325"/>
      <c r="J639" s="325"/>
      <c r="K639" s="325"/>
      <c r="L639" s="325"/>
      <c r="M639" s="325"/>
      <c r="N639" s="325"/>
      <c r="O639" s="325"/>
      <c r="P639" s="325"/>
      <c r="Q639" s="325"/>
      <c r="R639" s="325"/>
      <c r="S639" s="325"/>
      <c r="T639" s="325"/>
      <c r="U639" s="325"/>
      <c r="V639" s="325"/>
      <c r="W639" s="325"/>
      <c r="X639" s="325"/>
      <c r="Y639" s="325"/>
      <c r="Z639" s="325"/>
      <c r="AA639" s="325"/>
      <c r="AB639" s="325"/>
      <c r="AC639" s="325"/>
      <c r="AD639" s="325"/>
      <c r="AE639" s="325"/>
      <c r="AF639" s="325"/>
      <c r="AG639" s="325"/>
      <c r="AH639" s="325"/>
      <c r="AI639" s="325"/>
      <c r="AJ639" s="325"/>
      <c r="AK639" s="174"/>
      <c r="BC639" s="55"/>
      <c r="BD639" s="55"/>
      <c r="BF639" s="55"/>
      <c r="BG639" s="55"/>
      <c r="BH639" s="55"/>
      <c r="BI639" s="55"/>
      <c r="BJ639" s="55"/>
      <c r="BK639" s="55"/>
      <c r="BL639" s="55"/>
      <c r="BM639" s="55"/>
      <c r="BN639" s="55"/>
      <c r="BO639" s="55"/>
      <c r="BP639" s="55"/>
      <c r="BR639" s="55"/>
      <c r="BS639" s="55"/>
      <c r="BT639" s="55"/>
      <c r="BU639" s="55"/>
      <c r="BV639" s="55"/>
      <c r="BW639" s="55"/>
      <c r="BX639" s="55"/>
      <c r="BY639" s="55"/>
      <c r="BZ639" s="55"/>
      <c r="CK639" s="55"/>
      <c r="CL639" s="55"/>
      <c r="CM639" s="55"/>
      <c r="CN639" s="55"/>
      <c r="CO639" s="55"/>
      <c r="CP639" s="55"/>
      <c r="CQ639" s="55"/>
      <c r="DP639" s="55"/>
      <c r="DQ639" s="55"/>
      <c r="DR639" s="55"/>
      <c r="DS639" s="55"/>
      <c r="DT639" s="55"/>
      <c r="DU639" s="55"/>
      <c r="DV639" s="55"/>
    </row>
    <row r="640" spans="1:126" x14ac:dyDescent="0.2">
      <c r="A640" s="54"/>
      <c r="B640" s="54"/>
      <c r="C640" s="54"/>
      <c r="D640" s="54"/>
      <c r="E640" s="54"/>
      <c r="F640" s="54"/>
      <c r="G640" s="54"/>
      <c r="H640" s="54"/>
      <c r="I640" s="54"/>
      <c r="J640" s="54"/>
      <c r="K640" s="54"/>
      <c r="L640" s="54"/>
      <c r="M640" s="54"/>
      <c r="N640" s="54"/>
      <c r="O640" s="54"/>
      <c r="P640" s="54"/>
      <c r="Q640" s="54"/>
      <c r="R640" s="54"/>
      <c r="S640" s="54"/>
      <c r="T640" s="54"/>
      <c r="U640" s="54"/>
      <c r="V640" s="54"/>
      <c r="W640" s="54"/>
      <c r="X640" s="54"/>
      <c r="Y640" s="54"/>
      <c r="Z640" s="54"/>
      <c r="AA640" s="223"/>
      <c r="AB640" s="223"/>
      <c r="AC640" s="223"/>
      <c r="AD640" s="223"/>
      <c r="AE640" s="223"/>
      <c r="AF640" s="223"/>
      <c r="AG640" s="223"/>
      <c r="AH640" s="223"/>
      <c r="AI640" s="223"/>
      <c r="BC640" s="55"/>
      <c r="BD640" s="55"/>
      <c r="BF640" s="55"/>
      <c r="BG640" s="55"/>
      <c r="BH640" s="55"/>
      <c r="BI640" s="55"/>
      <c r="BJ640" s="55"/>
      <c r="BK640" s="55"/>
      <c r="BL640" s="55"/>
      <c r="BM640" s="55"/>
      <c r="BN640" s="55"/>
      <c r="BO640" s="55"/>
      <c r="BP640" s="55"/>
      <c r="BR640" s="55"/>
      <c r="BS640" s="55"/>
      <c r="BT640" s="55"/>
      <c r="BU640" s="55"/>
      <c r="BV640" s="55"/>
      <c r="BW640" s="55"/>
      <c r="BX640" s="55"/>
      <c r="BY640" s="55"/>
      <c r="BZ640" s="55"/>
      <c r="CK640" s="55"/>
      <c r="CL640" s="55"/>
      <c r="CM640" s="55"/>
      <c r="CN640" s="55"/>
      <c r="CO640" s="55"/>
      <c r="CP640" s="55"/>
      <c r="CQ640" s="55"/>
      <c r="DP640" s="55"/>
      <c r="DQ640" s="55"/>
      <c r="DR640" s="55"/>
      <c r="DS640" s="55"/>
      <c r="DT640" s="55"/>
      <c r="DU640" s="55"/>
      <c r="DV640" s="55"/>
    </row>
    <row r="641" spans="1:126" x14ac:dyDescent="0.2">
      <c r="A641" s="54"/>
      <c r="B641" s="280" t="s">
        <v>570</v>
      </c>
      <c r="C641" s="280"/>
      <c r="D641" s="280"/>
      <c r="E641" s="280"/>
      <c r="F641" s="280"/>
      <c r="G641" s="280"/>
      <c r="H641" s="280"/>
      <c r="I641" s="280"/>
      <c r="J641" s="280"/>
      <c r="K641" s="280"/>
      <c r="L641" s="223"/>
      <c r="M641" s="223"/>
      <c r="N641" s="223"/>
      <c r="O641" s="223"/>
      <c r="P641" s="223"/>
      <c r="Q641" s="223"/>
      <c r="R641" s="223"/>
      <c r="S641" s="223"/>
      <c r="T641" s="223"/>
      <c r="U641" s="223"/>
      <c r="V641" s="223"/>
      <c r="W641" s="223"/>
      <c r="X641" s="223"/>
      <c r="Y641" s="223"/>
      <c r="Z641" s="223"/>
      <c r="AA641" s="223"/>
      <c r="AB641" s="223"/>
      <c r="AC641" s="223"/>
      <c r="AD641" s="223"/>
      <c r="AE641" s="223"/>
      <c r="AF641" s="223"/>
      <c r="AG641" s="223"/>
      <c r="AH641" s="223"/>
      <c r="AI641" s="223"/>
      <c r="BC641" s="55"/>
      <c r="BD641" s="55"/>
      <c r="BF641" s="55"/>
      <c r="BG641" s="55"/>
      <c r="BH641" s="55"/>
      <c r="BI641" s="55"/>
      <c r="BJ641" s="55"/>
      <c r="BK641" s="55"/>
      <c r="BL641" s="55"/>
      <c r="BM641" s="55"/>
      <c r="BN641" s="55"/>
      <c r="BO641" s="55"/>
      <c r="BP641" s="55"/>
      <c r="BR641" s="55"/>
      <c r="BS641" s="55"/>
      <c r="BT641" s="55"/>
      <c r="BU641" s="55"/>
      <c r="BV641" s="55"/>
      <c r="BW641" s="55"/>
      <c r="BX641" s="55"/>
      <c r="BY641" s="55"/>
      <c r="BZ641" s="55"/>
      <c r="CK641" s="55"/>
      <c r="CL641" s="55"/>
      <c r="CM641" s="55"/>
      <c r="CN641" s="55"/>
      <c r="CO641" s="55"/>
      <c r="CP641" s="55"/>
      <c r="CQ641" s="55"/>
      <c r="DP641" s="55"/>
      <c r="DQ641" s="55"/>
      <c r="DR641" s="55"/>
      <c r="DS641" s="55"/>
      <c r="DT641" s="55"/>
      <c r="DU641" s="55"/>
      <c r="DV641" s="55"/>
    </row>
    <row r="642" spans="1:126" x14ac:dyDescent="0.2">
      <c r="A642" s="54"/>
      <c r="B642" s="502">
        <f>IF(AND(B637&gt;0,G637&gt;0),((B637/100)^(5/3))+((G637/100)^(5/3)),"-")</f>
        <v>0.47837715248621621</v>
      </c>
      <c r="C642" s="502"/>
      <c r="D642" s="502"/>
      <c r="E642" s="502"/>
      <c r="F642" s="502"/>
      <c r="G642" s="502"/>
      <c r="H642" s="502"/>
      <c r="I642" s="216" t="str">
        <f>IF(B642&lt;=J642,"≤","&gt;")</f>
        <v>≤</v>
      </c>
      <c r="J642" s="545">
        <v>1</v>
      </c>
      <c r="K642" s="545"/>
      <c r="L642" s="223"/>
      <c r="M642" s="223"/>
      <c r="N642" s="223"/>
      <c r="O642" s="223"/>
      <c r="P642" s="223"/>
      <c r="Q642" s="223"/>
      <c r="R642" s="223"/>
      <c r="S642" s="223"/>
      <c r="T642" s="223"/>
      <c r="U642" s="223"/>
      <c r="V642" s="223"/>
      <c r="W642" s="223"/>
      <c r="X642" s="223"/>
      <c r="Y642" s="223"/>
      <c r="Z642" s="223"/>
      <c r="AA642" s="223"/>
      <c r="AB642" s="223"/>
      <c r="AC642" s="223"/>
      <c r="AD642" s="223"/>
      <c r="AE642" s="223"/>
      <c r="AF642" s="223"/>
      <c r="AG642" s="223"/>
      <c r="AH642" s="223"/>
      <c r="AI642" s="223"/>
      <c r="BC642" s="55"/>
      <c r="BD642" s="55"/>
      <c r="BF642" s="55"/>
      <c r="BG642" s="55"/>
      <c r="BH642" s="55"/>
      <c r="BI642" s="55"/>
      <c r="BJ642" s="55"/>
      <c r="BK642" s="55"/>
      <c r="BL642" s="55"/>
      <c r="BM642" s="55"/>
      <c r="BN642" s="55"/>
      <c r="BO642" s="55"/>
      <c r="BP642" s="55"/>
      <c r="BR642" s="55"/>
      <c r="BS642" s="55"/>
      <c r="BT642" s="55"/>
      <c r="BU642" s="55"/>
      <c r="BV642" s="55"/>
      <c r="BW642" s="55"/>
      <c r="BX642" s="55"/>
      <c r="BY642" s="55"/>
      <c r="BZ642" s="55"/>
      <c r="CK642" s="55"/>
      <c r="CL642" s="55"/>
      <c r="CM642" s="55"/>
      <c r="CN642" s="55"/>
      <c r="CO642" s="55"/>
      <c r="CP642" s="55"/>
      <c r="CQ642" s="55"/>
      <c r="DP642" s="55"/>
      <c r="DQ642" s="55"/>
      <c r="DR642" s="55"/>
      <c r="DS642" s="55"/>
      <c r="DT642" s="55"/>
      <c r="DU642" s="55"/>
      <c r="DV642" s="55"/>
    </row>
    <row r="643" spans="1:126" x14ac:dyDescent="0.2">
      <c r="A643" s="54"/>
      <c r="B643" s="54"/>
      <c r="C643" s="54"/>
      <c r="D643" s="54"/>
      <c r="E643" s="54"/>
      <c r="F643" s="54"/>
      <c r="G643" s="54"/>
      <c r="H643" s="54"/>
      <c r="I643" s="54"/>
      <c r="J643" s="54"/>
      <c r="K643" s="54"/>
      <c r="L643" s="54"/>
      <c r="M643" s="54"/>
      <c r="N643" s="54"/>
      <c r="O643" s="54"/>
      <c r="P643" s="54"/>
      <c r="Q643" s="54"/>
      <c r="R643" s="54"/>
      <c r="S643" s="54"/>
      <c r="T643" s="54"/>
      <c r="U643" s="54"/>
      <c r="V643" s="54"/>
      <c r="W643" s="54"/>
      <c r="X643" s="54"/>
      <c r="Y643" s="54"/>
      <c r="Z643" s="54"/>
      <c r="AA643" s="223"/>
      <c r="AB643" s="223"/>
      <c r="AC643" s="223"/>
      <c r="AD643" s="223"/>
      <c r="AE643" s="223"/>
      <c r="AF643" s="223"/>
      <c r="AG643" s="223"/>
      <c r="AH643" s="223"/>
      <c r="AI643" s="223"/>
      <c r="BC643" s="55"/>
      <c r="BD643" s="55"/>
      <c r="BF643" s="55"/>
      <c r="BG643" s="55"/>
      <c r="BH643" s="55"/>
      <c r="BI643" s="55"/>
      <c r="BJ643" s="55"/>
      <c r="BK643" s="55"/>
      <c r="BL643" s="55"/>
      <c r="BM643" s="55"/>
      <c r="BN643" s="55"/>
      <c r="BO643" s="55"/>
      <c r="BP643" s="55"/>
      <c r="BR643" s="55"/>
      <c r="BS643" s="55"/>
      <c r="BT643" s="55"/>
      <c r="BU643" s="55"/>
      <c r="BV643" s="55"/>
      <c r="BW643" s="55"/>
      <c r="BX643" s="55"/>
      <c r="BY643" s="55"/>
      <c r="BZ643" s="55"/>
      <c r="CK643" s="55"/>
      <c r="CL643" s="55"/>
      <c r="CM643" s="55"/>
      <c r="CN643" s="55"/>
      <c r="CO643" s="55"/>
      <c r="CP643" s="55"/>
      <c r="CQ643" s="55"/>
      <c r="DP643" s="55"/>
      <c r="DQ643" s="55"/>
      <c r="DR643" s="55"/>
      <c r="DS643" s="55"/>
      <c r="DT643" s="55"/>
      <c r="DU643" s="55"/>
      <c r="DV643" s="55"/>
    </row>
    <row r="644" spans="1:126" x14ac:dyDescent="0.2">
      <c r="A644" s="54"/>
      <c r="B644" s="54"/>
      <c r="C644" s="54"/>
      <c r="D644" s="325" t="s">
        <v>386</v>
      </c>
      <c r="E644" s="325"/>
      <c r="F644" s="325"/>
      <c r="G644" s="325"/>
      <c r="H644" s="325"/>
      <c r="I644" s="325"/>
      <c r="J644" s="325"/>
      <c r="K644" s="325"/>
      <c r="L644" s="325"/>
      <c r="M644" s="325"/>
      <c r="N644" s="325"/>
      <c r="O644" s="325"/>
      <c r="P644" s="325"/>
      <c r="Q644" s="325"/>
      <c r="R644" s="325"/>
      <c r="S644" s="325"/>
      <c r="T644" s="325"/>
      <c r="U644" s="325"/>
      <c r="V644" s="325"/>
      <c r="W644" s="325"/>
      <c r="X644" s="325"/>
      <c r="Y644" s="325"/>
      <c r="Z644" s="325"/>
      <c r="AA644" s="325"/>
      <c r="AB644" s="325"/>
      <c r="AC644" s="325"/>
      <c r="AD644" s="325"/>
      <c r="AE644" s="325"/>
      <c r="AF644" s="325"/>
      <c r="AG644" s="325"/>
      <c r="AH644" s="325"/>
      <c r="AI644" s="325"/>
      <c r="AJ644" s="325"/>
      <c r="AK644" s="174"/>
      <c r="BC644" s="55"/>
      <c r="BD644" s="55"/>
      <c r="BF644" s="55"/>
      <c r="BG644" s="55"/>
      <c r="BH644" s="55"/>
      <c r="BI644" s="55"/>
      <c r="BJ644" s="55"/>
      <c r="BK644" s="55"/>
      <c r="BL644" s="55"/>
      <c r="BM644" s="55"/>
      <c r="BN644" s="55"/>
      <c r="BO644" s="55"/>
      <c r="BP644" s="55"/>
      <c r="BR644" s="55"/>
      <c r="BS644" s="55"/>
      <c r="BT644" s="55"/>
      <c r="BU644" s="55"/>
      <c r="BV644" s="55"/>
      <c r="BW644" s="55"/>
      <c r="BX644" s="55"/>
      <c r="BY644" s="55"/>
      <c r="BZ644" s="55"/>
      <c r="CK644" s="55"/>
      <c r="CL644" s="55"/>
      <c r="CM644" s="55"/>
      <c r="CN644" s="55"/>
      <c r="CO644" s="55"/>
      <c r="CP644" s="55"/>
      <c r="CQ644" s="55"/>
      <c r="DP644" s="55"/>
      <c r="DQ644" s="55"/>
      <c r="DR644" s="55"/>
      <c r="DS644" s="55"/>
      <c r="DT644" s="55"/>
      <c r="DU644" s="55"/>
      <c r="DV644" s="55"/>
    </row>
    <row r="645" spans="1:126" x14ac:dyDescent="0.2">
      <c r="A645" s="54"/>
      <c r="B645" s="54"/>
      <c r="C645" s="54"/>
      <c r="D645" s="54"/>
      <c r="E645" s="54"/>
      <c r="F645" s="54"/>
      <c r="G645" s="54"/>
      <c r="H645" s="54"/>
      <c r="I645" s="54"/>
      <c r="J645" s="54"/>
      <c r="K645" s="54"/>
      <c r="L645" s="54"/>
      <c r="M645" s="54"/>
      <c r="N645" s="54"/>
      <c r="O645" s="54"/>
      <c r="P645" s="54"/>
      <c r="Q645" s="54"/>
      <c r="R645" s="54"/>
      <c r="S645" s="54"/>
      <c r="T645" s="54"/>
      <c r="U645" s="54"/>
      <c r="V645" s="54"/>
      <c r="W645" s="54"/>
      <c r="X645" s="54"/>
      <c r="Y645" s="54"/>
      <c r="Z645" s="54"/>
      <c r="AA645" s="223"/>
      <c r="AB645" s="223"/>
      <c r="AC645" s="223"/>
      <c r="AD645" s="223"/>
      <c r="AE645" s="223"/>
      <c r="AF645" s="223"/>
      <c r="AG645" s="223"/>
      <c r="AH645" s="223"/>
      <c r="AI645" s="223"/>
      <c r="AK645" s="55"/>
      <c r="AY645" s="55"/>
      <c r="AZ645" s="55"/>
      <c r="BA645" s="55"/>
      <c r="BB645" s="55"/>
      <c r="BC645" s="55"/>
      <c r="BD645" s="55"/>
      <c r="BE645" s="55"/>
      <c r="BF645" s="55"/>
      <c r="BG645" s="55"/>
      <c r="BH645" s="55"/>
      <c r="BI645" s="55"/>
      <c r="BJ645" s="55"/>
      <c r="BK645" s="55"/>
      <c r="BL645" s="55"/>
      <c r="BM645" s="55"/>
      <c r="BN645" s="55"/>
      <c r="BO645" s="55"/>
      <c r="BP645" s="55"/>
      <c r="BR645" s="55"/>
      <c r="BS645" s="55"/>
      <c r="BT645" s="55"/>
      <c r="BU645" s="55"/>
      <c r="BV645" s="55"/>
      <c r="BW645" s="55"/>
      <c r="BX645" s="55"/>
      <c r="BY645" s="55"/>
      <c r="BZ645" s="55"/>
      <c r="CK645" s="55"/>
      <c r="CL645" s="55"/>
      <c r="CM645" s="55"/>
      <c r="CN645" s="55"/>
      <c r="CO645" s="55"/>
      <c r="CP645" s="55"/>
      <c r="CQ645" s="55"/>
      <c r="DP645" s="55"/>
      <c r="DQ645" s="55"/>
      <c r="DR645" s="55"/>
      <c r="DS645" s="55"/>
      <c r="DT645" s="55"/>
      <c r="DU645" s="55"/>
      <c r="DV645" s="55"/>
    </row>
    <row r="646" spans="1:126" x14ac:dyDescent="0.2">
      <c r="A646" s="54"/>
      <c r="B646" s="280" t="s">
        <v>296</v>
      </c>
      <c r="C646" s="280"/>
      <c r="D646" s="280"/>
      <c r="E646" s="280"/>
      <c r="F646" s="280"/>
      <c r="G646" s="280"/>
      <c r="H646" s="280"/>
      <c r="I646" s="280"/>
      <c r="J646" s="280"/>
      <c r="K646" s="280"/>
      <c r="L646" s="54"/>
      <c r="M646" s="54"/>
      <c r="N646" s="54"/>
      <c r="O646" s="54"/>
      <c r="P646" s="54"/>
      <c r="Q646" s="54"/>
      <c r="R646" s="54"/>
      <c r="S646" s="54"/>
      <c r="T646" s="54"/>
      <c r="U646" s="54"/>
      <c r="V646" s="54"/>
      <c r="W646" s="54"/>
      <c r="X646" s="54"/>
      <c r="Y646" s="54"/>
      <c r="Z646" s="54"/>
      <c r="AA646" s="223"/>
      <c r="AB646" s="223"/>
      <c r="AC646" s="223"/>
      <c r="AD646" s="223"/>
      <c r="AE646" s="223"/>
      <c r="AF646" s="223"/>
      <c r="AG646" s="223"/>
      <c r="AH646" s="223"/>
      <c r="AI646" s="223"/>
      <c r="AJ646" s="221"/>
      <c r="AK646" s="55"/>
      <c r="AY646" s="55"/>
      <c r="AZ646" s="55"/>
      <c r="BA646" s="55"/>
      <c r="BB646" s="55"/>
      <c r="BC646" s="55"/>
      <c r="BD646" s="55"/>
      <c r="BE646" s="55"/>
      <c r="BF646" s="55"/>
      <c r="BG646" s="55"/>
      <c r="BH646" s="55"/>
      <c r="BI646" s="55"/>
      <c r="BJ646" s="55"/>
      <c r="BK646" s="55"/>
      <c r="BL646" s="55"/>
      <c r="BM646" s="55"/>
      <c r="BN646" s="55"/>
      <c r="BO646" s="55"/>
      <c r="BP646" s="55"/>
      <c r="BQ646" s="63"/>
      <c r="BR646" s="55"/>
      <c r="BS646" s="55"/>
      <c r="BT646" s="55"/>
      <c r="BU646" s="55"/>
      <c r="BV646" s="55"/>
      <c r="BW646" s="55"/>
      <c r="BX646" s="55"/>
      <c r="BY646" s="55"/>
      <c r="BZ646" s="55"/>
      <c r="CJ646" s="63"/>
      <c r="CK646" s="55"/>
      <c r="CL646" s="55"/>
      <c r="CM646" s="55"/>
      <c r="CN646" s="55"/>
      <c r="CO646" s="55"/>
      <c r="CP646" s="55"/>
      <c r="CQ646" s="55"/>
      <c r="DM646" s="63"/>
      <c r="DN646" s="63"/>
      <c r="DO646" s="63"/>
      <c r="DP646" s="55"/>
      <c r="DQ646" s="55"/>
      <c r="DR646" s="55"/>
      <c r="DS646" s="55"/>
      <c r="DT646" s="55"/>
      <c r="DU646" s="55"/>
      <c r="DV646" s="55"/>
    </row>
    <row r="647" spans="1:126" ht="14.25" customHeight="1" x14ac:dyDescent="0.2">
      <c r="A647" s="54"/>
      <c r="B647" s="501">
        <f>IF(B642="-","-",(B642/J642)*100)</f>
        <v>47.83771524862162</v>
      </c>
      <c r="C647" s="501"/>
      <c r="D647" s="501"/>
      <c r="E647" s="501"/>
      <c r="F647" s="501"/>
      <c r="G647" s="500" t="str">
        <f>IF($B$647="","-",IF($B$647&lt;100,"OK",IF($B$647&gt;100,"N/A","N/R*")))</f>
        <v>OK</v>
      </c>
      <c r="H647" s="305"/>
      <c r="I647" s="305"/>
      <c r="J647" s="305"/>
      <c r="K647" s="305"/>
      <c r="L647" s="54"/>
      <c r="M647" s="54"/>
      <c r="N647" s="54"/>
      <c r="O647" s="223"/>
      <c r="P647" s="223"/>
      <c r="Q647" s="223"/>
      <c r="R647" s="223"/>
      <c r="S647" s="223"/>
      <c r="T647" s="54"/>
      <c r="U647" s="54"/>
      <c r="V647" s="54"/>
      <c r="W647" s="54"/>
      <c r="X647" s="54"/>
      <c r="Y647" s="54"/>
      <c r="Z647" s="54"/>
      <c r="AA647" s="223"/>
      <c r="AB647" s="223"/>
      <c r="AC647" s="223"/>
      <c r="AD647" s="223"/>
      <c r="AE647" s="223"/>
      <c r="AF647" s="223"/>
      <c r="AG647" s="223"/>
      <c r="AH647" s="223"/>
      <c r="AI647" s="223"/>
      <c r="AK647" s="55"/>
      <c r="AY647" s="55"/>
      <c r="AZ647" s="55"/>
      <c r="BA647" s="55"/>
      <c r="BB647" s="55"/>
      <c r="BC647" s="55"/>
      <c r="BD647" s="55"/>
      <c r="BE647" s="55"/>
      <c r="BF647" s="55"/>
      <c r="BG647" s="55"/>
      <c r="BH647" s="55"/>
      <c r="BI647" s="55"/>
      <c r="BJ647" s="55"/>
      <c r="BK647" s="55"/>
      <c r="BL647" s="55"/>
      <c r="BM647" s="55"/>
      <c r="BN647" s="55"/>
      <c r="BO647" s="55"/>
      <c r="BP647" s="55"/>
      <c r="BR647" s="55"/>
      <c r="BS647" s="55"/>
      <c r="BT647" s="55"/>
      <c r="BU647" s="55"/>
      <c r="BV647" s="55"/>
      <c r="BW647" s="55"/>
      <c r="BX647" s="55"/>
      <c r="BY647" s="55"/>
      <c r="BZ647" s="55"/>
      <c r="CK647" s="55"/>
      <c r="CL647" s="55"/>
      <c r="CM647" s="55"/>
      <c r="CN647" s="55"/>
      <c r="CO647" s="55"/>
      <c r="CP647" s="55"/>
      <c r="CQ647" s="55"/>
      <c r="DP647" s="55"/>
      <c r="DQ647" s="55"/>
      <c r="DR647" s="55"/>
      <c r="DS647" s="55"/>
      <c r="DT647" s="55"/>
      <c r="DU647" s="55"/>
      <c r="DV647" s="55"/>
    </row>
    <row r="648" spans="1:126" x14ac:dyDescent="0.2">
      <c r="A648" s="54"/>
      <c r="B648" s="54"/>
      <c r="C648" s="54"/>
      <c r="D648" s="54"/>
      <c r="E648" s="54"/>
      <c r="F648" s="54"/>
      <c r="G648" s="54"/>
      <c r="H648" s="54"/>
      <c r="I648" s="54"/>
      <c r="J648" s="54"/>
      <c r="K648" s="54"/>
      <c r="L648" s="54"/>
      <c r="M648" s="54"/>
      <c r="N648" s="54"/>
      <c r="O648" s="54"/>
      <c r="P648" s="54"/>
      <c r="Q648" s="54"/>
      <c r="R648" s="54"/>
      <c r="S648" s="54"/>
      <c r="T648" s="54"/>
      <c r="U648" s="54"/>
      <c r="V648" s="54"/>
      <c r="W648" s="54"/>
      <c r="X648" s="54"/>
      <c r="Y648" s="54"/>
      <c r="Z648" s="54"/>
      <c r="AA648" s="223"/>
      <c r="AB648" s="223"/>
      <c r="AC648" s="223"/>
      <c r="AD648" s="223"/>
      <c r="AE648" s="223"/>
      <c r="AF648" s="223"/>
      <c r="AG648" s="223"/>
      <c r="AH648" s="223"/>
      <c r="AI648" s="223"/>
      <c r="AK648" s="55"/>
      <c r="AY648" s="55"/>
      <c r="AZ648" s="55"/>
      <c r="BA648" s="55"/>
      <c r="BB648" s="55"/>
      <c r="BC648" s="55"/>
      <c r="BD648" s="55"/>
      <c r="BE648" s="55"/>
      <c r="BF648" s="55"/>
      <c r="BG648" s="55"/>
      <c r="BH648" s="55"/>
      <c r="BI648" s="55"/>
      <c r="BJ648" s="55"/>
      <c r="BK648" s="55"/>
      <c r="BL648" s="55"/>
      <c r="BM648" s="55"/>
      <c r="BN648" s="55"/>
      <c r="BO648" s="55"/>
      <c r="BP648" s="55"/>
      <c r="BR648" s="55"/>
      <c r="BS648" s="55"/>
      <c r="BT648" s="55"/>
      <c r="BU648" s="55"/>
      <c r="BV648" s="55"/>
      <c r="BW648" s="55"/>
      <c r="BX648" s="55"/>
      <c r="BY648" s="55"/>
      <c r="BZ648" s="55"/>
      <c r="CK648" s="55"/>
      <c r="CL648" s="55"/>
      <c r="CM648" s="55"/>
      <c r="CN648" s="55"/>
      <c r="CO648" s="55"/>
      <c r="CP648" s="55"/>
      <c r="CQ648" s="55"/>
      <c r="DP648" s="55"/>
      <c r="DQ648" s="55"/>
      <c r="DR648" s="55"/>
      <c r="DS648" s="55"/>
      <c r="DT648" s="55"/>
      <c r="DU648" s="55"/>
      <c r="DV648" s="55"/>
    </row>
    <row r="649" spans="1:126" x14ac:dyDescent="0.2">
      <c r="A649" s="54"/>
      <c r="B649" s="54"/>
      <c r="C649" s="54"/>
      <c r="D649" s="54"/>
      <c r="E649" s="54"/>
      <c r="F649" s="54"/>
      <c r="G649" s="54"/>
      <c r="H649" s="54"/>
      <c r="I649" s="54"/>
      <c r="J649" s="54"/>
      <c r="K649" s="54"/>
      <c r="L649" s="54"/>
      <c r="M649" s="54"/>
      <c r="N649" s="54"/>
      <c r="O649" s="54"/>
      <c r="P649" s="54"/>
      <c r="Q649" s="54"/>
      <c r="R649" s="54"/>
      <c r="S649" s="54"/>
      <c r="T649" s="54"/>
      <c r="U649" s="54"/>
      <c r="V649" s="54"/>
      <c r="W649" s="54"/>
      <c r="X649" s="54"/>
      <c r="Y649" s="54"/>
      <c r="Z649" s="54"/>
      <c r="AA649" s="223"/>
      <c r="AB649" s="223"/>
      <c r="AC649" s="223"/>
      <c r="AD649" s="223"/>
      <c r="AE649" s="223"/>
      <c r="AF649" s="223"/>
      <c r="AG649" s="223"/>
      <c r="AH649" s="223"/>
      <c r="AI649" s="223"/>
      <c r="AK649" s="55"/>
      <c r="AY649" s="55"/>
      <c r="AZ649" s="55"/>
      <c r="BA649" s="55"/>
      <c r="BB649" s="55"/>
      <c r="BC649" s="55"/>
      <c r="BD649" s="55"/>
      <c r="BE649" s="55"/>
      <c r="BF649" s="55"/>
      <c r="BG649" s="55"/>
      <c r="BH649" s="55"/>
      <c r="BI649" s="55"/>
      <c r="BJ649" s="55"/>
      <c r="BK649" s="55"/>
      <c r="BL649" s="55"/>
      <c r="BM649" s="55"/>
      <c r="BN649" s="55"/>
      <c r="BO649" s="55"/>
      <c r="BP649" s="55"/>
      <c r="BR649" s="55"/>
      <c r="BS649" s="55"/>
      <c r="BT649" s="55"/>
      <c r="BU649" s="55"/>
      <c r="BV649" s="55"/>
      <c r="BW649" s="55"/>
      <c r="BX649" s="55"/>
      <c r="BY649" s="55"/>
      <c r="BZ649" s="55"/>
      <c r="CK649" s="55"/>
      <c r="CL649" s="55"/>
      <c r="CM649" s="55"/>
      <c r="CN649" s="55"/>
      <c r="CO649" s="55"/>
      <c r="CP649" s="55"/>
      <c r="CQ649" s="55"/>
      <c r="DP649" s="55"/>
      <c r="DQ649" s="55"/>
      <c r="DR649" s="55"/>
      <c r="DS649" s="55"/>
      <c r="DT649" s="55"/>
      <c r="DU649" s="55"/>
      <c r="DV649" s="55"/>
    </row>
    <row r="650" spans="1:126" ht="12.75" x14ac:dyDescent="0.2">
      <c r="A650" s="54"/>
      <c r="B650" s="54"/>
      <c r="C650" s="287" t="s">
        <v>940</v>
      </c>
      <c r="D650" s="288"/>
      <c r="E650" s="288"/>
      <c r="F650" s="288"/>
      <c r="G650" s="288"/>
      <c r="H650" s="288"/>
      <c r="I650" s="288"/>
      <c r="J650" s="288"/>
      <c r="K650" s="288"/>
      <c r="L650" s="288"/>
      <c r="M650" s="288"/>
      <c r="N650" s="288"/>
      <c r="O650" s="288"/>
      <c r="P650" s="288"/>
      <c r="Q650" s="288"/>
      <c r="R650" s="288"/>
      <c r="S650" s="288"/>
      <c r="T650" s="288"/>
      <c r="U650" s="288"/>
      <c r="V650" s="288"/>
      <c r="W650" s="288"/>
      <c r="X650" s="288"/>
      <c r="Y650" s="288"/>
      <c r="Z650" s="288"/>
      <c r="AA650" s="288"/>
      <c r="AB650" s="288"/>
      <c r="AC650" s="288"/>
      <c r="AD650" s="288"/>
      <c r="AE650" s="288"/>
      <c r="AF650" s="288"/>
      <c r="AG650" s="288"/>
      <c r="AH650" s="288"/>
      <c r="AI650" s="288"/>
      <c r="AJ650" s="288"/>
      <c r="AK650" s="55"/>
      <c r="AY650" s="55"/>
      <c r="AZ650" s="55"/>
      <c r="BA650" s="55"/>
      <c r="BB650" s="55"/>
      <c r="BC650" s="55"/>
      <c r="BD650" s="55"/>
      <c r="BE650" s="55"/>
      <c r="BF650" s="55"/>
      <c r="BG650" s="55"/>
      <c r="BH650" s="55"/>
      <c r="BI650" s="55"/>
      <c r="BJ650" s="55"/>
      <c r="BK650" s="55"/>
      <c r="BL650" s="55"/>
      <c r="BM650" s="55"/>
      <c r="BN650" s="55"/>
      <c r="BO650" s="55"/>
      <c r="BP650" s="55"/>
      <c r="BQ650" s="55"/>
      <c r="BR650" s="55"/>
      <c r="BS650" s="55"/>
      <c r="BT650" s="55"/>
      <c r="BU650" s="55"/>
      <c r="BV650" s="55"/>
      <c r="BW650" s="55"/>
      <c r="BX650" s="55"/>
      <c r="BY650" s="55"/>
      <c r="BZ650" s="55"/>
      <c r="CI650" s="55"/>
      <c r="CJ650" s="55"/>
      <c r="CK650" s="55"/>
      <c r="CL650" s="55"/>
      <c r="CM650" s="55"/>
      <c r="CN650" s="55"/>
      <c r="CO650" s="55"/>
      <c r="CP650" s="55"/>
      <c r="CQ650" s="55"/>
      <c r="DJ650" s="55"/>
      <c r="DK650" s="55"/>
      <c r="DL650" s="55"/>
      <c r="DM650" s="55"/>
      <c r="DN650" s="55"/>
      <c r="DO650" s="55"/>
      <c r="DP650" s="55"/>
      <c r="DQ650" s="55"/>
      <c r="DR650" s="55"/>
      <c r="DS650" s="55"/>
      <c r="DT650" s="55"/>
      <c r="DU650" s="55"/>
      <c r="DV650" s="55"/>
    </row>
    <row r="651" spans="1:126" ht="12.75" x14ac:dyDescent="0.2">
      <c r="A651" s="54"/>
      <c r="B651" s="54"/>
      <c r="C651" s="288"/>
      <c r="D651" s="288"/>
      <c r="E651" s="288"/>
      <c r="F651" s="288"/>
      <c r="G651" s="288"/>
      <c r="H651" s="288"/>
      <c r="I651" s="288"/>
      <c r="J651" s="288"/>
      <c r="K651" s="288"/>
      <c r="L651" s="288"/>
      <c r="M651" s="288"/>
      <c r="N651" s="288"/>
      <c r="O651" s="288"/>
      <c r="P651" s="288"/>
      <c r="Q651" s="288"/>
      <c r="R651" s="288"/>
      <c r="S651" s="288"/>
      <c r="T651" s="288"/>
      <c r="U651" s="288"/>
      <c r="V651" s="288"/>
      <c r="W651" s="288"/>
      <c r="X651" s="288"/>
      <c r="Y651" s="288"/>
      <c r="Z651" s="288"/>
      <c r="AA651" s="288"/>
      <c r="AB651" s="288"/>
      <c r="AC651" s="288"/>
      <c r="AD651" s="288"/>
      <c r="AE651" s="288"/>
      <c r="AF651" s="288"/>
      <c r="AG651" s="288"/>
      <c r="AH651" s="288"/>
      <c r="AI651" s="288"/>
      <c r="AJ651" s="288"/>
      <c r="AK651" s="55"/>
      <c r="AY651" s="55"/>
      <c r="AZ651" s="55"/>
      <c r="BA651" s="55"/>
      <c r="BB651" s="55"/>
      <c r="BC651" s="55"/>
      <c r="BD651" s="55"/>
      <c r="BE651" s="55"/>
      <c r="BF651" s="55"/>
      <c r="BG651" s="55"/>
      <c r="BH651" s="55"/>
      <c r="BI651" s="55"/>
      <c r="BJ651" s="55"/>
      <c r="BK651" s="55"/>
      <c r="BL651" s="55"/>
      <c r="BM651" s="55"/>
      <c r="BN651" s="55"/>
      <c r="BO651" s="55"/>
      <c r="BP651" s="55"/>
      <c r="BQ651" s="55"/>
      <c r="BR651" s="55"/>
      <c r="BS651" s="55"/>
      <c r="BT651" s="55"/>
      <c r="BU651" s="55"/>
      <c r="BV651" s="55"/>
      <c r="BW651" s="55"/>
      <c r="BX651" s="55"/>
      <c r="BY651" s="55"/>
      <c r="BZ651" s="55"/>
      <c r="CI651" s="55"/>
      <c r="CJ651" s="55"/>
      <c r="CK651" s="55"/>
      <c r="CL651" s="55"/>
      <c r="CM651" s="55"/>
      <c r="CN651" s="55"/>
      <c r="CO651" s="55"/>
      <c r="CP651" s="55"/>
      <c r="CQ651" s="55"/>
      <c r="DJ651" s="55"/>
      <c r="DK651" s="55"/>
      <c r="DL651" s="55"/>
      <c r="DM651" s="55"/>
      <c r="DN651" s="55"/>
      <c r="DO651" s="55"/>
      <c r="DP651" s="55"/>
      <c r="DQ651" s="55"/>
      <c r="DR651" s="55"/>
      <c r="DS651" s="55"/>
      <c r="DT651" s="55"/>
      <c r="DU651" s="55"/>
      <c r="DV651" s="55"/>
    </row>
    <row r="652" spans="1:126" ht="12.75" x14ac:dyDescent="0.2">
      <c r="A652" s="54"/>
      <c r="B652" s="54"/>
      <c r="C652" s="288"/>
      <c r="D652" s="288"/>
      <c r="E652" s="288"/>
      <c r="F652" s="288"/>
      <c r="G652" s="288"/>
      <c r="H652" s="288"/>
      <c r="I652" s="288"/>
      <c r="J652" s="288"/>
      <c r="K652" s="288"/>
      <c r="L652" s="288"/>
      <c r="M652" s="288"/>
      <c r="N652" s="288"/>
      <c r="O652" s="288"/>
      <c r="P652" s="288"/>
      <c r="Q652" s="288"/>
      <c r="R652" s="288"/>
      <c r="S652" s="288"/>
      <c r="T652" s="288"/>
      <c r="U652" s="288"/>
      <c r="V652" s="288"/>
      <c r="W652" s="288"/>
      <c r="X652" s="288"/>
      <c r="Y652" s="288"/>
      <c r="Z652" s="288"/>
      <c r="AA652" s="288"/>
      <c r="AB652" s="288"/>
      <c r="AC652" s="288"/>
      <c r="AD652" s="288"/>
      <c r="AE652" s="288"/>
      <c r="AF652" s="288"/>
      <c r="AG652" s="288"/>
      <c r="AH652" s="288"/>
      <c r="AI652" s="288"/>
      <c r="AJ652" s="288"/>
      <c r="AK652" s="55"/>
      <c r="AY652" s="55"/>
      <c r="AZ652" s="55"/>
      <c r="BA652" s="55"/>
      <c r="BB652" s="55"/>
      <c r="BC652" s="55"/>
      <c r="BD652" s="55"/>
      <c r="BE652" s="55"/>
      <c r="BF652" s="55"/>
      <c r="BG652" s="55"/>
      <c r="BH652" s="55"/>
      <c r="BI652" s="55"/>
      <c r="BJ652" s="55"/>
      <c r="BK652" s="55"/>
      <c r="BL652" s="55"/>
      <c r="BM652" s="55"/>
      <c r="BN652" s="55"/>
      <c r="BO652" s="55"/>
      <c r="BP652" s="55"/>
      <c r="BQ652" s="55"/>
      <c r="BR652" s="55"/>
      <c r="BS652" s="55"/>
      <c r="BT652" s="55"/>
      <c r="BU652" s="55"/>
      <c r="BV652" s="55"/>
      <c r="BW652" s="55"/>
      <c r="BX652" s="55"/>
      <c r="BY652" s="55"/>
      <c r="BZ652" s="55"/>
      <c r="CI652" s="55"/>
      <c r="CJ652" s="55"/>
      <c r="CK652" s="55"/>
      <c r="CL652" s="55"/>
      <c r="CM652" s="55"/>
      <c r="CN652" s="55"/>
      <c r="CO652" s="55"/>
      <c r="CP652" s="55"/>
      <c r="CQ652" s="55"/>
      <c r="DJ652" s="55"/>
      <c r="DK652" s="55"/>
      <c r="DL652" s="55"/>
      <c r="DM652" s="55"/>
      <c r="DN652" s="55"/>
      <c r="DO652" s="55"/>
      <c r="DP652" s="55"/>
      <c r="DQ652" s="55"/>
      <c r="DR652" s="55"/>
      <c r="DS652" s="55"/>
      <c r="DT652" s="55"/>
      <c r="DU652" s="55"/>
      <c r="DV652" s="55"/>
    </row>
    <row r="653" spans="1:126" ht="12.75" x14ac:dyDescent="0.2">
      <c r="A653" s="54"/>
      <c r="B653" s="54"/>
      <c r="C653" s="288"/>
      <c r="D653" s="288"/>
      <c r="E653" s="288"/>
      <c r="F653" s="288"/>
      <c r="G653" s="288"/>
      <c r="H653" s="288"/>
      <c r="I653" s="288"/>
      <c r="J653" s="288"/>
      <c r="K653" s="288"/>
      <c r="L653" s="288"/>
      <c r="M653" s="288"/>
      <c r="N653" s="288"/>
      <c r="O653" s="288"/>
      <c r="P653" s="288"/>
      <c r="Q653" s="288"/>
      <c r="R653" s="288"/>
      <c r="S653" s="288"/>
      <c r="T653" s="288"/>
      <c r="U653" s="288"/>
      <c r="V653" s="288"/>
      <c r="W653" s="288"/>
      <c r="X653" s="288"/>
      <c r="Y653" s="288"/>
      <c r="Z653" s="288"/>
      <c r="AA653" s="288"/>
      <c r="AB653" s="288"/>
      <c r="AC653" s="288"/>
      <c r="AD653" s="288"/>
      <c r="AE653" s="288"/>
      <c r="AF653" s="288"/>
      <c r="AG653" s="288"/>
      <c r="AH653" s="288"/>
      <c r="AI653" s="288"/>
      <c r="AJ653" s="288"/>
      <c r="AK653" s="55"/>
      <c r="AY653" s="55"/>
      <c r="AZ653" s="55"/>
      <c r="BA653" s="55"/>
      <c r="BB653" s="55"/>
      <c r="BC653" s="55"/>
      <c r="BD653" s="55"/>
      <c r="BE653" s="55"/>
      <c r="BF653" s="55"/>
      <c r="BG653" s="55"/>
      <c r="BH653" s="55"/>
      <c r="BI653" s="55"/>
      <c r="BJ653" s="55"/>
      <c r="BK653" s="55"/>
      <c r="BL653" s="55"/>
      <c r="BM653" s="55"/>
      <c r="BN653" s="55"/>
      <c r="BO653" s="55"/>
      <c r="BP653" s="55"/>
      <c r="BQ653" s="55"/>
      <c r="BR653" s="55"/>
      <c r="BS653" s="55"/>
      <c r="BT653" s="55"/>
      <c r="BU653" s="55"/>
      <c r="BV653" s="55"/>
      <c r="BW653" s="55"/>
      <c r="BX653" s="55"/>
      <c r="BY653" s="55"/>
      <c r="BZ653" s="55"/>
      <c r="CI653" s="55"/>
      <c r="CJ653" s="55"/>
      <c r="CK653" s="55"/>
      <c r="CL653" s="55"/>
      <c r="CM653" s="55"/>
      <c r="CN653" s="55"/>
      <c r="CO653" s="55"/>
      <c r="CP653" s="55"/>
      <c r="CQ653" s="55"/>
      <c r="DJ653" s="55"/>
      <c r="DK653" s="55"/>
      <c r="DL653" s="55"/>
      <c r="DM653" s="55"/>
      <c r="DN653" s="55"/>
      <c r="DO653" s="55"/>
      <c r="DP653" s="55"/>
      <c r="DQ653" s="55"/>
      <c r="DR653" s="55"/>
      <c r="DS653" s="55"/>
      <c r="DT653" s="55"/>
      <c r="DU653" s="55"/>
      <c r="DV653" s="55"/>
    </row>
    <row r="654" spans="1:126" ht="12.75" x14ac:dyDescent="0.2">
      <c r="A654" s="54"/>
      <c r="B654" s="54"/>
      <c r="C654" s="288"/>
      <c r="D654" s="288"/>
      <c r="E654" s="288"/>
      <c r="F654" s="288"/>
      <c r="G654" s="288"/>
      <c r="H654" s="288"/>
      <c r="I654" s="288"/>
      <c r="J654" s="288"/>
      <c r="K654" s="288"/>
      <c r="L654" s="288"/>
      <c r="M654" s="288"/>
      <c r="N654" s="288"/>
      <c r="O654" s="288"/>
      <c r="P654" s="288"/>
      <c r="Q654" s="288"/>
      <c r="R654" s="288"/>
      <c r="S654" s="288"/>
      <c r="T654" s="288"/>
      <c r="U654" s="288"/>
      <c r="V654" s="288"/>
      <c r="W654" s="288"/>
      <c r="X654" s="288"/>
      <c r="Y654" s="288"/>
      <c r="Z654" s="288"/>
      <c r="AA654" s="288"/>
      <c r="AB654" s="288"/>
      <c r="AC654" s="288"/>
      <c r="AD654" s="288"/>
      <c r="AE654" s="288"/>
      <c r="AF654" s="288"/>
      <c r="AG654" s="288"/>
      <c r="AH654" s="288"/>
      <c r="AI654" s="288"/>
      <c r="AJ654" s="288"/>
      <c r="AK654" s="55"/>
      <c r="AY654" s="55"/>
      <c r="AZ654" s="55"/>
      <c r="BA654" s="55"/>
      <c r="BB654" s="55"/>
      <c r="BC654" s="55"/>
      <c r="BD654" s="55"/>
      <c r="BE654" s="55"/>
      <c r="BF654" s="55"/>
      <c r="BG654" s="55"/>
      <c r="BH654" s="55"/>
      <c r="BI654" s="55"/>
      <c r="BJ654" s="55"/>
      <c r="BK654" s="55"/>
      <c r="BL654" s="55"/>
      <c r="BM654" s="55"/>
      <c r="BN654" s="55"/>
      <c r="BO654" s="55"/>
      <c r="BP654" s="55"/>
      <c r="BQ654" s="55"/>
      <c r="BR654" s="55"/>
      <c r="BS654" s="55"/>
      <c r="BT654" s="55"/>
      <c r="BU654" s="55"/>
      <c r="BV654" s="55"/>
      <c r="BW654" s="55"/>
      <c r="BX654" s="55"/>
      <c r="BY654" s="55"/>
      <c r="BZ654" s="55"/>
      <c r="CI654" s="55"/>
      <c r="CJ654" s="55"/>
      <c r="CK654" s="55"/>
      <c r="CL654" s="55"/>
      <c r="CM654" s="55"/>
      <c r="CN654" s="55"/>
      <c r="CO654" s="55"/>
      <c r="CP654" s="55"/>
      <c r="CQ654" s="55"/>
      <c r="DJ654" s="55"/>
      <c r="DK654" s="55"/>
      <c r="DL654" s="55"/>
      <c r="DM654" s="55"/>
      <c r="DN654" s="55"/>
      <c r="DO654" s="55"/>
      <c r="DP654" s="55"/>
      <c r="DQ654" s="55"/>
      <c r="DR654" s="55"/>
      <c r="DS654" s="55"/>
      <c r="DT654" s="55"/>
      <c r="DU654" s="55"/>
      <c r="DV654" s="55"/>
    </row>
    <row r="655" spans="1:126" ht="12.75" x14ac:dyDescent="0.2">
      <c r="A655" s="54"/>
      <c r="B655" s="54"/>
      <c r="C655" s="288"/>
      <c r="D655" s="288"/>
      <c r="E655" s="288"/>
      <c r="F655" s="288"/>
      <c r="G655" s="288"/>
      <c r="H655" s="288"/>
      <c r="I655" s="288"/>
      <c r="J655" s="288"/>
      <c r="K655" s="288"/>
      <c r="L655" s="288"/>
      <c r="M655" s="288"/>
      <c r="N655" s="288"/>
      <c r="O655" s="288"/>
      <c r="P655" s="288"/>
      <c r="Q655" s="288"/>
      <c r="R655" s="288"/>
      <c r="S655" s="288"/>
      <c r="T655" s="288"/>
      <c r="U655" s="288"/>
      <c r="V655" s="288"/>
      <c r="W655" s="288"/>
      <c r="X655" s="288"/>
      <c r="Y655" s="288"/>
      <c r="Z655" s="288"/>
      <c r="AA655" s="288"/>
      <c r="AB655" s="288"/>
      <c r="AC655" s="288"/>
      <c r="AD655" s="288"/>
      <c r="AE655" s="288"/>
      <c r="AF655" s="288"/>
      <c r="AG655" s="288"/>
      <c r="AH655" s="288"/>
      <c r="AI655" s="288"/>
      <c r="AJ655" s="288"/>
      <c r="AK655" s="179"/>
      <c r="AY655" s="55"/>
      <c r="AZ655" s="55"/>
      <c r="BA655" s="55"/>
      <c r="BB655" s="55"/>
      <c r="BC655" s="55"/>
      <c r="BD655" s="55"/>
      <c r="BE655" s="55"/>
      <c r="BF655" s="55"/>
      <c r="BG655" s="55"/>
      <c r="BH655" s="55"/>
      <c r="BI655" s="55"/>
      <c r="BJ655" s="55"/>
      <c r="BK655" s="55"/>
      <c r="BL655" s="55"/>
      <c r="BM655" s="55"/>
      <c r="BN655" s="55"/>
      <c r="BO655" s="55"/>
      <c r="BP655" s="55"/>
      <c r="BQ655" s="55"/>
      <c r="BR655" s="55"/>
      <c r="BS655" s="55"/>
      <c r="BT655" s="55"/>
      <c r="BU655" s="55"/>
      <c r="BV655" s="55"/>
      <c r="BW655" s="55"/>
      <c r="BX655" s="55"/>
      <c r="BY655" s="55"/>
      <c r="BZ655" s="55"/>
      <c r="CI655" s="55"/>
      <c r="CJ655" s="55"/>
      <c r="CK655" s="55"/>
      <c r="CL655" s="55"/>
      <c r="CM655" s="55"/>
      <c r="CN655" s="55"/>
      <c r="CO655" s="55"/>
      <c r="CP655" s="55"/>
      <c r="CQ655" s="55"/>
      <c r="DJ655" s="55"/>
      <c r="DK655" s="55"/>
      <c r="DL655" s="55"/>
      <c r="DM655" s="55"/>
      <c r="DN655" s="55"/>
      <c r="DO655" s="55"/>
      <c r="DP655" s="55"/>
      <c r="DQ655" s="55"/>
      <c r="DR655" s="55"/>
      <c r="DS655" s="55"/>
      <c r="DT655" s="55"/>
      <c r="DU655" s="55"/>
      <c r="DV655" s="55"/>
    </row>
    <row r="656" spans="1:126" ht="12.75" x14ac:dyDescent="0.2">
      <c r="A656" s="54"/>
      <c r="B656" s="54"/>
      <c r="C656" s="288"/>
      <c r="D656" s="288"/>
      <c r="E656" s="288"/>
      <c r="F656" s="288"/>
      <c r="G656" s="288"/>
      <c r="H656" s="288"/>
      <c r="I656" s="288"/>
      <c r="J656" s="288"/>
      <c r="K656" s="288"/>
      <c r="L656" s="288"/>
      <c r="M656" s="288"/>
      <c r="N656" s="288"/>
      <c r="O656" s="288"/>
      <c r="P656" s="288"/>
      <c r="Q656" s="288"/>
      <c r="R656" s="288"/>
      <c r="S656" s="288"/>
      <c r="T656" s="288"/>
      <c r="U656" s="288"/>
      <c r="V656" s="288"/>
      <c r="W656" s="288"/>
      <c r="X656" s="288"/>
      <c r="Y656" s="288"/>
      <c r="Z656" s="288"/>
      <c r="AA656" s="288"/>
      <c r="AB656" s="288"/>
      <c r="AC656" s="288"/>
      <c r="AD656" s="288"/>
      <c r="AE656" s="288"/>
      <c r="AF656" s="288"/>
      <c r="AG656" s="288"/>
      <c r="AH656" s="288"/>
      <c r="AI656" s="288"/>
      <c r="AJ656" s="288"/>
      <c r="AK656" s="179"/>
      <c r="AY656" s="55"/>
      <c r="AZ656" s="55"/>
      <c r="BA656" s="55"/>
      <c r="BB656" s="55"/>
      <c r="BC656" s="55"/>
      <c r="BD656" s="55"/>
      <c r="BE656" s="55"/>
      <c r="BF656" s="55"/>
      <c r="BG656" s="55"/>
      <c r="BH656" s="55"/>
      <c r="BI656" s="55"/>
      <c r="BJ656" s="55"/>
      <c r="BK656" s="55"/>
      <c r="BL656" s="55"/>
      <c r="BM656" s="55"/>
      <c r="BN656" s="55"/>
      <c r="BO656" s="55"/>
      <c r="BP656" s="55"/>
      <c r="BQ656" s="55"/>
      <c r="BR656" s="55"/>
      <c r="BS656" s="55"/>
      <c r="BT656" s="55"/>
      <c r="BU656" s="55"/>
      <c r="BV656" s="55"/>
      <c r="BW656" s="55"/>
      <c r="BX656" s="55"/>
      <c r="BY656" s="55"/>
      <c r="BZ656" s="55"/>
      <c r="CI656" s="55"/>
      <c r="CJ656" s="55"/>
      <c r="CK656" s="55"/>
      <c r="CL656" s="55"/>
      <c r="CM656" s="55"/>
      <c r="CN656" s="55"/>
      <c r="CO656" s="55"/>
      <c r="CP656" s="55"/>
      <c r="CQ656" s="55"/>
      <c r="DJ656" s="55"/>
      <c r="DK656" s="55"/>
      <c r="DL656" s="55"/>
      <c r="DM656" s="55"/>
      <c r="DN656" s="55"/>
      <c r="DO656" s="55"/>
      <c r="DP656" s="55"/>
      <c r="DQ656" s="55"/>
      <c r="DR656" s="55"/>
      <c r="DS656" s="55"/>
      <c r="DT656" s="55"/>
      <c r="DU656" s="55"/>
      <c r="DV656" s="55"/>
    </row>
    <row r="657" spans="1:126" x14ac:dyDescent="0.2">
      <c r="A657" s="54"/>
      <c r="B657" s="54"/>
      <c r="C657" s="54"/>
      <c r="D657" s="54"/>
      <c r="E657" s="54"/>
      <c r="F657" s="54"/>
      <c r="G657" s="54"/>
      <c r="H657" s="54"/>
      <c r="I657" s="54"/>
      <c r="J657" s="54"/>
      <c r="K657" s="54"/>
      <c r="L657" s="54"/>
      <c r="M657" s="54"/>
      <c r="N657" s="54"/>
      <c r="O657" s="54"/>
      <c r="P657" s="54"/>
      <c r="Q657" s="54"/>
      <c r="R657" s="54"/>
      <c r="S657" s="54"/>
      <c r="T657" s="54"/>
      <c r="U657" s="54"/>
      <c r="V657" s="54"/>
      <c r="W657" s="54"/>
      <c r="X657" s="54"/>
      <c r="Y657" s="54"/>
      <c r="Z657" s="54"/>
      <c r="BC657" s="55"/>
      <c r="BD657" s="55"/>
      <c r="BF657" s="55"/>
      <c r="BG657" s="55"/>
      <c r="BH657" s="55"/>
      <c r="BI657" s="55"/>
      <c r="BJ657" s="55"/>
      <c r="BK657" s="55"/>
      <c r="BL657" s="55"/>
      <c r="BM657" s="55"/>
      <c r="BN657" s="55"/>
      <c r="BO657" s="55"/>
      <c r="BP657" s="55"/>
      <c r="BR657" s="55"/>
      <c r="BS657" s="55"/>
      <c r="BT657" s="55"/>
      <c r="BU657" s="55"/>
      <c r="BV657" s="55"/>
      <c r="BW657" s="55"/>
      <c r="BX657" s="55"/>
      <c r="BY657" s="55"/>
      <c r="BZ657" s="55"/>
      <c r="CK657" s="55"/>
      <c r="CL657" s="55"/>
      <c r="CM657" s="55"/>
      <c r="CN657" s="55"/>
      <c r="CO657" s="55"/>
      <c r="CP657" s="55"/>
      <c r="CQ657" s="55"/>
      <c r="DP657" s="55"/>
      <c r="DQ657" s="55"/>
      <c r="DR657" s="55"/>
      <c r="DS657" s="55"/>
      <c r="DT657" s="55"/>
      <c r="DU657" s="55"/>
      <c r="DV657" s="55"/>
    </row>
    <row r="658" spans="1:126" x14ac:dyDescent="0.2">
      <c r="A658" s="54"/>
      <c r="B658" s="54"/>
      <c r="C658" s="54"/>
      <c r="D658" s="54"/>
      <c r="E658" s="54"/>
      <c r="F658" s="54"/>
      <c r="G658" s="54"/>
      <c r="H658" s="54"/>
      <c r="I658" s="54"/>
      <c r="J658" s="54"/>
      <c r="K658" s="54"/>
      <c r="L658" s="54"/>
      <c r="M658" s="54"/>
      <c r="N658" s="54"/>
      <c r="O658" s="54"/>
      <c r="P658" s="54"/>
      <c r="Q658" s="54"/>
      <c r="R658" s="54"/>
      <c r="S658" s="54"/>
      <c r="T658" s="54"/>
      <c r="U658" s="54"/>
      <c r="V658" s="54"/>
      <c r="W658" s="54"/>
      <c r="X658" s="54"/>
      <c r="Y658" s="54"/>
      <c r="Z658" s="54"/>
    </row>
    <row r="659" spans="1:126" ht="15" x14ac:dyDescent="0.2">
      <c r="A659" s="185"/>
      <c r="B659" s="335" t="s">
        <v>998</v>
      </c>
      <c r="C659" s="335"/>
      <c r="D659" s="335"/>
      <c r="E659" s="335"/>
      <c r="F659" s="335"/>
      <c r="G659" s="335"/>
      <c r="H659" s="335"/>
      <c r="I659" s="335"/>
      <c r="J659" s="335"/>
      <c r="K659" s="335"/>
      <c r="L659" s="335"/>
      <c r="M659" s="335"/>
      <c r="N659" s="335"/>
      <c r="O659" s="335"/>
      <c r="P659" s="335"/>
      <c r="Q659" s="335"/>
      <c r="R659" s="335"/>
      <c r="S659" s="335"/>
      <c r="T659" s="335"/>
      <c r="U659" s="335"/>
      <c r="V659" s="335"/>
      <c r="W659" s="335"/>
      <c r="X659" s="335"/>
      <c r="Y659" s="335"/>
      <c r="Z659" s="335"/>
      <c r="AA659" s="335"/>
      <c r="AB659" s="335"/>
      <c r="AC659" s="335"/>
      <c r="AD659" s="335"/>
      <c r="AE659" s="335"/>
      <c r="AF659" s="335"/>
      <c r="AG659" s="335"/>
      <c r="AH659" s="335"/>
      <c r="AI659" s="335"/>
      <c r="AJ659" s="335"/>
      <c r="AK659" s="176"/>
    </row>
    <row r="660" spans="1:126" ht="12.75" customHeight="1" x14ac:dyDescent="0.2">
      <c r="A660" s="185"/>
      <c r="B660" s="185"/>
      <c r="C660" s="185"/>
      <c r="D660" s="185"/>
      <c r="E660" s="185"/>
      <c r="F660" s="185"/>
      <c r="G660" s="185"/>
      <c r="H660" s="185"/>
      <c r="I660" s="185"/>
      <c r="J660" s="185"/>
      <c r="K660" s="185"/>
      <c r="L660" s="185"/>
      <c r="M660" s="185"/>
      <c r="N660" s="185"/>
      <c r="O660" s="185"/>
      <c r="P660" s="185"/>
      <c r="Q660" s="185"/>
      <c r="R660" s="185"/>
      <c r="S660" s="185"/>
      <c r="T660" s="185"/>
      <c r="U660" s="185"/>
      <c r="V660" s="185"/>
      <c r="W660" s="185"/>
      <c r="X660" s="185"/>
      <c r="Y660" s="185"/>
      <c r="Z660" s="185"/>
      <c r="AA660" s="186"/>
      <c r="AB660" s="186"/>
      <c r="AC660" s="186"/>
      <c r="AD660" s="186"/>
      <c r="AE660" s="186"/>
      <c r="AF660" s="186"/>
      <c r="AG660" s="186"/>
      <c r="AH660" s="186"/>
      <c r="AI660" s="186"/>
      <c r="AJ660" s="187"/>
    </row>
    <row r="661" spans="1:126" ht="13.5" customHeight="1" x14ac:dyDescent="0.2">
      <c r="A661" s="185"/>
      <c r="B661" s="292" t="s">
        <v>869</v>
      </c>
      <c r="C661" s="292"/>
      <c r="D661" s="292"/>
      <c r="E661" s="292"/>
      <c r="F661" s="292"/>
      <c r="G661" s="292"/>
      <c r="H661" s="292"/>
      <c r="I661" s="292"/>
      <c r="J661" s="292"/>
      <c r="K661" s="292"/>
      <c r="L661" s="292"/>
      <c r="M661" s="294" t="s">
        <v>389</v>
      </c>
      <c r="N661" s="294"/>
      <c r="O661" s="294"/>
      <c r="P661" s="294"/>
      <c r="Q661" s="294"/>
      <c r="R661" s="294"/>
      <c r="S661" s="294" t="s">
        <v>388</v>
      </c>
      <c r="T661" s="294"/>
      <c r="U661" s="294"/>
      <c r="V661" s="294"/>
      <c r="W661" s="294"/>
      <c r="X661" s="294"/>
      <c r="Y661" s="294" t="s">
        <v>387</v>
      </c>
      <c r="Z661" s="294"/>
      <c r="AA661" s="294"/>
      <c r="AB661" s="294"/>
      <c r="AC661" s="294"/>
      <c r="AD661" s="294"/>
      <c r="AE661" s="294"/>
      <c r="AF661" s="294" t="s">
        <v>850</v>
      </c>
      <c r="AG661" s="294"/>
      <c r="AH661" s="294"/>
      <c r="AI661" s="294"/>
      <c r="AJ661" s="188"/>
      <c r="AK661" s="182"/>
      <c r="AY661" s="63"/>
      <c r="AZ661" s="63"/>
      <c r="BA661" s="63"/>
      <c r="BB661" s="62"/>
      <c r="BC661" s="62"/>
      <c r="BD661" s="62"/>
      <c r="BE661" s="62"/>
      <c r="BF661" s="62"/>
      <c r="BG661" s="62"/>
      <c r="BH661" s="62"/>
      <c r="BI661" s="62"/>
      <c r="BJ661" s="62"/>
      <c r="BK661" s="62"/>
      <c r="BL661" s="62"/>
      <c r="BM661" s="62"/>
      <c r="BN661" s="62"/>
      <c r="BO661" s="62"/>
      <c r="BP661" s="62"/>
      <c r="BQ661" s="62"/>
      <c r="BR661" s="62"/>
      <c r="BS661" s="62"/>
      <c r="BT661" s="62"/>
      <c r="BU661" s="62"/>
      <c r="BV661" s="62"/>
      <c r="BW661" s="62"/>
      <c r="BX661" s="62"/>
      <c r="BY661" s="62"/>
      <c r="BZ661" s="62"/>
      <c r="CI661" s="63"/>
      <c r="CJ661" s="62"/>
      <c r="CK661" s="62"/>
      <c r="CL661" s="62"/>
      <c r="CM661" s="62"/>
      <c r="CN661" s="62"/>
      <c r="CO661" s="62"/>
      <c r="CP661" s="62"/>
      <c r="CQ661" s="62"/>
      <c r="DJ661" s="63"/>
      <c r="DK661" s="63"/>
      <c r="DL661" s="63"/>
      <c r="DM661" s="62"/>
      <c r="DN661" s="62"/>
      <c r="DO661" s="62"/>
      <c r="DP661" s="62"/>
      <c r="DQ661" s="62"/>
      <c r="DR661" s="62"/>
      <c r="DS661" s="62"/>
      <c r="DT661" s="62"/>
      <c r="DU661" s="62"/>
      <c r="DV661" s="62"/>
    </row>
    <row r="662" spans="1:126" ht="15" thickBot="1" x14ac:dyDescent="0.25">
      <c r="A662" s="185"/>
      <c r="B662" s="293"/>
      <c r="C662" s="293"/>
      <c r="D662" s="293"/>
      <c r="E662" s="293"/>
      <c r="F662" s="293"/>
      <c r="G662" s="293"/>
      <c r="H662" s="293"/>
      <c r="I662" s="293"/>
      <c r="J662" s="293"/>
      <c r="K662" s="293"/>
      <c r="L662" s="293"/>
      <c r="M662" s="295"/>
      <c r="N662" s="295"/>
      <c r="O662" s="295"/>
      <c r="P662" s="295"/>
      <c r="Q662" s="295"/>
      <c r="R662" s="295"/>
      <c r="S662" s="295"/>
      <c r="T662" s="295"/>
      <c r="U662" s="295"/>
      <c r="V662" s="295"/>
      <c r="W662" s="295"/>
      <c r="X662" s="295"/>
      <c r="Y662" s="295"/>
      <c r="Z662" s="295"/>
      <c r="AA662" s="295"/>
      <c r="AB662" s="295"/>
      <c r="AC662" s="295"/>
      <c r="AD662" s="295"/>
      <c r="AE662" s="295"/>
      <c r="AF662" s="295"/>
      <c r="AG662" s="295"/>
      <c r="AH662" s="295"/>
      <c r="AI662" s="295"/>
      <c r="AJ662" s="188"/>
      <c r="AK662" s="182"/>
      <c r="BB662" s="62"/>
      <c r="BC662" s="62"/>
      <c r="BD662" s="62"/>
      <c r="BE662" s="62"/>
      <c r="BF662" s="62"/>
      <c r="BG662" s="62"/>
      <c r="BH662" s="62"/>
      <c r="BI662" s="62"/>
      <c r="BJ662" s="62"/>
      <c r="BK662" s="62"/>
      <c r="BL662" s="62"/>
      <c r="BM662" s="62"/>
      <c r="BN662" s="62"/>
      <c r="BO662" s="62"/>
      <c r="BP662" s="62"/>
      <c r="BQ662" s="62"/>
      <c r="BR662" s="62"/>
      <c r="BS662" s="62"/>
      <c r="BT662" s="62"/>
      <c r="BU662" s="62"/>
      <c r="BV662" s="62"/>
      <c r="BW662" s="62"/>
      <c r="BX662" s="62"/>
      <c r="BY662" s="62"/>
      <c r="BZ662" s="62"/>
      <c r="CJ662" s="62"/>
      <c r="CK662" s="62"/>
      <c r="CL662" s="62"/>
      <c r="CM662" s="62"/>
      <c r="CN662" s="62"/>
      <c r="CO662" s="62"/>
      <c r="CP662" s="62"/>
      <c r="CQ662" s="62"/>
      <c r="DM662" s="62"/>
      <c r="DN662" s="62"/>
      <c r="DO662" s="62"/>
      <c r="DP662" s="62"/>
      <c r="DQ662" s="62"/>
      <c r="DR662" s="62"/>
      <c r="DS662" s="62"/>
      <c r="DT662" s="62"/>
      <c r="DU662" s="62"/>
      <c r="DV662" s="62"/>
    </row>
    <row r="663" spans="1:126" ht="14.25" customHeight="1" x14ac:dyDescent="0.2">
      <c r="A663" s="185"/>
      <c r="B663" s="350" t="s">
        <v>524</v>
      </c>
      <c r="C663" s="351"/>
      <c r="D663" s="351"/>
      <c r="E663" s="351"/>
      <c r="F663" s="351"/>
      <c r="G663" s="351"/>
      <c r="H663" s="351"/>
      <c r="I663" s="351"/>
      <c r="J663" s="351"/>
      <c r="K663" s="351"/>
      <c r="L663" s="351"/>
      <c r="M663" s="352">
        <f>Q689</f>
        <v>0</v>
      </c>
      <c r="N663" s="352"/>
      <c r="O663" s="352"/>
      <c r="P663" s="352"/>
      <c r="Q663" s="352"/>
      <c r="R663" s="352"/>
      <c r="S663" s="352">
        <f>L689</f>
        <v>0</v>
      </c>
      <c r="T663" s="352"/>
      <c r="U663" s="352"/>
      <c r="V663" s="352"/>
      <c r="W663" s="352"/>
      <c r="X663" s="352"/>
      <c r="Y663" s="353">
        <f>V689</f>
        <v>0</v>
      </c>
      <c r="Z663" s="353"/>
      <c r="AA663" s="353"/>
      <c r="AB663" s="353"/>
      <c r="AC663" s="353"/>
      <c r="AD663" s="353"/>
      <c r="AE663" s="353"/>
      <c r="AF663" s="332" t="str">
        <f>IF(OR(Y663="",Y663="-"),"-",IF(Y663&lt;=100,"OK","N/A"))</f>
        <v>OK</v>
      </c>
      <c r="AG663" s="332"/>
      <c r="AH663" s="332"/>
      <c r="AI663" s="332"/>
      <c r="AJ663" s="187"/>
      <c r="BB663" s="62"/>
      <c r="BC663" s="62"/>
      <c r="BD663" s="62"/>
      <c r="BE663" s="62"/>
      <c r="BF663" s="62"/>
      <c r="BG663" s="62"/>
      <c r="BH663" s="62"/>
      <c r="BI663" s="62"/>
      <c r="BJ663" s="62"/>
      <c r="BK663" s="62"/>
      <c r="BL663" s="62"/>
      <c r="BM663" s="62"/>
      <c r="BN663" s="62"/>
      <c r="BO663" s="62"/>
      <c r="BP663" s="62"/>
      <c r="BQ663" s="62"/>
      <c r="BR663" s="62"/>
      <c r="BS663" s="62"/>
      <c r="BT663" s="62"/>
      <c r="BU663" s="62"/>
      <c r="BV663" s="62"/>
      <c r="BW663" s="62"/>
      <c r="BX663" s="62"/>
      <c r="BY663" s="62"/>
      <c r="BZ663" s="62"/>
      <c r="CJ663" s="62"/>
      <c r="CK663" s="62"/>
      <c r="CL663" s="62"/>
      <c r="CM663" s="62"/>
      <c r="CN663" s="62"/>
      <c r="CO663" s="62"/>
      <c r="CP663" s="62"/>
      <c r="CQ663" s="62"/>
      <c r="DM663" s="62"/>
      <c r="DN663" s="62"/>
      <c r="DO663" s="62"/>
      <c r="DP663" s="62"/>
      <c r="DQ663" s="62"/>
      <c r="DR663" s="62"/>
      <c r="DS663" s="62"/>
      <c r="DT663" s="62"/>
      <c r="DU663" s="62"/>
      <c r="DV663" s="62"/>
    </row>
    <row r="664" spans="1:126" ht="14.25" customHeight="1" x14ac:dyDescent="0.2">
      <c r="A664" s="185"/>
      <c r="B664" s="297" t="s">
        <v>525</v>
      </c>
      <c r="C664" s="298"/>
      <c r="D664" s="298"/>
      <c r="E664" s="298"/>
      <c r="F664" s="298"/>
      <c r="G664" s="298"/>
      <c r="H664" s="298"/>
      <c r="I664" s="298"/>
      <c r="J664" s="298"/>
      <c r="K664" s="298"/>
      <c r="L664" s="298"/>
      <c r="M664" s="302">
        <f>Q748</f>
        <v>4</v>
      </c>
      <c r="N664" s="302"/>
      <c r="O664" s="302"/>
      <c r="P664" s="302"/>
      <c r="Q664" s="302"/>
      <c r="R664" s="302"/>
      <c r="S664" s="302">
        <f>L748</f>
        <v>3</v>
      </c>
      <c r="T664" s="302"/>
      <c r="U664" s="302"/>
      <c r="V664" s="302"/>
      <c r="W664" s="302"/>
      <c r="X664" s="302"/>
      <c r="Y664" s="303">
        <f>V748</f>
        <v>5</v>
      </c>
      <c r="Z664" s="303"/>
      <c r="AA664" s="303"/>
      <c r="AB664" s="303"/>
      <c r="AC664" s="303"/>
      <c r="AD664" s="303"/>
      <c r="AE664" s="303"/>
      <c r="AF664" s="304" t="str">
        <f>IF(OR(Y664="",Y664="-"),"-",IF(Y664&lt;=100,"OK","N/A"))</f>
        <v>OK</v>
      </c>
      <c r="AG664" s="304"/>
      <c r="AH664" s="304"/>
      <c r="AI664" s="304"/>
      <c r="AJ664" s="187"/>
      <c r="BB664" s="62"/>
      <c r="BC664" s="62"/>
      <c r="BD664" s="62"/>
      <c r="BE664" s="62"/>
      <c r="BF664" s="62"/>
      <c r="BG664" s="62"/>
      <c r="BH664" s="62"/>
      <c r="BI664" s="62"/>
      <c r="BJ664" s="62"/>
      <c r="BK664" s="62"/>
      <c r="BL664" s="62"/>
      <c r="BM664" s="62"/>
      <c r="BN664" s="62"/>
      <c r="BO664" s="62"/>
      <c r="BP664" s="62"/>
      <c r="BQ664" s="62"/>
      <c r="BR664" s="62"/>
      <c r="BS664" s="62"/>
      <c r="BT664" s="62"/>
      <c r="BU664" s="62"/>
      <c r="BV664" s="62"/>
      <c r="BW664" s="62"/>
      <c r="BX664" s="62"/>
      <c r="BY664" s="62"/>
      <c r="BZ664" s="62"/>
      <c r="CJ664" s="62"/>
      <c r="CK664" s="62"/>
      <c r="CL664" s="62"/>
      <c r="CM664" s="62"/>
      <c r="CN664" s="62"/>
      <c r="CO664" s="62"/>
      <c r="CP664" s="62"/>
      <c r="CQ664" s="62"/>
      <c r="DM664" s="62"/>
      <c r="DN664" s="62"/>
      <c r="DO664" s="62"/>
      <c r="DP664" s="62"/>
      <c r="DQ664" s="62"/>
      <c r="DR664" s="62"/>
      <c r="DS664" s="62"/>
      <c r="DT664" s="62"/>
      <c r="DU664" s="62"/>
      <c r="DV664" s="62"/>
    </row>
    <row r="665" spans="1:126" ht="14.25" customHeight="1" x14ac:dyDescent="0.2">
      <c r="A665" s="185"/>
      <c r="B665" s="297" t="s">
        <v>523</v>
      </c>
      <c r="C665" s="298"/>
      <c r="D665" s="298"/>
      <c r="E665" s="298"/>
      <c r="F665" s="298"/>
      <c r="G665" s="298"/>
      <c r="H665" s="298"/>
      <c r="I665" s="298"/>
      <c r="J665" s="298"/>
      <c r="K665" s="298"/>
      <c r="L665" s="298"/>
      <c r="M665" s="302">
        <f>Q770</f>
        <v>0</v>
      </c>
      <c r="N665" s="302"/>
      <c r="O665" s="302"/>
      <c r="P665" s="302"/>
      <c r="Q665" s="302"/>
      <c r="R665" s="302"/>
      <c r="S665" s="302">
        <f>L770</f>
        <v>0</v>
      </c>
      <c r="T665" s="302"/>
      <c r="U665" s="302"/>
      <c r="V665" s="302"/>
      <c r="W665" s="302"/>
      <c r="X665" s="302"/>
      <c r="Y665" s="303">
        <f>V770</f>
        <v>0</v>
      </c>
      <c r="Z665" s="303"/>
      <c r="AA665" s="303"/>
      <c r="AB665" s="303"/>
      <c r="AC665" s="303"/>
      <c r="AD665" s="303"/>
      <c r="AE665" s="303"/>
      <c r="AF665" s="349" t="str">
        <f>IF(OR(Y665="",Y665="-"),"-",IF(Y665&lt;=100,"OK","N/A"))</f>
        <v>OK</v>
      </c>
      <c r="AG665" s="349"/>
      <c r="AH665" s="349"/>
      <c r="AI665" s="349"/>
      <c r="AJ665" s="187"/>
      <c r="BB665" s="62"/>
      <c r="BC665" s="62"/>
      <c r="BD665" s="62"/>
      <c r="BE665" s="62"/>
      <c r="BF665" s="62"/>
      <c r="BG665" s="62"/>
      <c r="BH665" s="62"/>
      <c r="BI665" s="62"/>
      <c r="BJ665" s="62"/>
      <c r="BK665" s="62"/>
      <c r="BL665" s="62"/>
      <c r="BM665" s="62"/>
      <c r="BN665" s="62"/>
      <c r="BO665" s="62"/>
      <c r="BP665" s="62"/>
      <c r="BQ665" s="62"/>
      <c r="BR665" s="62"/>
      <c r="BS665" s="62"/>
      <c r="BT665" s="62"/>
      <c r="BU665" s="62"/>
      <c r="BV665" s="62"/>
      <c r="BW665" s="62"/>
      <c r="BX665" s="62"/>
      <c r="BY665" s="62"/>
      <c r="BZ665" s="62"/>
      <c r="CJ665" s="62"/>
      <c r="CK665" s="62"/>
      <c r="CL665" s="62"/>
      <c r="CM665" s="62"/>
      <c r="CN665" s="62"/>
      <c r="CO665" s="62"/>
      <c r="CP665" s="62"/>
      <c r="CQ665" s="62"/>
      <c r="DM665" s="62"/>
      <c r="DN665" s="62"/>
      <c r="DO665" s="62"/>
      <c r="DP665" s="62"/>
      <c r="DQ665" s="62"/>
      <c r="DR665" s="62"/>
      <c r="DS665" s="62"/>
      <c r="DT665" s="62"/>
      <c r="DU665" s="62"/>
      <c r="DV665" s="62"/>
    </row>
    <row r="666" spans="1:126" ht="14.25" customHeight="1" x14ac:dyDescent="0.2">
      <c r="A666" s="185"/>
      <c r="B666" s="297" t="s">
        <v>522</v>
      </c>
      <c r="C666" s="298"/>
      <c r="D666" s="298"/>
      <c r="E666" s="298"/>
      <c r="F666" s="298"/>
      <c r="G666" s="298"/>
      <c r="H666" s="298"/>
      <c r="I666" s="298"/>
      <c r="J666" s="298"/>
      <c r="K666" s="298"/>
      <c r="L666" s="298"/>
      <c r="M666" s="302">
        <f>Q801</f>
        <v>0</v>
      </c>
      <c r="N666" s="302"/>
      <c r="O666" s="302"/>
      <c r="P666" s="302"/>
      <c r="Q666" s="302"/>
      <c r="R666" s="302"/>
      <c r="S666" s="302">
        <f>L801</f>
        <v>0</v>
      </c>
      <c r="T666" s="302"/>
      <c r="U666" s="302"/>
      <c r="V666" s="302"/>
      <c r="W666" s="302"/>
      <c r="X666" s="302"/>
      <c r="Y666" s="303">
        <f>V801</f>
        <v>0</v>
      </c>
      <c r="Z666" s="303"/>
      <c r="AA666" s="303"/>
      <c r="AB666" s="303"/>
      <c r="AC666" s="303"/>
      <c r="AD666" s="303"/>
      <c r="AE666" s="303"/>
      <c r="AF666" s="304" t="str">
        <f>IF(OR(Y666="",Y666="-"),"-",IF(Y666&lt;=100,"OK","N/A"))</f>
        <v>OK</v>
      </c>
      <c r="AG666" s="304"/>
      <c r="AH666" s="304"/>
      <c r="AI666" s="304"/>
      <c r="AJ666" s="187"/>
      <c r="BB666" s="62"/>
      <c r="BC666" s="62"/>
      <c r="BD666" s="62"/>
      <c r="BE666" s="62"/>
      <c r="BF666" s="62"/>
      <c r="BG666" s="62"/>
      <c r="BH666" s="62"/>
      <c r="BI666" s="62"/>
      <c r="BJ666" s="62"/>
      <c r="BK666" s="62"/>
      <c r="BL666" s="62"/>
      <c r="BM666" s="62"/>
      <c r="BN666" s="62"/>
      <c r="BO666" s="62"/>
      <c r="BP666" s="62"/>
      <c r="BQ666" s="62"/>
      <c r="BR666" s="62"/>
      <c r="BS666" s="62"/>
      <c r="BT666" s="62"/>
      <c r="BU666" s="62"/>
      <c r="BV666" s="62"/>
      <c r="BW666" s="62"/>
      <c r="BX666" s="62"/>
      <c r="BY666" s="62"/>
      <c r="BZ666" s="62"/>
      <c r="CJ666" s="62"/>
      <c r="CK666" s="62"/>
      <c r="CL666" s="62"/>
      <c r="CM666" s="62"/>
      <c r="CN666" s="62"/>
      <c r="CO666" s="62"/>
      <c r="CP666" s="62"/>
      <c r="CQ666" s="62"/>
      <c r="DM666" s="62"/>
      <c r="DN666" s="62"/>
      <c r="DO666" s="62"/>
      <c r="DP666" s="62"/>
      <c r="DQ666" s="62"/>
      <c r="DR666" s="62"/>
      <c r="DS666" s="62"/>
      <c r="DT666" s="62"/>
      <c r="DU666" s="62"/>
      <c r="DV666" s="62"/>
    </row>
    <row r="667" spans="1:126" ht="14.25" customHeight="1" thickBot="1" x14ac:dyDescent="0.25">
      <c r="A667" s="185"/>
      <c r="B667" s="306" t="s">
        <v>526</v>
      </c>
      <c r="C667" s="307"/>
      <c r="D667" s="307"/>
      <c r="E667" s="307"/>
      <c r="F667" s="307"/>
      <c r="G667" s="307"/>
      <c r="H667" s="307"/>
      <c r="I667" s="307"/>
      <c r="J667" s="307"/>
      <c r="K667" s="307"/>
      <c r="L667" s="307"/>
      <c r="M667" s="308">
        <f>Q823</f>
        <v>0</v>
      </c>
      <c r="N667" s="308"/>
      <c r="O667" s="308"/>
      <c r="P667" s="308"/>
      <c r="Q667" s="308"/>
      <c r="R667" s="308"/>
      <c r="S667" s="308">
        <f>L823</f>
        <v>0</v>
      </c>
      <c r="T667" s="308"/>
      <c r="U667" s="308"/>
      <c r="V667" s="308"/>
      <c r="W667" s="308"/>
      <c r="X667" s="308"/>
      <c r="Y667" s="309">
        <f>V823</f>
        <v>0</v>
      </c>
      <c r="Z667" s="309"/>
      <c r="AA667" s="309"/>
      <c r="AB667" s="309"/>
      <c r="AC667" s="309"/>
      <c r="AD667" s="309"/>
      <c r="AE667" s="309"/>
      <c r="AF667" s="310" t="str">
        <f>IF(OR(Y667="",Y667="-"),"-",IF(Y667&lt;=100,"OK","N/A"))</f>
        <v>OK</v>
      </c>
      <c r="AG667" s="310"/>
      <c r="AH667" s="310"/>
      <c r="AI667" s="310"/>
      <c r="AJ667" s="187"/>
      <c r="BB667" s="62"/>
      <c r="BC667" s="62"/>
      <c r="BD667" s="62"/>
      <c r="BE667" s="62"/>
      <c r="BF667" s="62"/>
      <c r="BG667" s="62"/>
      <c r="BH667" s="62"/>
      <c r="BI667" s="62"/>
      <c r="BJ667" s="62"/>
      <c r="BK667" s="62"/>
      <c r="BL667" s="62"/>
      <c r="BM667" s="62"/>
      <c r="BN667" s="62"/>
      <c r="BO667" s="62"/>
      <c r="BP667" s="62"/>
      <c r="BQ667" s="62"/>
      <c r="BR667" s="62"/>
      <c r="BS667" s="62"/>
      <c r="BT667" s="62"/>
      <c r="BU667" s="62"/>
      <c r="BV667" s="62"/>
      <c r="BW667" s="62"/>
      <c r="BX667" s="62"/>
      <c r="BY667" s="62"/>
      <c r="BZ667" s="62"/>
      <c r="CJ667" s="62"/>
      <c r="CK667" s="62"/>
      <c r="CL667" s="62"/>
      <c r="CM667" s="62"/>
      <c r="CN667" s="62"/>
      <c r="CO667" s="62"/>
      <c r="CP667" s="62"/>
      <c r="CQ667" s="62"/>
      <c r="DM667" s="62"/>
      <c r="DN667" s="62"/>
      <c r="DO667" s="62"/>
      <c r="DP667" s="62"/>
      <c r="DQ667" s="62"/>
      <c r="DR667" s="62"/>
      <c r="DS667" s="62"/>
      <c r="DT667" s="62"/>
      <c r="DU667" s="62"/>
      <c r="DV667" s="62"/>
    </row>
    <row r="668" spans="1:126" x14ac:dyDescent="0.2">
      <c r="A668" s="185"/>
      <c r="B668" s="185"/>
      <c r="C668" s="185"/>
      <c r="D668" s="189"/>
      <c r="E668" s="190"/>
      <c r="F668" s="190"/>
      <c r="G668" s="190"/>
      <c r="H668" s="190"/>
      <c r="I668" s="190"/>
      <c r="J668" s="190"/>
      <c r="K668" s="190"/>
      <c r="L668" s="190"/>
      <c r="M668" s="190"/>
      <c r="N668" s="190"/>
      <c r="O668" s="190"/>
      <c r="P668" s="190"/>
      <c r="Q668" s="190"/>
      <c r="R668" s="190"/>
      <c r="S668" s="190"/>
      <c r="T668" s="190"/>
      <c r="U668" s="190"/>
      <c r="V668" s="190"/>
      <c r="W668" s="190"/>
      <c r="X668" s="190"/>
      <c r="Y668" s="190"/>
      <c r="Z668" s="190"/>
      <c r="AA668" s="190"/>
      <c r="AB668" s="190"/>
      <c r="AC668" s="190"/>
      <c r="AD668" s="190"/>
      <c r="AE668" s="190"/>
      <c r="AF668" s="190"/>
      <c r="AG668" s="190"/>
      <c r="AH668" s="190"/>
      <c r="AI668" s="190"/>
      <c r="AJ668" s="188"/>
      <c r="AK668" s="182"/>
      <c r="BB668" s="62"/>
      <c r="BC668" s="62"/>
      <c r="BD668" s="62"/>
      <c r="BE668" s="62"/>
      <c r="BF668" s="62"/>
      <c r="BG668" s="62"/>
      <c r="BH668" s="62"/>
      <c r="BI668" s="62"/>
      <c r="BJ668" s="62"/>
      <c r="BK668" s="62"/>
      <c r="BL668" s="62"/>
      <c r="BM668" s="62"/>
      <c r="BN668" s="62"/>
      <c r="BO668" s="62"/>
      <c r="BP668" s="62"/>
      <c r="BQ668" s="62"/>
      <c r="BR668" s="62"/>
      <c r="BS668" s="62"/>
      <c r="BT668" s="62"/>
      <c r="BU668" s="62"/>
      <c r="BV668" s="62"/>
      <c r="BW668" s="62"/>
      <c r="BX668" s="62"/>
      <c r="BY668" s="62"/>
      <c r="BZ668" s="62"/>
      <c r="CJ668" s="62"/>
      <c r="CK668" s="62"/>
      <c r="CL668" s="62"/>
      <c r="CM668" s="62"/>
      <c r="CN668" s="62"/>
      <c r="CO668" s="62"/>
      <c r="CP668" s="62"/>
      <c r="CQ668" s="62"/>
      <c r="DM668" s="62"/>
      <c r="DN668" s="62"/>
      <c r="DO668" s="62"/>
      <c r="DP668" s="62"/>
      <c r="DQ668" s="62"/>
      <c r="DR668" s="62"/>
      <c r="DS668" s="62"/>
      <c r="DT668" s="62"/>
      <c r="DU668" s="62"/>
      <c r="DV668" s="62"/>
    </row>
    <row r="669" spans="1:126" ht="12.75" customHeight="1" x14ac:dyDescent="0.2">
      <c r="A669" s="185"/>
      <c r="B669" s="185"/>
      <c r="C669" s="185"/>
      <c r="D669" s="185"/>
      <c r="E669" s="185"/>
      <c r="F669" s="185"/>
      <c r="G669" s="185"/>
      <c r="H669" s="185"/>
      <c r="I669" s="185"/>
      <c r="J669" s="185"/>
      <c r="K669" s="185"/>
      <c r="L669" s="185"/>
      <c r="M669" s="185"/>
      <c r="N669" s="185"/>
      <c r="O669" s="185"/>
      <c r="P669" s="185"/>
      <c r="Q669" s="185"/>
      <c r="R669" s="185"/>
      <c r="S669" s="185"/>
      <c r="T669" s="185"/>
      <c r="U669" s="185"/>
      <c r="V669" s="185"/>
      <c r="W669" s="185"/>
      <c r="X669" s="185"/>
      <c r="Y669" s="185"/>
      <c r="Z669" s="185"/>
      <c r="AA669" s="186"/>
      <c r="AB669" s="186"/>
      <c r="AC669" s="186"/>
      <c r="AD669" s="186"/>
      <c r="AE669" s="186"/>
      <c r="AF669" s="186"/>
      <c r="AG669" s="186"/>
      <c r="AH669" s="186"/>
      <c r="AI669" s="186"/>
      <c r="AJ669" s="187"/>
    </row>
    <row r="670" spans="1:126" ht="13.5" customHeight="1" x14ac:dyDescent="0.2">
      <c r="A670" s="185"/>
      <c r="B670" s="185"/>
      <c r="C670" s="336" t="s">
        <v>919</v>
      </c>
      <c r="D670" s="337"/>
      <c r="E670" s="337"/>
      <c r="F670" s="337"/>
      <c r="G670" s="337"/>
      <c r="H670" s="337"/>
      <c r="I670" s="337"/>
      <c r="J670" s="337"/>
      <c r="K670" s="337"/>
      <c r="L670" s="337"/>
      <c r="M670" s="337"/>
      <c r="N670" s="337"/>
      <c r="O670" s="337"/>
      <c r="P670" s="337"/>
      <c r="Q670" s="337"/>
      <c r="R670" s="337"/>
      <c r="S670" s="337"/>
      <c r="T670" s="337"/>
      <c r="U670" s="337"/>
      <c r="V670" s="337"/>
      <c r="W670" s="337"/>
      <c r="X670" s="337"/>
      <c r="Y670" s="337"/>
      <c r="Z670" s="337"/>
      <c r="AA670" s="337"/>
      <c r="AB670" s="337"/>
      <c r="AC670" s="337"/>
      <c r="AD670" s="337"/>
      <c r="AE670" s="337"/>
      <c r="AF670" s="337"/>
      <c r="AG670" s="337"/>
      <c r="AH670" s="337"/>
      <c r="AI670" s="337"/>
      <c r="AJ670" s="337"/>
      <c r="AK670" s="175"/>
    </row>
    <row r="671" spans="1:126" x14ac:dyDescent="0.2">
      <c r="A671" s="191"/>
      <c r="B671" s="185"/>
      <c r="C671" s="185"/>
      <c r="D671" s="185"/>
      <c r="E671" s="186"/>
      <c r="F671" s="185"/>
      <c r="G671" s="185"/>
      <c r="H671" s="185"/>
      <c r="I671" s="185"/>
      <c r="J671" s="185"/>
      <c r="K671" s="185"/>
      <c r="L671" s="185"/>
      <c r="M671" s="185"/>
      <c r="N671" s="185"/>
      <c r="O671" s="185"/>
      <c r="P671" s="185"/>
      <c r="Q671" s="185"/>
      <c r="R671" s="185"/>
      <c r="S671" s="185"/>
      <c r="T671" s="185"/>
      <c r="U671" s="185"/>
      <c r="V671" s="185"/>
      <c r="W671" s="185"/>
      <c r="X671" s="185"/>
      <c r="Y671" s="185"/>
      <c r="Z671" s="185"/>
      <c r="AA671" s="186"/>
      <c r="AB671" s="186"/>
      <c r="AC671" s="186"/>
      <c r="AD671" s="186"/>
      <c r="AE671" s="186"/>
      <c r="AF671" s="186"/>
      <c r="AG671" s="186"/>
      <c r="AH671" s="186"/>
      <c r="AI671" s="186"/>
      <c r="AJ671" s="187"/>
    </row>
    <row r="672" spans="1:126" x14ac:dyDescent="0.2">
      <c r="A672" s="191"/>
      <c r="B672" s="185"/>
      <c r="C672" s="311" t="s">
        <v>463</v>
      </c>
      <c r="D672" s="311"/>
      <c r="E672" s="311"/>
      <c r="F672" s="311"/>
      <c r="G672" s="311"/>
      <c r="H672" s="311"/>
      <c r="I672" s="311"/>
      <c r="J672" s="311"/>
      <c r="K672" s="311"/>
      <c r="L672" s="311"/>
      <c r="M672" s="311"/>
      <c r="N672" s="311"/>
      <c r="O672" s="311"/>
      <c r="P672" s="297" t="s">
        <v>464</v>
      </c>
      <c r="Q672" s="297"/>
      <c r="R672" s="297"/>
      <c r="S672" s="297"/>
      <c r="T672" s="297"/>
      <c r="U672" s="297"/>
      <c r="V672" s="297"/>
      <c r="W672" s="297"/>
      <c r="X672" s="297"/>
      <c r="Y672" s="297"/>
      <c r="Z672" s="297"/>
      <c r="AA672" s="297"/>
      <c r="AB672" s="297"/>
      <c r="AC672" s="297"/>
      <c r="AD672" s="297"/>
      <c r="AE672" s="297"/>
      <c r="AF672" s="297"/>
      <c r="AG672" s="297"/>
      <c r="AH672" s="297"/>
      <c r="AI672" s="297"/>
      <c r="AJ672" s="187"/>
    </row>
    <row r="673" spans="1:37" x14ac:dyDescent="0.2">
      <c r="A673" s="191"/>
      <c r="B673" s="185"/>
      <c r="C673" s="311" t="s">
        <v>465</v>
      </c>
      <c r="D673" s="311"/>
      <c r="E673" s="311"/>
      <c r="F673" s="311"/>
      <c r="G673" s="311"/>
      <c r="H673" s="311"/>
      <c r="I673" s="311"/>
      <c r="J673" s="311"/>
      <c r="K673" s="311"/>
      <c r="L673" s="311"/>
      <c r="M673" s="311"/>
      <c r="N673" s="311"/>
      <c r="O673" s="311"/>
      <c r="P673" s="297" t="s">
        <v>466</v>
      </c>
      <c r="Q673" s="297"/>
      <c r="R673" s="297"/>
      <c r="S673" s="297"/>
      <c r="T673" s="297"/>
      <c r="U673" s="297"/>
      <c r="V673" s="297"/>
      <c r="W673" s="297"/>
      <c r="X673" s="297"/>
      <c r="Y673" s="297"/>
      <c r="Z673" s="297"/>
      <c r="AA673" s="297"/>
      <c r="AB673" s="297"/>
      <c r="AC673" s="297"/>
      <c r="AD673" s="297"/>
      <c r="AE673" s="297"/>
      <c r="AF673" s="297"/>
      <c r="AG673" s="297"/>
      <c r="AH673" s="297"/>
      <c r="AI673" s="297"/>
      <c r="AJ673" s="187"/>
    </row>
    <row r="674" spans="1:37" ht="12.75" customHeight="1" x14ac:dyDescent="0.2">
      <c r="A674" s="191"/>
      <c r="B674" s="185"/>
      <c r="C674" s="185"/>
      <c r="D674" s="185"/>
      <c r="E674" s="186"/>
      <c r="F674" s="185"/>
      <c r="G674" s="185"/>
      <c r="H674" s="185"/>
      <c r="I674" s="185"/>
      <c r="J674" s="185"/>
      <c r="K674" s="185"/>
      <c r="L674" s="185"/>
      <c r="M674" s="185"/>
      <c r="N674" s="185"/>
      <c r="O674" s="185"/>
      <c r="P674" s="185"/>
      <c r="Q674" s="185"/>
      <c r="R674" s="185"/>
      <c r="S674" s="185"/>
      <c r="T674" s="185"/>
      <c r="U674" s="185"/>
      <c r="V674" s="185"/>
      <c r="W674" s="185"/>
      <c r="X674" s="185"/>
      <c r="Y674" s="185"/>
      <c r="Z674" s="185"/>
      <c r="AA674" s="186"/>
      <c r="AB674" s="186"/>
      <c r="AC674" s="186"/>
      <c r="AD674" s="186"/>
      <c r="AE674" s="186"/>
      <c r="AF674" s="186"/>
      <c r="AG674" s="186"/>
      <c r="AH674" s="186"/>
      <c r="AI674" s="186"/>
      <c r="AJ674" s="187"/>
    </row>
    <row r="675" spans="1:37" ht="13.5" customHeight="1" x14ac:dyDescent="0.2">
      <c r="A675" s="185"/>
      <c r="B675" s="185"/>
      <c r="C675" s="185"/>
      <c r="D675" s="290" t="s">
        <v>384</v>
      </c>
      <c r="E675" s="290"/>
      <c r="F675" s="290"/>
      <c r="G675" s="290"/>
      <c r="H675" s="290"/>
      <c r="I675" s="290"/>
      <c r="J675" s="290"/>
      <c r="K675" s="290"/>
      <c r="L675" s="290"/>
      <c r="M675" s="290"/>
      <c r="N675" s="290"/>
      <c r="O675" s="290"/>
      <c r="P675" s="290"/>
      <c r="Q675" s="290"/>
      <c r="R675" s="290"/>
      <c r="S675" s="290"/>
      <c r="T675" s="290"/>
      <c r="U675" s="290"/>
      <c r="V675" s="290"/>
      <c r="W675" s="290"/>
      <c r="X675" s="290"/>
      <c r="Y675" s="290"/>
      <c r="Z675" s="290"/>
      <c r="AA675" s="290"/>
      <c r="AB675" s="290"/>
      <c r="AC675" s="290"/>
      <c r="AD675" s="290"/>
      <c r="AE675" s="290"/>
      <c r="AF675" s="290"/>
      <c r="AG675" s="290"/>
      <c r="AH675" s="290"/>
      <c r="AI675" s="290"/>
      <c r="AJ675" s="290"/>
      <c r="AK675" s="174"/>
    </row>
    <row r="676" spans="1:37" x14ac:dyDescent="0.2">
      <c r="A676" s="185"/>
      <c r="B676" s="185"/>
      <c r="C676" s="185"/>
      <c r="D676" s="185"/>
      <c r="E676" s="185"/>
      <c r="F676" s="185"/>
      <c r="G676" s="185"/>
      <c r="H676" s="185"/>
      <c r="I676" s="185"/>
      <c r="J676" s="185"/>
      <c r="K676" s="185"/>
      <c r="L676" s="185"/>
      <c r="M676" s="185"/>
      <c r="N676" s="185"/>
      <c r="O676" s="185"/>
      <c r="P676" s="185"/>
      <c r="Q676" s="185"/>
      <c r="R676" s="185"/>
      <c r="S676" s="185"/>
      <c r="T676" s="185"/>
      <c r="U676" s="185"/>
      <c r="V676" s="185"/>
      <c r="W676" s="185"/>
      <c r="X676" s="185"/>
      <c r="Y676" s="185"/>
      <c r="Z676" s="185"/>
      <c r="AA676" s="186"/>
      <c r="AB676" s="186"/>
      <c r="AC676" s="186"/>
      <c r="AD676" s="186"/>
      <c r="AE676" s="186"/>
      <c r="AF676" s="186"/>
      <c r="AG676" s="186"/>
      <c r="AH676" s="186"/>
      <c r="AI676" s="186"/>
      <c r="AJ676" s="187"/>
    </row>
    <row r="677" spans="1:37" x14ac:dyDescent="0.2">
      <c r="A677" s="185"/>
      <c r="B677" s="291">
        <v>1</v>
      </c>
      <c r="C677" s="291"/>
      <c r="D677" s="291"/>
      <c r="E677" s="291"/>
      <c r="F677" s="291"/>
      <c r="G677" s="291">
        <v>2</v>
      </c>
      <c r="H677" s="291"/>
      <c r="I677" s="291" t="s">
        <v>379</v>
      </c>
      <c r="J677" s="291"/>
      <c r="K677" s="291"/>
      <c r="L677" s="291">
        <v>3</v>
      </c>
      <c r="M677" s="291"/>
      <c r="N677" s="291"/>
      <c r="O677" s="291"/>
      <c r="P677" s="291"/>
      <c r="Q677" s="291">
        <v>4</v>
      </c>
      <c r="R677" s="291" t="s">
        <v>380</v>
      </c>
      <c r="S677" s="291"/>
      <c r="T677" s="291"/>
      <c r="U677" s="291"/>
      <c r="V677" s="291">
        <v>5</v>
      </c>
      <c r="W677" s="291"/>
      <c r="X677" s="291"/>
      <c r="Y677" s="291"/>
      <c r="Z677" s="291"/>
      <c r="AA677" s="291">
        <v>6</v>
      </c>
      <c r="AB677" s="291"/>
      <c r="AC677" s="291"/>
      <c r="AD677" s="291"/>
      <c r="AE677" s="291"/>
      <c r="AF677" s="291">
        <v>7</v>
      </c>
      <c r="AG677" s="291"/>
      <c r="AH677" s="291"/>
      <c r="AI677" s="291"/>
      <c r="AJ677" s="188"/>
      <c r="AK677" s="182"/>
    </row>
    <row r="678" spans="1:37" x14ac:dyDescent="0.2">
      <c r="A678" s="185"/>
      <c r="B678" s="289"/>
      <c r="C678" s="289"/>
      <c r="D678" s="289"/>
      <c r="E678" s="289"/>
      <c r="F678" s="289"/>
      <c r="G678" s="289"/>
      <c r="H678" s="289"/>
      <c r="I678" s="289"/>
      <c r="J678" s="289"/>
      <c r="K678" s="289"/>
      <c r="L678" s="289"/>
      <c r="M678" s="289"/>
      <c r="N678" s="289"/>
      <c r="O678" s="289"/>
      <c r="P678" s="289"/>
      <c r="Q678" s="289"/>
      <c r="R678" s="289"/>
      <c r="S678" s="289"/>
      <c r="T678" s="289"/>
      <c r="U678" s="289"/>
      <c r="V678" s="289"/>
      <c r="W678" s="289"/>
      <c r="X678" s="289"/>
      <c r="Y678" s="289"/>
      <c r="Z678" s="289"/>
      <c r="AA678" s="289"/>
      <c r="AB678" s="289"/>
      <c r="AC678" s="289"/>
      <c r="AD678" s="289"/>
      <c r="AE678" s="289"/>
      <c r="AF678" s="289"/>
      <c r="AG678" s="289"/>
      <c r="AH678" s="289"/>
      <c r="AI678" s="289"/>
      <c r="AJ678" s="187"/>
    </row>
    <row r="679" spans="1:37" x14ac:dyDescent="0.2">
      <c r="A679" s="185"/>
      <c r="B679" s="185"/>
      <c r="C679" s="185"/>
      <c r="D679" s="185"/>
      <c r="E679" s="185"/>
      <c r="F679" s="185"/>
      <c r="G679" s="185"/>
      <c r="H679" s="185"/>
      <c r="I679" s="185"/>
      <c r="J679" s="185"/>
      <c r="K679" s="185"/>
      <c r="L679" s="185"/>
      <c r="M679" s="185"/>
      <c r="N679" s="185"/>
      <c r="O679" s="185"/>
      <c r="P679" s="185"/>
      <c r="Q679" s="185"/>
      <c r="R679" s="185"/>
      <c r="S679" s="185"/>
      <c r="T679" s="185"/>
      <c r="U679" s="185"/>
      <c r="V679" s="185"/>
      <c r="W679" s="185"/>
      <c r="X679" s="185"/>
      <c r="Y679" s="185"/>
      <c r="Z679" s="185"/>
      <c r="AA679" s="186"/>
      <c r="AB679" s="186"/>
      <c r="AC679" s="186"/>
      <c r="AD679" s="186"/>
      <c r="AE679" s="186"/>
      <c r="AF679" s="186"/>
      <c r="AG679" s="186"/>
      <c r="AH679" s="186"/>
      <c r="AI679" s="186"/>
      <c r="AJ679" s="187"/>
    </row>
    <row r="680" spans="1:37" x14ac:dyDescent="0.2">
      <c r="A680" s="185"/>
      <c r="B680" s="185"/>
      <c r="C680" s="185"/>
      <c r="D680" s="290" t="s">
        <v>385</v>
      </c>
      <c r="E680" s="290"/>
      <c r="F680" s="290"/>
      <c r="G680" s="290"/>
      <c r="H680" s="290"/>
      <c r="I680" s="290"/>
      <c r="J680" s="290"/>
      <c r="K680" s="290"/>
      <c r="L680" s="290"/>
      <c r="M680" s="290"/>
      <c r="N680" s="290"/>
      <c r="O680" s="290"/>
      <c r="P680" s="290"/>
      <c r="Q680" s="290"/>
      <c r="R680" s="290"/>
      <c r="S680" s="290"/>
      <c r="T680" s="290"/>
      <c r="U680" s="290"/>
      <c r="V680" s="290"/>
      <c r="W680" s="290"/>
      <c r="X680" s="290"/>
      <c r="Y680" s="290"/>
      <c r="Z680" s="290"/>
      <c r="AA680" s="290"/>
      <c r="AB680" s="290"/>
      <c r="AC680" s="290"/>
      <c r="AD680" s="290"/>
      <c r="AE680" s="290"/>
      <c r="AF680" s="290"/>
      <c r="AG680" s="290"/>
      <c r="AH680" s="290"/>
      <c r="AI680" s="290"/>
      <c r="AJ680" s="290"/>
      <c r="AK680" s="174"/>
    </row>
    <row r="681" spans="1:37" x14ac:dyDescent="0.2">
      <c r="A681" s="185"/>
      <c r="B681" s="185"/>
      <c r="C681" s="185"/>
      <c r="D681" s="185"/>
      <c r="E681" s="185"/>
      <c r="F681" s="185"/>
      <c r="G681" s="185"/>
      <c r="H681" s="185"/>
      <c r="I681" s="185"/>
      <c r="J681" s="185"/>
      <c r="K681" s="185"/>
      <c r="L681" s="185"/>
      <c r="M681" s="185"/>
      <c r="N681" s="185"/>
      <c r="O681" s="185"/>
      <c r="P681" s="185"/>
      <c r="Q681" s="185"/>
      <c r="R681" s="185"/>
      <c r="S681" s="185"/>
      <c r="T681" s="185"/>
      <c r="U681" s="185"/>
      <c r="V681" s="185"/>
      <c r="W681" s="185"/>
      <c r="X681" s="185"/>
      <c r="Y681" s="185"/>
      <c r="Z681" s="185"/>
      <c r="AA681" s="186"/>
      <c r="AB681" s="186"/>
      <c r="AC681" s="186"/>
      <c r="AD681" s="186"/>
      <c r="AE681" s="186"/>
      <c r="AF681" s="186"/>
      <c r="AG681" s="186"/>
      <c r="AH681" s="186"/>
      <c r="AI681" s="186"/>
      <c r="AJ681" s="187"/>
    </row>
    <row r="682" spans="1:37" ht="12.75" customHeight="1" x14ac:dyDescent="0.2">
      <c r="A682" s="185"/>
      <c r="B682" s="291">
        <v>1</v>
      </c>
      <c r="C682" s="291"/>
      <c r="D682" s="291"/>
      <c r="E682" s="291"/>
      <c r="F682" s="291"/>
      <c r="G682" s="291">
        <v>2</v>
      </c>
      <c r="H682" s="291"/>
      <c r="I682" s="291" t="s">
        <v>379</v>
      </c>
      <c r="J682" s="291"/>
      <c r="K682" s="291"/>
      <c r="L682" s="291">
        <v>3</v>
      </c>
      <c r="M682" s="291"/>
      <c r="N682" s="291"/>
      <c r="O682" s="291"/>
      <c r="P682" s="291"/>
      <c r="Q682" s="291">
        <v>4</v>
      </c>
      <c r="R682" s="291" t="s">
        <v>380</v>
      </c>
      <c r="S682" s="291"/>
      <c r="T682" s="291"/>
      <c r="U682" s="291"/>
      <c r="V682" s="291">
        <v>5</v>
      </c>
      <c r="W682" s="291"/>
      <c r="X682" s="291"/>
      <c r="Y682" s="291"/>
      <c r="Z682" s="291"/>
      <c r="AA682" s="291">
        <v>6</v>
      </c>
      <c r="AB682" s="291"/>
      <c r="AC682" s="291"/>
      <c r="AD682" s="291"/>
      <c r="AE682" s="291"/>
      <c r="AF682" s="291">
        <v>7</v>
      </c>
      <c r="AG682" s="291"/>
      <c r="AH682" s="291"/>
      <c r="AI682" s="291"/>
      <c r="AJ682" s="188"/>
      <c r="AK682" s="182"/>
    </row>
    <row r="683" spans="1:37" x14ac:dyDescent="0.2">
      <c r="A683" s="185"/>
      <c r="B683" s="289"/>
      <c r="C683" s="289"/>
      <c r="D683" s="289"/>
      <c r="E683" s="289"/>
      <c r="F683" s="289"/>
      <c r="G683" s="289"/>
      <c r="H683" s="289"/>
      <c r="I683" s="289"/>
      <c r="J683" s="289"/>
      <c r="K683" s="289"/>
      <c r="L683" s="289"/>
      <c r="M683" s="289"/>
      <c r="N683" s="289"/>
      <c r="O683" s="289"/>
      <c r="P683" s="289"/>
      <c r="Q683" s="289"/>
      <c r="R683" s="289"/>
      <c r="S683" s="289"/>
      <c r="T683" s="289"/>
      <c r="U683" s="289"/>
      <c r="V683" s="289"/>
      <c r="W683" s="289"/>
      <c r="X683" s="289"/>
      <c r="Y683" s="289"/>
      <c r="Z683" s="289"/>
      <c r="AA683" s="289"/>
      <c r="AB683" s="289"/>
      <c r="AC683" s="289"/>
      <c r="AD683" s="289"/>
      <c r="AE683" s="289"/>
      <c r="AF683" s="289"/>
      <c r="AG683" s="289"/>
      <c r="AH683" s="289"/>
      <c r="AI683" s="289"/>
      <c r="AJ683" s="187"/>
    </row>
    <row r="684" spans="1:37" x14ac:dyDescent="0.2">
      <c r="A684" s="185"/>
      <c r="B684" s="185"/>
      <c r="C684" s="185"/>
      <c r="D684" s="185"/>
      <c r="E684" s="185"/>
      <c r="F684" s="185"/>
      <c r="G684" s="185"/>
      <c r="H684" s="185"/>
      <c r="I684" s="185"/>
      <c r="J684" s="185"/>
      <c r="K684" s="185"/>
      <c r="L684" s="185"/>
      <c r="M684" s="185"/>
      <c r="N684" s="185"/>
      <c r="O684" s="185"/>
      <c r="P684" s="185"/>
      <c r="Q684" s="185"/>
      <c r="R684" s="185"/>
      <c r="S684" s="185"/>
      <c r="T684" s="185"/>
      <c r="U684" s="185"/>
      <c r="V684" s="185"/>
      <c r="W684" s="185"/>
      <c r="X684" s="185"/>
      <c r="Y684" s="185"/>
      <c r="Z684" s="185"/>
      <c r="AA684" s="186"/>
      <c r="AB684" s="186"/>
      <c r="AC684" s="186"/>
      <c r="AD684" s="186"/>
      <c r="AE684" s="186"/>
      <c r="AF684" s="186"/>
      <c r="AG684" s="186"/>
      <c r="AH684" s="186"/>
      <c r="AI684" s="186"/>
      <c r="AJ684" s="187"/>
    </row>
    <row r="685" spans="1:37" ht="12.75" customHeight="1" x14ac:dyDescent="0.2">
      <c r="A685" s="185"/>
      <c r="B685" s="185"/>
      <c r="C685" s="185"/>
      <c r="D685" s="290" t="s">
        <v>386</v>
      </c>
      <c r="E685" s="290"/>
      <c r="F685" s="290"/>
      <c r="G685" s="290"/>
      <c r="H685" s="290"/>
      <c r="I685" s="290"/>
      <c r="J685" s="290"/>
      <c r="K685" s="290"/>
      <c r="L685" s="290"/>
      <c r="M685" s="290"/>
      <c r="N685" s="290"/>
      <c r="O685" s="290"/>
      <c r="P685" s="290"/>
      <c r="Q685" s="290"/>
      <c r="R685" s="290"/>
      <c r="S685" s="290"/>
      <c r="T685" s="290"/>
      <c r="U685" s="290"/>
      <c r="V685" s="290"/>
      <c r="W685" s="290"/>
      <c r="X685" s="290"/>
      <c r="Y685" s="290"/>
      <c r="Z685" s="290"/>
      <c r="AA685" s="290"/>
      <c r="AB685" s="290"/>
      <c r="AC685" s="290"/>
      <c r="AD685" s="290"/>
      <c r="AE685" s="290"/>
      <c r="AF685" s="290"/>
      <c r="AG685" s="290"/>
      <c r="AH685" s="290"/>
      <c r="AI685" s="290"/>
      <c r="AJ685" s="290"/>
      <c r="AK685" s="174"/>
    </row>
    <row r="686" spans="1:37" ht="13.5" customHeight="1" x14ac:dyDescent="0.2">
      <c r="A686" s="185"/>
      <c r="B686" s="185"/>
      <c r="C686" s="185"/>
      <c r="D686" s="185"/>
      <c r="E686" s="185"/>
      <c r="F686" s="185"/>
      <c r="G686" s="185"/>
      <c r="H686" s="185"/>
      <c r="I686" s="185"/>
      <c r="J686" s="185"/>
      <c r="K686" s="185"/>
      <c r="L686" s="185"/>
      <c r="M686" s="185"/>
      <c r="N686" s="185"/>
      <c r="O686" s="185"/>
      <c r="P686" s="185"/>
      <c r="Q686" s="185"/>
      <c r="R686" s="185"/>
      <c r="S686" s="185"/>
      <c r="T686" s="185"/>
      <c r="U686" s="185"/>
      <c r="V686" s="185"/>
      <c r="W686" s="185"/>
      <c r="X686" s="185"/>
      <c r="Y686" s="185"/>
      <c r="Z686" s="185"/>
      <c r="AA686" s="186"/>
      <c r="AB686" s="186"/>
      <c r="AC686" s="186"/>
      <c r="AD686" s="186"/>
      <c r="AE686" s="186"/>
      <c r="AF686" s="186"/>
      <c r="AG686" s="186"/>
      <c r="AH686" s="186"/>
      <c r="AI686" s="186"/>
      <c r="AJ686" s="187"/>
    </row>
    <row r="687" spans="1:37" x14ac:dyDescent="0.2">
      <c r="A687" s="185"/>
      <c r="B687" s="291">
        <v>1</v>
      </c>
      <c r="C687" s="291"/>
      <c r="D687" s="291"/>
      <c r="E687" s="291"/>
      <c r="F687" s="291"/>
      <c r="G687" s="291">
        <v>2</v>
      </c>
      <c r="H687" s="291"/>
      <c r="I687" s="291" t="s">
        <v>379</v>
      </c>
      <c r="J687" s="291"/>
      <c r="K687" s="291"/>
      <c r="L687" s="291">
        <v>3</v>
      </c>
      <c r="M687" s="291"/>
      <c r="N687" s="291"/>
      <c r="O687" s="291"/>
      <c r="P687" s="291"/>
      <c r="Q687" s="291">
        <v>4</v>
      </c>
      <c r="R687" s="291" t="s">
        <v>380</v>
      </c>
      <c r="S687" s="291"/>
      <c r="T687" s="291"/>
      <c r="U687" s="291"/>
      <c r="V687" s="291">
        <v>5</v>
      </c>
      <c r="W687" s="291"/>
      <c r="X687" s="291"/>
      <c r="Y687" s="291"/>
      <c r="Z687" s="291"/>
      <c r="AA687" s="291">
        <v>6</v>
      </c>
      <c r="AB687" s="291"/>
      <c r="AC687" s="291"/>
      <c r="AD687" s="291"/>
      <c r="AE687" s="291"/>
      <c r="AF687" s="291">
        <v>7</v>
      </c>
      <c r="AG687" s="291"/>
      <c r="AH687" s="291"/>
      <c r="AI687" s="291"/>
      <c r="AJ687" s="188"/>
      <c r="AK687" s="182"/>
    </row>
    <row r="688" spans="1:37" x14ac:dyDescent="0.2">
      <c r="A688" s="185"/>
      <c r="B688" s="289"/>
      <c r="C688" s="289"/>
      <c r="D688" s="289"/>
      <c r="E688" s="289"/>
      <c r="F688" s="289"/>
      <c r="G688" s="289"/>
      <c r="H688" s="289"/>
      <c r="I688" s="289"/>
      <c r="J688" s="289"/>
      <c r="K688" s="289"/>
      <c r="L688" s="289"/>
      <c r="M688" s="289"/>
      <c r="N688" s="289"/>
      <c r="O688" s="289"/>
      <c r="P688" s="289"/>
      <c r="Q688" s="289"/>
      <c r="R688" s="289"/>
      <c r="S688" s="289"/>
      <c r="T688" s="289"/>
      <c r="U688" s="289"/>
      <c r="V688" s="289"/>
      <c r="W688" s="289"/>
      <c r="X688" s="289"/>
      <c r="Y688" s="289"/>
      <c r="Z688" s="289"/>
      <c r="AA688" s="289"/>
      <c r="AB688" s="289"/>
      <c r="AC688" s="289"/>
      <c r="AD688" s="289"/>
      <c r="AE688" s="289"/>
      <c r="AF688" s="289"/>
      <c r="AG688" s="289"/>
      <c r="AH688" s="289"/>
      <c r="AI688" s="289"/>
      <c r="AJ688" s="187"/>
    </row>
    <row r="689" spans="1:126" x14ac:dyDescent="0.2">
      <c r="A689" s="185"/>
      <c r="B689" s="185"/>
      <c r="C689" s="185"/>
      <c r="D689" s="185"/>
      <c r="E689" s="185"/>
      <c r="F689" s="185"/>
      <c r="G689" s="185"/>
      <c r="H689" s="185"/>
      <c r="I689" s="185"/>
      <c r="J689" s="185"/>
      <c r="K689" s="185"/>
      <c r="L689" s="185"/>
      <c r="M689" s="185"/>
      <c r="N689" s="185"/>
      <c r="O689" s="185"/>
      <c r="P689" s="185"/>
      <c r="Q689" s="185"/>
      <c r="R689" s="185"/>
      <c r="S689" s="185"/>
      <c r="T689" s="185"/>
      <c r="U689" s="185"/>
      <c r="V689" s="185"/>
      <c r="W689" s="185"/>
      <c r="X689" s="185"/>
      <c r="Y689" s="185"/>
      <c r="Z689" s="185"/>
      <c r="AA689" s="186"/>
      <c r="AB689" s="186"/>
      <c r="AC689" s="186"/>
      <c r="AD689" s="186"/>
      <c r="AE689" s="186"/>
      <c r="AF689" s="186"/>
      <c r="AG689" s="186"/>
      <c r="AH689" s="186"/>
      <c r="AI689" s="186"/>
      <c r="AJ689" s="187"/>
    </row>
    <row r="690" spans="1:126" ht="12.75" customHeight="1" x14ac:dyDescent="0.2">
      <c r="A690" s="185"/>
      <c r="B690" s="185"/>
      <c r="C690" s="185"/>
      <c r="D690" s="185"/>
      <c r="E690" s="185"/>
      <c r="F690" s="185"/>
      <c r="G690" s="185"/>
      <c r="H690" s="185"/>
      <c r="I690" s="185"/>
      <c r="J690" s="185"/>
      <c r="K690" s="185"/>
      <c r="L690" s="185"/>
      <c r="M690" s="185"/>
      <c r="N690" s="185"/>
      <c r="O690" s="185"/>
      <c r="P690" s="185"/>
      <c r="Q690" s="185"/>
      <c r="R690" s="185"/>
      <c r="S690" s="185"/>
      <c r="T690" s="185"/>
      <c r="U690" s="185"/>
      <c r="V690" s="185"/>
      <c r="W690" s="185"/>
      <c r="X690" s="185"/>
      <c r="Y690" s="185"/>
      <c r="Z690" s="185"/>
      <c r="AA690" s="186"/>
      <c r="AB690" s="186"/>
      <c r="AC690" s="186"/>
      <c r="AD690" s="186"/>
      <c r="AE690" s="186"/>
      <c r="AF690" s="186"/>
      <c r="AG690" s="186"/>
      <c r="AH690" s="186"/>
      <c r="AI690" s="186"/>
      <c r="AJ690" s="187"/>
    </row>
    <row r="691" spans="1:126" ht="15" x14ac:dyDescent="0.2">
      <c r="A691" s="185"/>
      <c r="B691" s="335" t="s">
        <v>999</v>
      </c>
      <c r="C691" s="335"/>
      <c r="D691" s="335"/>
      <c r="E691" s="335"/>
      <c r="F691" s="335"/>
      <c r="G691" s="335"/>
      <c r="H691" s="335"/>
      <c r="I691" s="335"/>
      <c r="J691" s="335"/>
      <c r="K691" s="335"/>
      <c r="L691" s="335"/>
      <c r="M691" s="335"/>
      <c r="N691" s="335"/>
      <c r="O691" s="335"/>
      <c r="P691" s="335"/>
      <c r="Q691" s="335"/>
      <c r="R691" s="335"/>
      <c r="S691" s="335"/>
      <c r="T691" s="335"/>
      <c r="U691" s="335"/>
      <c r="V691" s="335"/>
      <c r="W691" s="335"/>
      <c r="X691" s="335"/>
      <c r="Y691" s="335"/>
      <c r="Z691" s="335"/>
      <c r="AA691" s="335"/>
      <c r="AB691" s="335"/>
      <c r="AC691" s="335"/>
      <c r="AD691" s="335"/>
      <c r="AE691" s="335"/>
      <c r="AF691" s="335"/>
      <c r="AG691" s="335"/>
      <c r="AH691" s="335"/>
      <c r="AI691" s="335"/>
      <c r="AJ691" s="335"/>
      <c r="AK691" s="176"/>
    </row>
    <row r="692" spans="1:126" ht="12.75" customHeight="1" x14ac:dyDescent="0.2">
      <c r="A692" s="185"/>
      <c r="B692" s="185"/>
      <c r="C692" s="185"/>
      <c r="D692" s="185"/>
      <c r="E692" s="185"/>
      <c r="F692" s="185"/>
      <c r="G692" s="185"/>
      <c r="H692" s="185"/>
      <c r="I692" s="185"/>
      <c r="J692" s="185"/>
      <c r="K692" s="185"/>
      <c r="L692" s="185"/>
      <c r="M692" s="185"/>
      <c r="N692" s="185"/>
      <c r="O692" s="185"/>
      <c r="P692" s="185"/>
      <c r="Q692" s="185"/>
      <c r="R692" s="185"/>
      <c r="S692" s="185"/>
      <c r="T692" s="185"/>
      <c r="U692" s="185"/>
      <c r="V692" s="185"/>
      <c r="W692" s="185"/>
      <c r="X692" s="185"/>
      <c r="Y692" s="185"/>
      <c r="Z692" s="185"/>
      <c r="AA692" s="186"/>
      <c r="AB692" s="186"/>
      <c r="AC692" s="186"/>
      <c r="AD692" s="186"/>
      <c r="AE692" s="186"/>
      <c r="AF692" s="186"/>
      <c r="AG692" s="186"/>
      <c r="AH692" s="186"/>
      <c r="AI692" s="186"/>
      <c r="AJ692" s="187"/>
    </row>
    <row r="693" spans="1:126" ht="13.5" customHeight="1" x14ac:dyDescent="0.2">
      <c r="A693" s="185"/>
      <c r="B693" s="292" t="s">
        <v>869</v>
      </c>
      <c r="C693" s="292"/>
      <c r="D693" s="292"/>
      <c r="E693" s="292"/>
      <c r="F693" s="292"/>
      <c r="G693" s="292"/>
      <c r="H693" s="292"/>
      <c r="I693" s="292"/>
      <c r="J693" s="292"/>
      <c r="K693" s="292"/>
      <c r="L693" s="292"/>
      <c r="M693" s="294" t="s">
        <v>389</v>
      </c>
      <c r="N693" s="294"/>
      <c r="O693" s="294"/>
      <c r="P693" s="294"/>
      <c r="Q693" s="294"/>
      <c r="R693" s="294"/>
      <c r="S693" s="294" t="s">
        <v>388</v>
      </c>
      <c r="T693" s="294"/>
      <c r="U693" s="294"/>
      <c r="V693" s="294"/>
      <c r="W693" s="294"/>
      <c r="X693" s="294"/>
      <c r="Y693" s="294" t="s">
        <v>387</v>
      </c>
      <c r="Z693" s="294"/>
      <c r="AA693" s="294"/>
      <c r="AB693" s="294"/>
      <c r="AC693" s="294"/>
      <c r="AD693" s="294"/>
      <c r="AE693" s="294"/>
      <c r="AF693" s="294" t="s">
        <v>850</v>
      </c>
      <c r="AG693" s="294"/>
      <c r="AH693" s="294"/>
      <c r="AI693" s="294"/>
      <c r="AJ693" s="188"/>
      <c r="AK693" s="182"/>
      <c r="AY693" s="63"/>
      <c r="AZ693" s="63"/>
      <c r="BA693" s="63"/>
      <c r="BB693" s="62"/>
      <c r="BC693" s="62"/>
      <c r="BD693" s="62"/>
      <c r="BE693" s="62"/>
      <c r="BF693" s="62"/>
      <c r="BG693" s="62"/>
      <c r="BH693" s="62"/>
      <c r="BI693" s="62"/>
      <c r="BJ693" s="62"/>
      <c r="BK693" s="62"/>
      <c r="BL693" s="62"/>
      <c r="BM693" s="62"/>
      <c r="BN693" s="62"/>
      <c r="BO693" s="62"/>
      <c r="BP693" s="62"/>
      <c r="BQ693" s="62"/>
      <c r="BR693" s="62"/>
      <c r="BS693" s="62"/>
      <c r="BT693" s="62"/>
      <c r="BU693" s="62"/>
      <c r="BV693" s="62"/>
      <c r="BW693" s="62"/>
      <c r="BX693" s="62"/>
      <c r="BY693" s="62"/>
      <c r="BZ693" s="62"/>
      <c r="CI693" s="63"/>
      <c r="CJ693" s="62"/>
      <c r="CK693" s="62"/>
      <c r="CL693" s="62"/>
      <c r="CM693" s="62"/>
      <c r="CN693" s="62"/>
      <c r="CO693" s="62"/>
      <c r="CP693" s="62"/>
      <c r="CQ693" s="62"/>
      <c r="DJ693" s="63"/>
      <c r="DK693" s="63"/>
      <c r="DL693" s="63"/>
      <c r="DM693" s="62"/>
      <c r="DN693" s="62"/>
      <c r="DO693" s="62"/>
      <c r="DP693" s="62"/>
      <c r="DQ693" s="62"/>
      <c r="DR693" s="62"/>
      <c r="DS693" s="62"/>
      <c r="DT693" s="62"/>
      <c r="DU693" s="62"/>
      <c r="DV693" s="62"/>
    </row>
    <row r="694" spans="1:126" ht="15" thickBot="1" x14ac:dyDescent="0.25">
      <c r="A694" s="185"/>
      <c r="B694" s="293"/>
      <c r="C694" s="293"/>
      <c r="D694" s="293"/>
      <c r="E694" s="293"/>
      <c r="F694" s="293"/>
      <c r="G694" s="293"/>
      <c r="H694" s="293"/>
      <c r="I694" s="293"/>
      <c r="J694" s="293"/>
      <c r="K694" s="293"/>
      <c r="L694" s="293"/>
      <c r="M694" s="295"/>
      <c r="N694" s="295"/>
      <c r="O694" s="295"/>
      <c r="P694" s="295"/>
      <c r="Q694" s="295"/>
      <c r="R694" s="295"/>
      <c r="S694" s="295"/>
      <c r="T694" s="295"/>
      <c r="U694" s="295"/>
      <c r="V694" s="295"/>
      <c r="W694" s="295"/>
      <c r="X694" s="295"/>
      <c r="Y694" s="295"/>
      <c r="Z694" s="295"/>
      <c r="AA694" s="295"/>
      <c r="AB694" s="295"/>
      <c r="AC694" s="295"/>
      <c r="AD694" s="295"/>
      <c r="AE694" s="295"/>
      <c r="AF694" s="295"/>
      <c r="AG694" s="295"/>
      <c r="AH694" s="295"/>
      <c r="AI694" s="295"/>
      <c r="AJ694" s="188"/>
      <c r="AK694" s="182"/>
      <c r="BB694" s="62"/>
      <c r="BC694" s="62"/>
      <c r="BD694" s="62"/>
      <c r="BE694" s="62"/>
      <c r="BF694" s="62"/>
      <c r="BG694" s="62"/>
      <c r="BH694" s="62"/>
      <c r="BI694" s="62"/>
      <c r="BJ694" s="62"/>
      <c r="BK694" s="62"/>
      <c r="BL694" s="62"/>
      <c r="BM694" s="62"/>
      <c r="BN694" s="62"/>
      <c r="BO694" s="62"/>
      <c r="BP694" s="62"/>
      <c r="BQ694" s="62"/>
      <c r="BR694" s="62"/>
      <c r="BS694" s="62"/>
      <c r="BT694" s="62"/>
      <c r="BU694" s="62"/>
      <c r="BV694" s="62"/>
      <c r="BW694" s="62"/>
      <c r="BX694" s="62"/>
      <c r="BY694" s="62"/>
      <c r="BZ694" s="62"/>
      <c r="CJ694" s="62"/>
      <c r="CK694" s="62"/>
      <c r="CL694" s="62"/>
      <c r="CM694" s="62"/>
      <c r="CN694" s="62"/>
      <c r="CO694" s="62"/>
      <c r="CP694" s="62"/>
      <c r="CQ694" s="62"/>
      <c r="DM694" s="62"/>
      <c r="DN694" s="62"/>
      <c r="DO694" s="62"/>
      <c r="DP694" s="62"/>
      <c r="DQ694" s="62"/>
      <c r="DR694" s="62"/>
      <c r="DS694" s="62"/>
      <c r="DT694" s="62"/>
      <c r="DU694" s="62"/>
      <c r="DV694" s="62"/>
    </row>
    <row r="695" spans="1:126" ht="14.25" customHeight="1" x14ac:dyDescent="0.2">
      <c r="A695" s="185"/>
      <c r="B695" s="350" t="s">
        <v>524</v>
      </c>
      <c r="C695" s="351"/>
      <c r="D695" s="351"/>
      <c r="E695" s="351"/>
      <c r="F695" s="351"/>
      <c r="G695" s="351"/>
      <c r="H695" s="351"/>
      <c r="I695" s="351"/>
      <c r="J695" s="351"/>
      <c r="K695" s="351"/>
      <c r="L695" s="351"/>
      <c r="M695" s="352">
        <f>Q721</f>
        <v>0</v>
      </c>
      <c r="N695" s="352"/>
      <c r="O695" s="352"/>
      <c r="P695" s="352"/>
      <c r="Q695" s="352"/>
      <c r="R695" s="352"/>
      <c r="S695" s="352">
        <f>L721</f>
        <v>0</v>
      </c>
      <c r="T695" s="352"/>
      <c r="U695" s="352"/>
      <c r="V695" s="352"/>
      <c r="W695" s="352"/>
      <c r="X695" s="352"/>
      <c r="Y695" s="353">
        <f>V721</f>
        <v>0</v>
      </c>
      <c r="Z695" s="353"/>
      <c r="AA695" s="353"/>
      <c r="AB695" s="353"/>
      <c r="AC695" s="353"/>
      <c r="AD695" s="353"/>
      <c r="AE695" s="353"/>
      <c r="AF695" s="332" t="str">
        <f>IF(Y695="","-",IF(Y695&lt;=100,"OK","N/A"))</f>
        <v>OK</v>
      </c>
      <c r="AG695" s="332"/>
      <c r="AH695" s="332"/>
      <c r="AI695" s="332"/>
      <c r="AJ695" s="187"/>
      <c r="BB695" s="62"/>
      <c r="BC695" s="62"/>
      <c r="BD695" s="62"/>
      <c r="BE695" s="62"/>
      <c r="BF695" s="62"/>
      <c r="BG695" s="62"/>
      <c r="BH695" s="62"/>
      <c r="BI695" s="62"/>
      <c r="BJ695" s="62"/>
      <c r="BK695" s="62"/>
      <c r="BL695" s="62"/>
      <c r="BM695" s="62"/>
      <c r="BN695" s="62"/>
      <c r="BO695" s="62"/>
      <c r="BP695" s="62"/>
      <c r="BQ695" s="62"/>
      <c r="BR695" s="62"/>
      <c r="BS695" s="62"/>
      <c r="BT695" s="62"/>
      <c r="BU695" s="62"/>
      <c r="BV695" s="62"/>
      <c r="BW695" s="62"/>
      <c r="BX695" s="62"/>
      <c r="BY695" s="62"/>
      <c r="BZ695" s="62"/>
      <c r="CJ695" s="62"/>
      <c r="CK695" s="62"/>
      <c r="CL695" s="62"/>
      <c r="CM695" s="62"/>
      <c r="CN695" s="62"/>
      <c r="CO695" s="62"/>
      <c r="CP695" s="62"/>
      <c r="CQ695" s="62"/>
      <c r="DM695" s="62"/>
      <c r="DN695" s="62"/>
      <c r="DO695" s="62"/>
      <c r="DP695" s="62"/>
      <c r="DQ695" s="62"/>
      <c r="DR695" s="62"/>
      <c r="DS695" s="62"/>
      <c r="DT695" s="62"/>
      <c r="DU695" s="62"/>
      <c r="DV695" s="62"/>
    </row>
    <row r="696" spans="1:126" ht="14.25" customHeight="1" x14ac:dyDescent="0.2">
      <c r="A696" s="185"/>
      <c r="B696" s="297" t="s">
        <v>525</v>
      </c>
      <c r="C696" s="298"/>
      <c r="D696" s="298"/>
      <c r="E696" s="298"/>
      <c r="F696" s="298"/>
      <c r="G696" s="298"/>
      <c r="H696" s="298"/>
      <c r="I696" s="298"/>
      <c r="J696" s="298"/>
      <c r="K696" s="298"/>
      <c r="L696" s="298"/>
      <c r="M696" s="302">
        <f>Q780</f>
        <v>0</v>
      </c>
      <c r="N696" s="302"/>
      <c r="O696" s="302"/>
      <c r="P696" s="302"/>
      <c r="Q696" s="302"/>
      <c r="R696" s="302"/>
      <c r="S696" s="302">
        <f>L780</f>
        <v>0</v>
      </c>
      <c r="T696" s="302"/>
      <c r="U696" s="302"/>
      <c r="V696" s="302"/>
      <c r="W696" s="302"/>
      <c r="X696" s="302"/>
      <c r="Y696" s="303">
        <f>V780</f>
        <v>0</v>
      </c>
      <c r="Z696" s="303"/>
      <c r="AA696" s="303"/>
      <c r="AB696" s="303"/>
      <c r="AC696" s="303"/>
      <c r="AD696" s="303"/>
      <c r="AE696" s="303"/>
      <c r="AF696" s="304" t="str">
        <f>IF(Y696="","-",IF(Y696&lt;=100,"OK","N/A"))</f>
        <v>OK</v>
      </c>
      <c r="AG696" s="304"/>
      <c r="AH696" s="304"/>
      <c r="AI696" s="304"/>
      <c r="AJ696" s="187"/>
      <c r="BB696" s="62"/>
      <c r="BC696" s="62"/>
      <c r="BD696" s="62"/>
      <c r="BE696" s="62"/>
      <c r="BF696" s="62"/>
      <c r="BG696" s="62"/>
      <c r="BH696" s="62"/>
      <c r="BI696" s="62"/>
      <c r="BJ696" s="62"/>
      <c r="BK696" s="62"/>
      <c r="BL696" s="62"/>
      <c r="BM696" s="62"/>
      <c r="BN696" s="62"/>
      <c r="BO696" s="62"/>
      <c r="BP696" s="62"/>
      <c r="BQ696" s="62"/>
      <c r="BR696" s="62"/>
      <c r="BS696" s="62"/>
      <c r="BT696" s="62"/>
      <c r="BU696" s="62"/>
      <c r="BV696" s="62"/>
      <c r="BW696" s="62"/>
      <c r="BX696" s="62"/>
      <c r="BY696" s="62"/>
      <c r="BZ696" s="62"/>
      <c r="CJ696" s="62"/>
      <c r="CK696" s="62"/>
      <c r="CL696" s="62"/>
      <c r="CM696" s="62"/>
      <c r="CN696" s="62"/>
      <c r="CO696" s="62"/>
      <c r="CP696" s="62"/>
      <c r="CQ696" s="62"/>
      <c r="DM696" s="62"/>
      <c r="DN696" s="62"/>
      <c r="DO696" s="62"/>
      <c r="DP696" s="62"/>
      <c r="DQ696" s="62"/>
      <c r="DR696" s="62"/>
      <c r="DS696" s="62"/>
      <c r="DT696" s="62"/>
      <c r="DU696" s="62"/>
      <c r="DV696" s="62"/>
    </row>
    <row r="697" spans="1:126" ht="14.25" customHeight="1" x14ac:dyDescent="0.2">
      <c r="A697" s="185"/>
      <c r="B697" s="297" t="s">
        <v>523</v>
      </c>
      <c r="C697" s="298"/>
      <c r="D697" s="298"/>
      <c r="E697" s="298"/>
      <c r="F697" s="298"/>
      <c r="G697" s="298"/>
      <c r="H697" s="298"/>
      <c r="I697" s="298"/>
      <c r="J697" s="298"/>
      <c r="K697" s="298"/>
      <c r="L697" s="298"/>
      <c r="M697" s="302">
        <f>Q802</f>
        <v>0</v>
      </c>
      <c r="N697" s="302"/>
      <c r="O697" s="302"/>
      <c r="P697" s="302"/>
      <c r="Q697" s="302"/>
      <c r="R697" s="302"/>
      <c r="S697" s="302">
        <f>L802</f>
        <v>0</v>
      </c>
      <c r="T697" s="302"/>
      <c r="U697" s="302"/>
      <c r="V697" s="302"/>
      <c r="W697" s="302"/>
      <c r="X697" s="302"/>
      <c r="Y697" s="303">
        <f>V802</f>
        <v>0</v>
      </c>
      <c r="Z697" s="303"/>
      <c r="AA697" s="303"/>
      <c r="AB697" s="303"/>
      <c r="AC697" s="303"/>
      <c r="AD697" s="303"/>
      <c r="AE697" s="303"/>
      <c r="AF697" s="349" t="str">
        <f>IF(Y697="","-",IF(Y697&lt;=100,"OK","N/A"))</f>
        <v>OK</v>
      </c>
      <c r="AG697" s="349"/>
      <c r="AH697" s="349"/>
      <c r="AI697" s="349"/>
      <c r="AJ697" s="187"/>
      <c r="BB697" s="62"/>
      <c r="BC697" s="62"/>
      <c r="BD697" s="62"/>
      <c r="BE697" s="62"/>
      <c r="BF697" s="62"/>
      <c r="BG697" s="62"/>
      <c r="BH697" s="62"/>
      <c r="BI697" s="62"/>
      <c r="BJ697" s="62"/>
      <c r="BK697" s="62"/>
      <c r="BL697" s="62"/>
      <c r="BM697" s="62"/>
      <c r="BN697" s="62"/>
      <c r="BO697" s="62"/>
      <c r="BP697" s="62"/>
      <c r="BQ697" s="62"/>
      <c r="BR697" s="62"/>
      <c r="BS697" s="62"/>
      <c r="BT697" s="62"/>
      <c r="BU697" s="62"/>
      <c r="BV697" s="62"/>
      <c r="BW697" s="62"/>
      <c r="BX697" s="62"/>
      <c r="BY697" s="62"/>
      <c r="BZ697" s="62"/>
      <c r="CJ697" s="62"/>
      <c r="CK697" s="62"/>
      <c r="CL697" s="62"/>
      <c r="CM697" s="62"/>
      <c r="CN697" s="62"/>
      <c r="CO697" s="62"/>
      <c r="CP697" s="62"/>
      <c r="CQ697" s="62"/>
      <c r="DM697" s="62"/>
      <c r="DN697" s="62"/>
      <c r="DO697" s="62"/>
      <c r="DP697" s="62"/>
      <c r="DQ697" s="62"/>
      <c r="DR697" s="62"/>
      <c r="DS697" s="62"/>
      <c r="DT697" s="62"/>
      <c r="DU697" s="62"/>
      <c r="DV697" s="62"/>
    </row>
    <row r="698" spans="1:126" ht="14.25" customHeight="1" x14ac:dyDescent="0.2">
      <c r="A698" s="185"/>
      <c r="B698" s="297" t="s">
        <v>522</v>
      </c>
      <c r="C698" s="298"/>
      <c r="D698" s="298"/>
      <c r="E698" s="298"/>
      <c r="F698" s="298"/>
      <c r="G698" s="298"/>
      <c r="H698" s="298"/>
      <c r="I698" s="298"/>
      <c r="J698" s="298"/>
      <c r="K698" s="298"/>
      <c r="L698" s="298"/>
      <c r="M698" s="302">
        <f>Q835</f>
        <v>0</v>
      </c>
      <c r="N698" s="302"/>
      <c r="O698" s="302"/>
      <c r="P698" s="302"/>
      <c r="Q698" s="302"/>
      <c r="R698" s="302"/>
      <c r="S698" s="302">
        <f>L835</f>
        <v>0</v>
      </c>
      <c r="T698" s="302"/>
      <c r="U698" s="302"/>
      <c r="V698" s="302"/>
      <c r="W698" s="302"/>
      <c r="X698" s="302"/>
      <c r="Y698" s="303">
        <f>V835</f>
        <v>0</v>
      </c>
      <c r="Z698" s="303"/>
      <c r="AA698" s="303"/>
      <c r="AB698" s="303"/>
      <c r="AC698" s="303"/>
      <c r="AD698" s="303"/>
      <c r="AE698" s="303"/>
      <c r="AF698" s="304" t="str">
        <f>IF(Y698="","-",IF(Y698&lt;=100,"OK","N/A"))</f>
        <v>OK</v>
      </c>
      <c r="AG698" s="304"/>
      <c r="AH698" s="304"/>
      <c r="AI698" s="304"/>
      <c r="AJ698" s="187"/>
      <c r="BB698" s="62"/>
      <c r="BC698" s="62"/>
      <c r="BD698" s="62"/>
      <c r="BE698" s="62"/>
      <c r="BF698" s="62"/>
      <c r="BG698" s="62"/>
      <c r="BH698" s="62"/>
      <c r="BI698" s="62"/>
      <c r="BJ698" s="62"/>
      <c r="BK698" s="62"/>
      <c r="BL698" s="62"/>
      <c r="BM698" s="62"/>
      <c r="BN698" s="62"/>
      <c r="BO698" s="62"/>
      <c r="BP698" s="62"/>
      <c r="BQ698" s="62"/>
      <c r="BR698" s="62"/>
      <c r="BS698" s="62"/>
      <c r="BT698" s="62"/>
      <c r="BU698" s="62"/>
      <c r="BV698" s="62"/>
      <c r="BW698" s="62"/>
      <c r="BX698" s="62"/>
      <c r="BY698" s="62"/>
      <c r="BZ698" s="62"/>
      <c r="CJ698" s="62"/>
      <c r="CK698" s="62"/>
      <c r="CL698" s="62"/>
      <c r="CM698" s="62"/>
      <c r="CN698" s="62"/>
      <c r="CO698" s="62"/>
      <c r="CP698" s="62"/>
      <c r="CQ698" s="62"/>
      <c r="DM698" s="62"/>
      <c r="DN698" s="62"/>
      <c r="DO698" s="62"/>
      <c r="DP698" s="62"/>
      <c r="DQ698" s="62"/>
      <c r="DR698" s="62"/>
      <c r="DS698" s="62"/>
      <c r="DT698" s="62"/>
      <c r="DU698" s="62"/>
      <c r="DV698" s="62"/>
    </row>
    <row r="699" spans="1:126" ht="14.25" customHeight="1" thickBot="1" x14ac:dyDescent="0.25">
      <c r="A699" s="185"/>
      <c r="B699" s="306" t="s">
        <v>526</v>
      </c>
      <c r="C699" s="307"/>
      <c r="D699" s="307"/>
      <c r="E699" s="307"/>
      <c r="F699" s="307"/>
      <c r="G699" s="307"/>
      <c r="H699" s="307"/>
      <c r="I699" s="307"/>
      <c r="J699" s="307"/>
      <c r="K699" s="307"/>
      <c r="L699" s="307"/>
      <c r="M699" s="308">
        <f>Q857</f>
        <v>0</v>
      </c>
      <c r="N699" s="308"/>
      <c r="O699" s="308"/>
      <c r="P699" s="308"/>
      <c r="Q699" s="308"/>
      <c r="R699" s="308"/>
      <c r="S699" s="308">
        <f>L857</f>
        <v>0</v>
      </c>
      <c r="T699" s="308"/>
      <c r="U699" s="308"/>
      <c r="V699" s="308"/>
      <c r="W699" s="308"/>
      <c r="X699" s="308"/>
      <c r="Y699" s="309">
        <f>V857</f>
        <v>0</v>
      </c>
      <c r="Z699" s="309"/>
      <c r="AA699" s="309"/>
      <c r="AB699" s="309"/>
      <c r="AC699" s="309"/>
      <c r="AD699" s="309"/>
      <c r="AE699" s="309"/>
      <c r="AF699" s="310" t="str">
        <f>IF(Y699="","-",IF(Y699&lt;=100,"OK","N/A"))</f>
        <v>OK</v>
      </c>
      <c r="AG699" s="310"/>
      <c r="AH699" s="310"/>
      <c r="AI699" s="310"/>
      <c r="AJ699" s="187"/>
      <c r="BB699" s="62"/>
      <c r="BC699" s="62"/>
      <c r="BD699" s="62"/>
      <c r="BE699" s="62"/>
      <c r="BF699" s="62"/>
      <c r="BG699" s="62"/>
      <c r="BH699" s="62"/>
      <c r="BI699" s="62"/>
      <c r="BJ699" s="62"/>
      <c r="BK699" s="62"/>
      <c r="BL699" s="62"/>
      <c r="BM699" s="62"/>
      <c r="BN699" s="62"/>
      <c r="BO699" s="62"/>
      <c r="BP699" s="62"/>
      <c r="BQ699" s="62"/>
      <c r="BR699" s="62"/>
      <c r="BS699" s="62"/>
      <c r="BT699" s="62"/>
      <c r="BU699" s="62"/>
      <c r="BV699" s="62"/>
      <c r="BW699" s="62"/>
      <c r="BX699" s="62"/>
      <c r="BY699" s="62"/>
      <c r="BZ699" s="62"/>
      <c r="CJ699" s="62"/>
      <c r="CK699" s="62"/>
      <c r="CL699" s="62"/>
      <c r="CM699" s="62"/>
      <c r="CN699" s="62"/>
      <c r="CO699" s="62"/>
      <c r="CP699" s="62"/>
      <c r="CQ699" s="62"/>
      <c r="DM699" s="62"/>
      <c r="DN699" s="62"/>
      <c r="DO699" s="62"/>
      <c r="DP699" s="62"/>
      <c r="DQ699" s="62"/>
      <c r="DR699" s="62"/>
      <c r="DS699" s="62"/>
      <c r="DT699" s="62"/>
      <c r="DU699" s="62"/>
      <c r="DV699" s="62"/>
    </row>
    <row r="700" spans="1:126" x14ac:dyDescent="0.2">
      <c r="A700" s="185"/>
      <c r="B700" s="185"/>
      <c r="C700" s="185"/>
      <c r="D700" s="189"/>
      <c r="E700" s="190"/>
      <c r="F700" s="190"/>
      <c r="G700" s="190"/>
      <c r="H700" s="190"/>
      <c r="I700" s="190"/>
      <c r="J700" s="190"/>
      <c r="K700" s="190"/>
      <c r="L700" s="190"/>
      <c r="M700" s="190"/>
      <c r="N700" s="190"/>
      <c r="O700" s="190"/>
      <c r="P700" s="190"/>
      <c r="Q700" s="190"/>
      <c r="R700" s="190"/>
      <c r="S700" s="190"/>
      <c r="T700" s="190"/>
      <c r="U700" s="190"/>
      <c r="V700" s="190"/>
      <c r="W700" s="190"/>
      <c r="X700" s="190"/>
      <c r="Y700" s="190"/>
      <c r="Z700" s="190"/>
      <c r="AA700" s="190"/>
      <c r="AB700" s="190"/>
      <c r="AC700" s="190"/>
      <c r="AD700" s="190"/>
      <c r="AE700" s="190"/>
      <c r="AF700" s="190"/>
      <c r="AG700" s="190"/>
      <c r="AH700" s="190"/>
      <c r="AI700" s="190"/>
      <c r="AJ700" s="188"/>
      <c r="AK700" s="182"/>
      <c r="BB700" s="62"/>
      <c r="BC700" s="62"/>
      <c r="BD700" s="62"/>
      <c r="BE700" s="62"/>
      <c r="BF700" s="62"/>
      <c r="BG700" s="62"/>
      <c r="BH700" s="62"/>
      <c r="BI700" s="62"/>
      <c r="BJ700" s="62"/>
      <c r="BK700" s="62"/>
      <c r="BL700" s="62"/>
      <c r="BM700" s="62"/>
      <c r="BN700" s="62"/>
      <c r="BO700" s="62"/>
      <c r="BP700" s="62"/>
      <c r="BQ700" s="62"/>
      <c r="BR700" s="62"/>
      <c r="BS700" s="62"/>
      <c r="BT700" s="62"/>
      <c r="BU700" s="62"/>
      <c r="BV700" s="62"/>
      <c r="BW700" s="62"/>
      <c r="BX700" s="62"/>
      <c r="BY700" s="62"/>
      <c r="BZ700" s="62"/>
      <c r="CJ700" s="62"/>
      <c r="CK700" s="62"/>
      <c r="CL700" s="62"/>
      <c r="CM700" s="62"/>
      <c r="CN700" s="62"/>
      <c r="CO700" s="62"/>
      <c r="CP700" s="62"/>
      <c r="CQ700" s="62"/>
      <c r="DM700" s="62"/>
      <c r="DN700" s="62"/>
      <c r="DO700" s="62"/>
      <c r="DP700" s="62"/>
      <c r="DQ700" s="62"/>
      <c r="DR700" s="62"/>
      <c r="DS700" s="62"/>
      <c r="DT700" s="62"/>
      <c r="DU700" s="62"/>
      <c r="DV700" s="62"/>
    </row>
    <row r="701" spans="1:126" x14ac:dyDescent="0.2">
      <c r="A701" s="185"/>
      <c r="B701" s="185"/>
      <c r="C701" s="185"/>
      <c r="D701" s="189"/>
      <c r="E701" s="190"/>
      <c r="F701" s="190"/>
      <c r="G701" s="190"/>
      <c r="H701" s="190"/>
      <c r="I701" s="190"/>
      <c r="J701" s="190"/>
      <c r="K701" s="190"/>
      <c r="L701" s="190"/>
      <c r="M701" s="190"/>
      <c r="N701" s="190"/>
      <c r="O701" s="190"/>
      <c r="P701" s="190"/>
      <c r="Q701" s="190"/>
      <c r="R701" s="190"/>
      <c r="S701" s="190"/>
      <c r="T701" s="190"/>
      <c r="U701" s="190"/>
      <c r="V701" s="190"/>
      <c r="W701" s="190"/>
      <c r="X701" s="190"/>
      <c r="Y701" s="190"/>
      <c r="Z701" s="190"/>
      <c r="AA701" s="190"/>
      <c r="AB701" s="190"/>
      <c r="AC701" s="190"/>
      <c r="AD701" s="190"/>
      <c r="AE701" s="190"/>
      <c r="AF701" s="190"/>
      <c r="AG701" s="190"/>
      <c r="AH701" s="190"/>
      <c r="AI701" s="190"/>
      <c r="AJ701" s="188"/>
      <c r="AK701" s="182"/>
      <c r="BB701" s="62"/>
      <c r="BC701" s="62"/>
      <c r="BD701" s="62"/>
      <c r="BE701" s="62"/>
      <c r="BF701" s="62"/>
      <c r="BG701" s="62"/>
      <c r="BH701" s="62"/>
      <c r="BI701" s="62"/>
      <c r="BJ701" s="62"/>
      <c r="BK701" s="62"/>
      <c r="BL701" s="62"/>
      <c r="BM701" s="62"/>
      <c r="BN701" s="62"/>
      <c r="BO701" s="62"/>
      <c r="BP701" s="62"/>
      <c r="BQ701" s="62"/>
      <c r="BR701" s="62"/>
      <c r="BS701" s="62"/>
      <c r="BT701" s="62"/>
      <c r="BU701" s="62"/>
      <c r="BV701" s="62"/>
      <c r="BW701" s="62"/>
      <c r="BX701" s="62"/>
      <c r="BY701" s="62"/>
      <c r="BZ701" s="62"/>
      <c r="CJ701" s="62"/>
      <c r="CK701" s="62"/>
      <c r="CL701" s="62"/>
      <c r="CM701" s="62"/>
      <c r="CN701" s="62"/>
      <c r="CO701" s="62"/>
      <c r="CP701" s="62"/>
      <c r="CQ701" s="62"/>
      <c r="DM701" s="62"/>
      <c r="DN701" s="62"/>
      <c r="DO701" s="62"/>
      <c r="DP701" s="62"/>
      <c r="DQ701" s="62"/>
      <c r="DR701" s="62"/>
      <c r="DS701" s="62"/>
      <c r="DT701" s="62"/>
      <c r="DU701" s="62"/>
      <c r="DV701" s="62"/>
    </row>
    <row r="702" spans="1:126" ht="13.5" customHeight="1" x14ac:dyDescent="0.2">
      <c r="A702" s="185"/>
      <c r="B702" s="185"/>
      <c r="C702" s="336" t="s">
        <v>606</v>
      </c>
      <c r="D702" s="337"/>
      <c r="E702" s="337"/>
      <c r="F702" s="337"/>
      <c r="G702" s="337"/>
      <c r="H702" s="337"/>
      <c r="I702" s="337"/>
      <c r="J702" s="337"/>
      <c r="K702" s="337"/>
      <c r="L702" s="337"/>
      <c r="M702" s="337"/>
      <c r="N702" s="337"/>
      <c r="O702" s="337"/>
      <c r="P702" s="337"/>
      <c r="Q702" s="337"/>
      <c r="R702" s="337"/>
      <c r="S702" s="337"/>
      <c r="T702" s="337"/>
      <c r="U702" s="337"/>
      <c r="V702" s="337"/>
      <c r="W702" s="337"/>
      <c r="X702" s="337"/>
      <c r="Y702" s="337"/>
      <c r="Z702" s="337"/>
      <c r="AA702" s="337"/>
      <c r="AB702" s="337"/>
      <c r="AC702" s="337"/>
      <c r="AD702" s="337"/>
      <c r="AE702" s="337"/>
      <c r="AF702" s="337"/>
      <c r="AG702" s="337"/>
      <c r="AH702" s="337"/>
      <c r="AI702" s="337"/>
      <c r="AJ702" s="337"/>
      <c r="AK702" s="175"/>
    </row>
    <row r="703" spans="1:126" x14ac:dyDescent="0.2">
      <c r="A703" s="191"/>
      <c r="B703" s="185"/>
      <c r="C703" s="185"/>
      <c r="D703" s="185"/>
      <c r="E703" s="186"/>
      <c r="F703" s="185"/>
      <c r="G703" s="185"/>
      <c r="H703" s="185"/>
      <c r="I703" s="185"/>
      <c r="J703" s="185"/>
      <c r="K703" s="185"/>
      <c r="L703" s="185"/>
      <c r="M703" s="185"/>
      <c r="N703" s="185"/>
      <c r="O703" s="185"/>
      <c r="P703" s="185"/>
      <c r="Q703" s="185"/>
      <c r="R703" s="185"/>
      <c r="S703" s="185"/>
      <c r="T703" s="185"/>
      <c r="U703" s="185"/>
      <c r="V703" s="185"/>
      <c r="W703" s="185"/>
      <c r="X703" s="185"/>
      <c r="Y703" s="185"/>
      <c r="Z703" s="185"/>
      <c r="AA703" s="186"/>
      <c r="AB703" s="186"/>
      <c r="AC703" s="186"/>
      <c r="AD703" s="186"/>
      <c r="AE703" s="186"/>
      <c r="AF703" s="186"/>
      <c r="AG703" s="186"/>
      <c r="AH703" s="186"/>
      <c r="AI703" s="186"/>
      <c r="AJ703" s="187"/>
    </row>
    <row r="704" spans="1:126" x14ac:dyDescent="0.2">
      <c r="A704" s="191"/>
      <c r="B704" s="185"/>
      <c r="C704" s="311" t="s">
        <v>463</v>
      </c>
      <c r="D704" s="311"/>
      <c r="E704" s="311"/>
      <c r="F704" s="311"/>
      <c r="G704" s="311"/>
      <c r="H704" s="311"/>
      <c r="I704" s="311"/>
      <c r="J704" s="311"/>
      <c r="K704" s="311"/>
      <c r="L704" s="311"/>
      <c r="M704" s="311"/>
      <c r="N704" s="311"/>
      <c r="O704" s="311"/>
      <c r="P704" s="297" t="s">
        <v>464</v>
      </c>
      <c r="Q704" s="297"/>
      <c r="R704" s="297"/>
      <c r="S704" s="297"/>
      <c r="T704" s="297"/>
      <c r="U704" s="297"/>
      <c r="V704" s="297"/>
      <c r="W704" s="297"/>
      <c r="X704" s="297"/>
      <c r="Y704" s="297"/>
      <c r="Z704" s="297"/>
      <c r="AA704" s="297"/>
      <c r="AB704" s="297"/>
      <c r="AC704" s="297"/>
      <c r="AD704" s="297"/>
      <c r="AE704" s="297"/>
      <c r="AF704" s="297"/>
      <c r="AG704" s="297"/>
      <c r="AH704" s="297"/>
      <c r="AI704" s="297"/>
      <c r="AJ704" s="187"/>
    </row>
    <row r="705" spans="1:37" x14ac:dyDescent="0.2">
      <c r="A705" s="191"/>
      <c r="B705" s="185"/>
      <c r="C705" s="311" t="s">
        <v>465</v>
      </c>
      <c r="D705" s="311"/>
      <c r="E705" s="311"/>
      <c r="F705" s="311"/>
      <c r="G705" s="311"/>
      <c r="H705" s="311"/>
      <c r="I705" s="311"/>
      <c r="J705" s="311"/>
      <c r="K705" s="311"/>
      <c r="L705" s="311"/>
      <c r="M705" s="311"/>
      <c r="N705" s="311"/>
      <c r="O705" s="311"/>
      <c r="P705" s="297" t="s">
        <v>466</v>
      </c>
      <c r="Q705" s="297"/>
      <c r="R705" s="297"/>
      <c r="S705" s="297"/>
      <c r="T705" s="297"/>
      <c r="U705" s="297"/>
      <c r="V705" s="297"/>
      <c r="W705" s="297"/>
      <c r="X705" s="297"/>
      <c r="Y705" s="297"/>
      <c r="Z705" s="297"/>
      <c r="AA705" s="297"/>
      <c r="AB705" s="297"/>
      <c r="AC705" s="297"/>
      <c r="AD705" s="297"/>
      <c r="AE705" s="297"/>
      <c r="AF705" s="297"/>
      <c r="AG705" s="297"/>
      <c r="AH705" s="297"/>
      <c r="AI705" s="297"/>
      <c r="AJ705" s="187"/>
    </row>
    <row r="706" spans="1:37" ht="12.75" customHeight="1" x14ac:dyDescent="0.2">
      <c r="A706" s="191"/>
      <c r="B706" s="185"/>
      <c r="C706" s="185"/>
      <c r="D706" s="185"/>
      <c r="E706" s="186"/>
      <c r="F706" s="185"/>
      <c r="G706" s="185"/>
      <c r="H706" s="185"/>
      <c r="I706" s="185"/>
      <c r="J706" s="185"/>
      <c r="K706" s="185"/>
      <c r="L706" s="185"/>
      <c r="M706" s="185"/>
      <c r="N706" s="185"/>
      <c r="O706" s="185"/>
      <c r="P706" s="185"/>
      <c r="Q706" s="185"/>
      <c r="R706" s="185"/>
      <c r="S706" s="185"/>
      <c r="T706" s="185"/>
      <c r="U706" s="185"/>
      <c r="V706" s="185"/>
      <c r="W706" s="185"/>
      <c r="X706" s="185"/>
      <c r="Y706" s="185"/>
      <c r="Z706" s="185"/>
      <c r="AA706" s="186"/>
      <c r="AB706" s="186"/>
      <c r="AC706" s="186"/>
      <c r="AD706" s="186"/>
      <c r="AE706" s="186"/>
      <c r="AF706" s="186"/>
      <c r="AG706" s="186"/>
      <c r="AH706" s="186"/>
      <c r="AI706" s="186"/>
      <c r="AJ706" s="187"/>
    </row>
    <row r="707" spans="1:37" ht="13.5" customHeight="1" x14ac:dyDescent="0.2">
      <c r="A707" s="185"/>
      <c r="B707" s="185"/>
      <c r="C707" s="185"/>
      <c r="D707" s="290" t="s">
        <v>384</v>
      </c>
      <c r="E707" s="290"/>
      <c r="F707" s="290"/>
      <c r="G707" s="290"/>
      <c r="H707" s="290"/>
      <c r="I707" s="290"/>
      <c r="J707" s="290"/>
      <c r="K707" s="290"/>
      <c r="L707" s="290"/>
      <c r="M707" s="290"/>
      <c r="N707" s="290"/>
      <c r="O707" s="290"/>
      <c r="P707" s="290"/>
      <c r="Q707" s="290"/>
      <c r="R707" s="290"/>
      <c r="S707" s="290"/>
      <c r="T707" s="290"/>
      <c r="U707" s="290"/>
      <c r="V707" s="290"/>
      <c r="W707" s="290"/>
      <c r="X707" s="290"/>
      <c r="Y707" s="290"/>
      <c r="Z707" s="290"/>
      <c r="AA707" s="290"/>
      <c r="AB707" s="290"/>
      <c r="AC707" s="290"/>
      <c r="AD707" s="290"/>
      <c r="AE707" s="290"/>
      <c r="AF707" s="290"/>
      <c r="AG707" s="290"/>
      <c r="AH707" s="290"/>
      <c r="AI707" s="290"/>
      <c r="AJ707" s="290"/>
      <c r="AK707" s="174"/>
    </row>
    <row r="708" spans="1:37" x14ac:dyDescent="0.2">
      <c r="A708" s="185"/>
      <c r="B708" s="185"/>
      <c r="C708" s="185"/>
      <c r="D708" s="185"/>
      <c r="E708" s="185"/>
      <c r="F708" s="185"/>
      <c r="G708" s="185"/>
      <c r="H708" s="185"/>
      <c r="I708" s="185"/>
      <c r="J708" s="185"/>
      <c r="K708" s="185"/>
      <c r="L708" s="185"/>
      <c r="M708" s="185"/>
      <c r="N708" s="185"/>
      <c r="O708" s="185"/>
      <c r="P708" s="185"/>
      <c r="Q708" s="185"/>
      <c r="R708" s="185"/>
      <c r="S708" s="185"/>
      <c r="T708" s="185"/>
      <c r="U708" s="185"/>
      <c r="V708" s="185"/>
      <c r="W708" s="185"/>
      <c r="X708" s="185"/>
      <c r="Y708" s="185"/>
      <c r="Z708" s="185"/>
      <c r="AA708" s="186"/>
      <c r="AB708" s="186"/>
      <c r="AC708" s="186"/>
      <c r="AD708" s="186"/>
      <c r="AE708" s="186"/>
      <c r="AF708" s="186"/>
      <c r="AG708" s="186"/>
      <c r="AH708" s="186"/>
      <c r="AI708" s="186"/>
      <c r="AJ708" s="187"/>
    </row>
    <row r="709" spans="1:37" x14ac:dyDescent="0.2">
      <c r="A709" s="185"/>
      <c r="B709" s="291">
        <v>1</v>
      </c>
      <c r="C709" s="291"/>
      <c r="D709" s="291"/>
      <c r="E709" s="291"/>
      <c r="F709" s="291"/>
      <c r="G709" s="291">
        <v>2</v>
      </c>
      <c r="H709" s="291"/>
      <c r="I709" s="291" t="s">
        <v>379</v>
      </c>
      <c r="J709" s="291"/>
      <c r="K709" s="291"/>
      <c r="L709" s="291">
        <v>3</v>
      </c>
      <c r="M709" s="291"/>
      <c r="N709" s="291"/>
      <c r="O709" s="291"/>
      <c r="P709" s="291"/>
      <c r="Q709" s="291">
        <v>4</v>
      </c>
      <c r="R709" s="291" t="s">
        <v>380</v>
      </c>
      <c r="S709" s="291"/>
      <c r="T709" s="291"/>
      <c r="U709" s="291"/>
      <c r="V709" s="291">
        <v>5</v>
      </c>
      <c r="W709" s="291"/>
      <c r="X709" s="291"/>
      <c r="Y709" s="291"/>
      <c r="Z709" s="291"/>
      <c r="AA709" s="291">
        <v>6</v>
      </c>
      <c r="AB709" s="291"/>
      <c r="AC709" s="291"/>
      <c r="AD709" s="291"/>
      <c r="AE709" s="291"/>
      <c r="AF709" s="291">
        <v>7</v>
      </c>
      <c r="AG709" s="291"/>
      <c r="AH709" s="291"/>
      <c r="AI709" s="291"/>
      <c r="AJ709" s="188"/>
      <c r="AK709" s="182"/>
    </row>
    <row r="710" spans="1:37" x14ac:dyDescent="0.2">
      <c r="A710" s="185"/>
      <c r="B710" s="289"/>
      <c r="C710" s="289"/>
      <c r="D710" s="289"/>
      <c r="E710" s="289"/>
      <c r="F710" s="289"/>
      <c r="G710" s="289"/>
      <c r="H710" s="289"/>
      <c r="I710" s="289"/>
      <c r="J710" s="289"/>
      <c r="K710" s="289"/>
      <c r="L710" s="289"/>
      <c r="M710" s="289"/>
      <c r="N710" s="289"/>
      <c r="O710" s="289"/>
      <c r="P710" s="289"/>
      <c r="Q710" s="289"/>
      <c r="R710" s="289"/>
      <c r="S710" s="289"/>
      <c r="T710" s="289"/>
      <c r="U710" s="289"/>
      <c r="V710" s="289"/>
      <c r="W710" s="289"/>
      <c r="X710" s="289"/>
      <c r="Y710" s="289"/>
      <c r="Z710" s="289"/>
      <c r="AA710" s="289"/>
      <c r="AB710" s="289"/>
      <c r="AC710" s="289"/>
      <c r="AD710" s="289"/>
      <c r="AE710" s="289"/>
      <c r="AF710" s="289"/>
      <c r="AG710" s="289"/>
      <c r="AH710" s="289"/>
      <c r="AI710" s="289"/>
      <c r="AJ710" s="187"/>
    </row>
    <row r="711" spans="1:37" x14ac:dyDescent="0.2">
      <c r="A711" s="185"/>
      <c r="B711" s="185"/>
      <c r="C711" s="185"/>
      <c r="D711" s="185"/>
      <c r="E711" s="185"/>
      <c r="F711" s="185"/>
      <c r="G711" s="185"/>
      <c r="H711" s="185"/>
      <c r="I711" s="185"/>
      <c r="J711" s="185"/>
      <c r="K711" s="185"/>
      <c r="L711" s="185"/>
      <c r="M711" s="185"/>
      <c r="N711" s="185"/>
      <c r="O711" s="185"/>
      <c r="P711" s="185"/>
      <c r="Q711" s="185"/>
      <c r="R711" s="185"/>
      <c r="S711" s="185"/>
      <c r="T711" s="185"/>
      <c r="U711" s="185"/>
      <c r="V711" s="185"/>
      <c r="W711" s="185"/>
      <c r="X711" s="185"/>
      <c r="Y711" s="185"/>
      <c r="Z711" s="185"/>
      <c r="AA711" s="186"/>
      <c r="AB711" s="186"/>
      <c r="AC711" s="186"/>
      <c r="AD711" s="186"/>
      <c r="AE711" s="186"/>
      <c r="AF711" s="186"/>
      <c r="AG711" s="186"/>
      <c r="AH711" s="186"/>
      <c r="AI711" s="186"/>
      <c r="AJ711" s="187"/>
    </row>
    <row r="712" spans="1:37" x14ac:dyDescent="0.2">
      <c r="A712" s="185"/>
      <c r="B712" s="185"/>
      <c r="C712" s="185"/>
      <c r="D712" s="290" t="s">
        <v>385</v>
      </c>
      <c r="E712" s="290"/>
      <c r="F712" s="290"/>
      <c r="G712" s="290"/>
      <c r="H712" s="290"/>
      <c r="I712" s="290"/>
      <c r="J712" s="290"/>
      <c r="K712" s="290"/>
      <c r="L712" s="290"/>
      <c r="M712" s="290"/>
      <c r="N712" s="290"/>
      <c r="O712" s="290"/>
      <c r="P712" s="290"/>
      <c r="Q712" s="290"/>
      <c r="R712" s="290"/>
      <c r="S712" s="290"/>
      <c r="T712" s="290"/>
      <c r="U712" s="290"/>
      <c r="V712" s="290"/>
      <c r="W712" s="290"/>
      <c r="X712" s="290"/>
      <c r="Y712" s="290"/>
      <c r="Z712" s="290"/>
      <c r="AA712" s="290"/>
      <c r="AB712" s="290"/>
      <c r="AC712" s="290"/>
      <c r="AD712" s="290"/>
      <c r="AE712" s="290"/>
      <c r="AF712" s="290"/>
      <c r="AG712" s="290"/>
      <c r="AH712" s="290"/>
      <c r="AI712" s="290"/>
      <c r="AJ712" s="290"/>
      <c r="AK712" s="174"/>
    </row>
    <row r="713" spans="1:37" x14ac:dyDescent="0.2">
      <c r="A713" s="185"/>
      <c r="B713" s="185"/>
      <c r="C713" s="185"/>
      <c r="D713" s="185"/>
      <c r="E713" s="185"/>
      <c r="F713" s="185"/>
      <c r="G713" s="185"/>
      <c r="H713" s="185"/>
      <c r="I713" s="185"/>
      <c r="J713" s="185"/>
      <c r="K713" s="185"/>
      <c r="L713" s="185"/>
      <c r="M713" s="185"/>
      <c r="N713" s="185"/>
      <c r="O713" s="185"/>
      <c r="P713" s="185"/>
      <c r="Q713" s="185"/>
      <c r="R713" s="185"/>
      <c r="S713" s="185"/>
      <c r="T713" s="185"/>
      <c r="U713" s="185"/>
      <c r="V713" s="185"/>
      <c r="W713" s="185"/>
      <c r="X713" s="185"/>
      <c r="Y713" s="185"/>
      <c r="Z713" s="185"/>
      <c r="AA713" s="186"/>
      <c r="AB713" s="186"/>
      <c r="AC713" s="186"/>
      <c r="AD713" s="186"/>
      <c r="AE713" s="186"/>
      <c r="AF713" s="186"/>
      <c r="AG713" s="186"/>
      <c r="AH713" s="186"/>
      <c r="AI713" s="186"/>
      <c r="AJ713" s="187"/>
    </row>
    <row r="714" spans="1:37" ht="12.75" customHeight="1" x14ac:dyDescent="0.2">
      <c r="A714" s="185"/>
      <c r="B714" s="291">
        <v>1</v>
      </c>
      <c r="C714" s="291"/>
      <c r="D714" s="291"/>
      <c r="E714" s="291"/>
      <c r="F714" s="291"/>
      <c r="G714" s="291">
        <v>2</v>
      </c>
      <c r="H714" s="291"/>
      <c r="I714" s="291" t="s">
        <v>379</v>
      </c>
      <c r="J714" s="291"/>
      <c r="K714" s="291"/>
      <c r="L714" s="291">
        <v>3</v>
      </c>
      <c r="M714" s="291"/>
      <c r="N714" s="291"/>
      <c r="O714" s="291"/>
      <c r="P714" s="291"/>
      <c r="Q714" s="291">
        <v>4</v>
      </c>
      <c r="R714" s="291" t="s">
        <v>380</v>
      </c>
      <c r="S714" s="291"/>
      <c r="T714" s="291"/>
      <c r="U714" s="291"/>
      <c r="V714" s="291">
        <v>5</v>
      </c>
      <c r="W714" s="291"/>
      <c r="X714" s="291"/>
      <c r="Y714" s="291"/>
      <c r="Z714" s="291"/>
      <c r="AA714" s="291">
        <v>6</v>
      </c>
      <c r="AB714" s="291"/>
      <c r="AC714" s="291"/>
      <c r="AD714" s="291"/>
      <c r="AE714" s="291"/>
      <c r="AF714" s="291">
        <v>7</v>
      </c>
      <c r="AG714" s="291"/>
      <c r="AH714" s="291"/>
      <c r="AI714" s="291"/>
      <c r="AJ714" s="188"/>
      <c r="AK714" s="182"/>
    </row>
    <row r="715" spans="1:37" ht="13.5" customHeight="1" x14ac:dyDescent="0.2">
      <c r="A715" s="185"/>
      <c r="B715" s="289"/>
      <c r="C715" s="289"/>
      <c r="D715" s="289"/>
      <c r="E715" s="289"/>
      <c r="F715" s="289"/>
      <c r="G715" s="289"/>
      <c r="H715" s="289"/>
      <c r="I715" s="289"/>
      <c r="J715" s="289"/>
      <c r="K715" s="289"/>
      <c r="L715" s="289"/>
      <c r="M715" s="289"/>
      <c r="N715" s="289"/>
      <c r="O715" s="289"/>
      <c r="P715" s="289"/>
      <c r="Q715" s="289"/>
      <c r="R715" s="289"/>
      <c r="S715" s="289"/>
      <c r="T715" s="289"/>
      <c r="U715" s="289"/>
      <c r="V715" s="289"/>
      <c r="W715" s="289"/>
      <c r="X715" s="289"/>
      <c r="Y715" s="289"/>
      <c r="Z715" s="289"/>
      <c r="AA715" s="289"/>
      <c r="AB715" s="289"/>
      <c r="AC715" s="289"/>
      <c r="AD715" s="289"/>
      <c r="AE715" s="289"/>
      <c r="AF715" s="289"/>
      <c r="AG715" s="289"/>
      <c r="AH715" s="289"/>
      <c r="AI715" s="289"/>
      <c r="AJ715" s="187"/>
    </row>
    <row r="716" spans="1:37" x14ac:dyDescent="0.2">
      <c r="A716" s="185"/>
      <c r="B716" s="185"/>
      <c r="C716" s="185"/>
      <c r="D716" s="185"/>
      <c r="E716" s="185"/>
      <c r="F716" s="185"/>
      <c r="G716" s="185"/>
      <c r="H716" s="185"/>
      <c r="I716" s="185"/>
      <c r="J716" s="185"/>
      <c r="K716" s="185"/>
      <c r="L716" s="185"/>
      <c r="M716" s="185"/>
      <c r="N716" s="185"/>
      <c r="O716" s="185"/>
      <c r="P716" s="185"/>
      <c r="Q716" s="185"/>
      <c r="R716" s="185"/>
      <c r="S716" s="185"/>
      <c r="T716" s="185"/>
      <c r="U716" s="185"/>
      <c r="V716" s="185"/>
      <c r="W716" s="185"/>
      <c r="X716" s="185"/>
      <c r="Y716" s="185"/>
      <c r="Z716" s="185"/>
      <c r="AA716" s="186"/>
      <c r="AB716" s="186"/>
      <c r="AC716" s="186"/>
      <c r="AD716" s="186"/>
      <c r="AE716" s="186"/>
      <c r="AF716" s="186"/>
      <c r="AG716" s="186"/>
      <c r="AH716" s="186"/>
      <c r="AI716" s="186"/>
      <c r="AJ716" s="187"/>
    </row>
    <row r="717" spans="1:37" x14ac:dyDescent="0.2">
      <c r="A717" s="185"/>
      <c r="B717" s="185"/>
      <c r="C717" s="185"/>
      <c r="D717" s="290" t="s">
        <v>386</v>
      </c>
      <c r="E717" s="290"/>
      <c r="F717" s="290"/>
      <c r="G717" s="290"/>
      <c r="H717" s="290"/>
      <c r="I717" s="290"/>
      <c r="J717" s="290"/>
      <c r="K717" s="290"/>
      <c r="L717" s="290"/>
      <c r="M717" s="290"/>
      <c r="N717" s="290"/>
      <c r="O717" s="290"/>
      <c r="P717" s="290"/>
      <c r="Q717" s="290"/>
      <c r="R717" s="290"/>
      <c r="S717" s="290"/>
      <c r="T717" s="290"/>
      <c r="U717" s="290"/>
      <c r="V717" s="290"/>
      <c r="W717" s="290"/>
      <c r="X717" s="290"/>
      <c r="Y717" s="290"/>
      <c r="Z717" s="290"/>
      <c r="AA717" s="290"/>
      <c r="AB717" s="290"/>
      <c r="AC717" s="290"/>
      <c r="AD717" s="290"/>
      <c r="AE717" s="290"/>
      <c r="AF717" s="290"/>
      <c r="AG717" s="290"/>
      <c r="AH717" s="290"/>
      <c r="AI717" s="290"/>
      <c r="AJ717" s="290"/>
      <c r="AK717" s="174"/>
    </row>
    <row r="718" spans="1:37" x14ac:dyDescent="0.2">
      <c r="A718" s="185"/>
      <c r="B718" s="185"/>
      <c r="C718" s="185"/>
      <c r="D718" s="185"/>
      <c r="E718" s="185"/>
      <c r="F718" s="185"/>
      <c r="G718" s="185"/>
      <c r="H718" s="185"/>
      <c r="I718" s="185"/>
      <c r="J718" s="185"/>
      <c r="K718" s="185"/>
      <c r="L718" s="185"/>
      <c r="M718" s="185"/>
      <c r="N718" s="185"/>
      <c r="O718" s="185"/>
      <c r="P718" s="185"/>
      <c r="Q718" s="185"/>
      <c r="R718" s="185"/>
      <c r="S718" s="185"/>
      <c r="T718" s="185"/>
      <c r="U718" s="185"/>
      <c r="V718" s="185"/>
      <c r="W718" s="185"/>
      <c r="X718" s="185"/>
      <c r="Y718" s="185"/>
      <c r="Z718" s="185"/>
      <c r="AA718" s="186"/>
      <c r="AB718" s="186"/>
      <c r="AC718" s="186"/>
      <c r="AD718" s="186"/>
      <c r="AE718" s="186"/>
      <c r="AF718" s="186"/>
      <c r="AG718" s="186"/>
      <c r="AH718" s="186"/>
      <c r="AI718" s="186"/>
      <c r="AJ718" s="187"/>
    </row>
    <row r="719" spans="1:37" ht="12.75" customHeight="1" x14ac:dyDescent="0.2">
      <c r="A719" s="185"/>
      <c r="B719" s="291">
        <v>1</v>
      </c>
      <c r="C719" s="291"/>
      <c r="D719" s="291"/>
      <c r="E719" s="291"/>
      <c r="F719" s="291"/>
      <c r="G719" s="291">
        <v>2</v>
      </c>
      <c r="H719" s="291"/>
      <c r="I719" s="291" t="s">
        <v>379</v>
      </c>
      <c r="J719" s="291"/>
      <c r="K719" s="291"/>
      <c r="L719" s="291">
        <v>3</v>
      </c>
      <c r="M719" s="291"/>
      <c r="N719" s="291"/>
      <c r="O719" s="291"/>
      <c r="P719" s="291"/>
      <c r="Q719" s="291">
        <v>4</v>
      </c>
      <c r="R719" s="291" t="s">
        <v>380</v>
      </c>
      <c r="S719" s="291"/>
      <c r="T719" s="291"/>
      <c r="U719" s="291"/>
      <c r="V719" s="291">
        <v>5</v>
      </c>
      <c r="W719" s="291"/>
      <c r="X719" s="291"/>
      <c r="Y719" s="291"/>
      <c r="Z719" s="291"/>
      <c r="AA719" s="291">
        <v>6</v>
      </c>
      <c r="AB719" s="291"/>
      <c r="AC719" s="291"/>
      <c r="AD719" s="291"/>
      <c r="AE719" s="291"/>
      <c r="AF719" s="291">
        <v>7</v>
      </c>
      <c r="AG719" s="291"/>
      <c r="AH719" s="291"/>
      <c r="AI719" s="291"/>
      <c r="AJ719" s="188"/>
      <c r="AK719" s="182"/>
    </row>
    <row r="720" spans="1:37" ht="13.5" customHeight="1" x14ac:dyDescent="0.2">
      <c r="A720" s="185"/>
      <c r="B720" s="289"/>
      <c r="C720" s="289"/>
      <c r="D720" s="289"/>
      <c r="E720" s="289"/>
      <c r="F720" s="289"/>
      <c r="G720" s="289"/>
      <c r="H720" s="289"/>
      <c r="I720" s="289"/>
      <c r="J720" s="289"/>
      <c r="K720" s="289"/>
      <c r="L720" s="289"/>
      <c r="M720" s="289"/>
      <c r="N720" s="289"/>
      <c r="O720" s="289"/>
      <c r="P720" s="289"/>
      <c r="Q720" s="289"/>
      <c r="R720" s="289"/>
      <c r="S720" s="289"/>
      <c r="T720" s="289"/>
      <c r="U720" s="289"/>
      <c r="V720" s="289"/>
      <c r="W720" s="289"/>
      <c r="X720" s="289"/>
      <c r="Y720" s="289"/>
      <c r="Z720" s="289"/>
      <c r="AA720" s="289"/>
      <c r="AB720" s="289"/>
      <c r="AC720" s="289"/>
      <c r="AD720" s="289"/>
      <c r="AE720" s="289"/>
      <c r="AF720" s="289"/>
      <c r="AG720" s="289"/>
      <c r="AH720" s="289"/>
      <c r="AI720" s="289"/>
      <c r="AJ720" s="187"/>
    </row>
    <row r="721" spans="1:49" x14ac:dyDescent="0.2">
      <c r="A721" s="185"/>
      <c r="B721" s="185"/>
      <c r="C721" s="185"/>
      <c r="D721" s="185"/>
      <c r="E721" s="185"/>
      <c r="F721" s="185"/>
      <c r="G721" s="185"/>
      <c r="H721" s="185"/>
      <c r="I721" s="185"/>
      <c r="J721" s="185"/>
      <c r="K721" s="185"/>
      <c r="L721" s="185"/>
      <c r="M721" s="185"/>
      <c r="N721" s="185"/>
      <c r="O721" s="185"/>
      <c r="P721" s="185"/>
      <c r="Q721" s="185"/>
      <c r="R721" s="185"/>
      <c r="S721" s="185"/>
      <c r="T721" s="185"/>
      <c r="U721" s="185"/>
      <c r="V721" s="185"/>
      <c r="W721" s="185"/>
      <c r="X721" s="185"/>
      <c r="Y721" s="185"/>
      <c r="Z721" s="185"/>
      <c r="AA721" s="186"/>
      <c r="AB721" s="186"/>
      <c r="AC721" s="186"/>
      <c r="AD721" s="186"/>
      <c r="AE721" s="186"/>
      <c r="AF721" s="186"/>
      <c r="AG721" s="186"/>
      <c r="AH721" s="186"/>
      <c r="AI721" s="186"/>
      <c r="AJ721" s="187"/>
    </row>
    <row r="722" spans="1:49" x14ac:dyDescent="0.2">
      <c r="A722" s="185"/>
      <c r="B722" s="185"/>
      <c r="C722" s="185"/>
      <c r="D722" s="185"/>
      <c r="E722" s="185"/>
      <c r="F722" s="185"/>
      <c r="G722" s="185"/>
      <c r="H722" s="185"/>
      <c r="I722" s="185"/>
      <c r="J722" s="185"/>
      <c r="K722" s="185"/>
      <c r="L722" s="185"/>
      <c r="M722" s="185"/>
      <c r="N722" s="185"/>
      <c r="O722" s="185"/>
      <c r="P722" s="185"/>
      <c r="Q722" s="185"/>
      <c r="R722" s="185"/>
      <c r="S722" s="185"/>
      <c r="T722" s="185"/>
      <c r="U722" s="185"/>
      <c r="V722" s="185"/>
      <c r="W722" s="185"/>
      <c r="X722" s="185"/>
      <c r="Y722" s="185"/>
      <c r="Z722" s="185"/>
      <c r="AA722" s="186"/>
      <c r="AB722" s="186"/>
      <c r="AC722" s="186"/>
      <c r="AD722" s="186"/>
      <c r="AE722" s="186"/>
      <c r="AF722" s="186"/>
      <c r="AG722" s="186"/>
      <c r="AH722" s="186"/>
      <c r="AI722" s="186"/>
      <c r="AJ722" s="187"/>
    </row>
    <row r="723" spans="1:49" ht="13.5" customHeight="1" x14ac:dyDescent="0.2">
      <c r="A723" s="185"/>
      <c r="B723" s="292" t="s">
        <v>870</v>
      </c>
      <c r="C723" s="292"/>
      <c r="D723" s="292"/>
      <c r="E723" s="292"/>
      <c r="F723" s="292"/>
      <c r="G723" s="292"/>
      <c r="H723" s="292"/>
      <c r="I723" s="292"/>
      <c r="J723" s="292"/>
      <c r="K723" s="292"/>
      <c r="L723" s="292"/>
      <c r="M723" s="294" t="s">
        <v>389</v>
      </c>
      <c r="N723" s="294"/>
      <c r="O723" s="294"/>
      <c r="P723" s="294"/>
      <c r="Q723" s="294"/>
      <c r="R723" s="294"/>
      <c r="S723" s="294" t="s">
        <v>388</v>
      </c>
      <c r="T723" s="294"/>
      <c r="U723" s="294"/>
      <c r="V723" s="294"/>
      <c r="W723" s="294"/>
      <c r="X723" s="294"/>
      <c r="Y723" s="294" t="s">
        <v>387</v>
      </c>
      <c r="Z723" s="294"/>
      <c r="AA723" s="294"/>
      <c r="AB723" s="294"/>
      <c r="AC723" s="294"/>
      <c r="AD723" s="294"/>
      <c r="AE723" s="294"/>
      <c r="AF723" s="294" t="s">
        <v>850</v>
      </c>
      <c r="AG723" s="294"/>
      <c r="AH723" s="294"/>
      <c r="AI723" s="294"/>
      <c r="AJ723" s="188"/>
      <c r="AK723" s="182"/>
    </row>
    <row r="724" spans="1:49" ht="15" thickBot="1" x14ac:dyDescent="0.25">
      <c r="A724" s="185"/>
      <c r="B724" s="293"/>
      <c r="C724" s="293"/>
      <c r="D724" s="293"/>
      <c r="E724" s="293"/>
      <c r="F724" s="293"/>
      <c r="G724" s="293"/>
      <c r="H724" s="293"/>
      <c r="I724" s="293"/>
      <c r="J724" s="293"/>
      <c r="K724" s="293"/>
      <c r="L724" s="293"/>
      <c r="M724" s="295"/>
      <c r="N724" s="295"/>
      <c r="O724" s="295"/>
      <c r="P724" s="295"/>
      <c r="Q724" s="295"/>
      <c r="R724" s="295"/>
      <c r="S724" s="295"/>
      <c r="T724" s="295"/>
      <c r="U724" s="295"/>
      <c r="V724" s="295"/>
      <c r="W724" s="295"/>
      <c r="X724" s="295"/>
      <c r="Y724" s="295"/>
      <c r="Z724" s="295"/>
      <c r="AA724" s="295"/>
      <c r="AB724" s="295"/>
      <c r="AC724" s="295"/>
      <c r="AD724" s="295"/>
      <c r="AE724" s="295"/>
      <c r="AF724" s="295"/>
      <c r="AG724" s="295"/>
      <c r="AH724" s="295"/>
      <c r="AI724" s="295"/>
      <c r="AJ724" s="188"/>
      <c r="AK724" s="182"/>
    </row>
    <row r="725" spans="1:49" ht="15" customHeight="1" x14ac:dyDescent="0.2">
      <c r="A725" s="185"/>
      <c r="B725" s="350" t="s">
        <v>524</v>
      </c>
      <c r="C725" s="351"/>
      <c r="D725" s="351"/>
      <c r="E725" s="351"/>
      <c r="F725" s="351"/>
      <c r="G725" s="351"/>
      <c r="H725" s="351"/>
      <c r="I725" s="351"/>
      <c r="J725" s="351"/>
      <c r="K725" s="351"/>
      <c r="L725" s="351"/>
      <c r="M725" s="352">
        <f>Q750</f>
        <v>0</v>
      </c>
      <c r="N725" s="352"/>
      <c r="O725" s="352"/>
      <c r="P725" s="352"/>
      <c r="Q725" s="352"/>
      <c r="R725" s="352"/>
      <c r="S725" s="352">
        <f>L750</f>
        <v>0</v>
      </c>
      <c r="T725" s="352"/>
      <c r="U725" s="352"/>
      <c r="V725" s="352"/>
      <c r="W725" s="352"/>
      <c r="X725" s="352"/>
      <c r="Y725" s="353">
        <f>V750</f>
        <v>0</v>
      </c>
      <c r="Z725" s="353"/>
      <c r="AA725" s="353"/>
      <c r="AB725" s="353"/>
      <c r="AC725" s="353"/>
      <c r="AD725" s="353"/>
      <c r="AE725" s="353"/>
      <c r="AF725" s="332" t="str">
        <f>IF(Y725="","-",IF(Y725&lt;=100,"OK","N/A"))</f>
        <v>OK</v>
      </c>
      <c r="AG725" s="332"/>
      <c r="AH725" s="332"/>
      <c r="AI725" s="332"/>
      <c r="AJ725" s="187"/>
    </row>
    <row r="726" spans="1:49" ht="14.25" customHeight="1" x14ac:dyDescent="0.2">
      <c r="A726" s="185"/>
      <c r="B726" s="297" t="s">
        <v>552</v>
      </c>
      <c r="C726" s="298"/>
      <c r="D726" s="298"/>
      <c r="E726" s="298"/>
      <c r="F726" s="298"/>
      <c r="G726" s="298"/>
      <c r="H726" s="298"/>
      <c r="I726" s="298"/>
      <c r="J726" s="298"/>
      <c r="K726" s="298"/>
      <c r="L726" s="298"/>
      <c r="M726" s="302">
        <f>Q803</f>
        <v>0</v>
      </c>
      <c r="N726" s="302"/>
      <c r="O726" s="302"/>
      <c r="P726" s="302"/>
      <c r="Q726" s="302"/>
      <c r="R726" s="302"/>
      <c r="S726" s="302">
        <f>L803</f>
        <v>0</v>
      </c>
      <c r="T726" s="302"/>
      <c r="U726" s="302"/>
      <c r="V726" s="302"/>
      <c r="W726" s="302"/>
      <c r="X726" s="302"/>
      <c r="Y726" s="303">
        <f>V803</f>
        <v>0</v>
      </c>
      <c r="Z726" s="303"/>
      <c r="AA726" s="303"/>
      <c r="AB726" s="303"/>
      <c r="AC726" s="303"/>
      <c r="AD726" s="303"/>
      <c r="AE726" s="303"/>
      <c r="AF726" s="304" t="str">
        <f>IF(Y726="","-",IF(Y726&lt;=100,"OK","N/A"))</f>
        <v>OK</v>
      </c>
      <c r="AG726" s="304"/>
      <c r="AH726" s="304"/>
      <c r="AI726" s="304"/>
      <c r="AJ726" s="187"/>
      <c r="AV726" s="59"/>
      <c r="AW726" s="59"/>
    </row>
    <row r="727" spans="1:49" ht="14.25" customHeight="1" x14ac:dyDescent="0.2">
      <c r="A727" s="185"/>
      <c r="B727" s="297" t="s">
        <v>624</v>
      </c>
      <c r="C727" s="298"/>
      <c r="D727" s="298"/>
      <c r="E727" s="298"/>
      <c r="F727" s="298"/>
      <c r="G727" s="298"/>
      <c r="H727" s="298"/>
      <c r="I727" s="298"/>
      <c r="J727" s="298"/>
      <c r="K727" s="298"/>
      <c r="L727" s="298"/>
      <c r="M727" s="302">
        <f>Q836</f>
        <v>0</v>
      </c>
      <c r="N727" s="302"/>
      <c r="O727" s="302"/>
      <c r="P727" s="302"/>
      <c r="Q727" s="302"/>
      <c r="R727" s="302"/>
      <c r="S727" s="302">
        <f>L836</f>
        <v>0</v>
      </c>
      <c r="T727" s="302"/>
      <c r="U727" s="302"/>
      <c r="V727" s="302"/>
      <c r="W727" s="302"/>
      <c r="X727" s="302"/>
      <c r="Y727" s="303">
        <f>V836</f>
        <v>0</v>
      </c>
      <c r="Z727" s="303"/>
      <c r="AA727" s="303"/>
      <c r="AB727" s="303"/>
      <c r="AC727" s="303"/>
      <c r="AD727" s="303"/>
      <c r="AE727" s="303"/>
      <c r="AF727" s="304" t="str">
        <f>IF(Y727="","-",IF(Y727&lt;=100,"OK","N/A"))</f>
        <v>OK</v>
      </c>
      <c r="AG727" s="304"/>
      <c r="AH727" s="304"/>
      <c r="AI727" s="304"/>
      <c r="AJ727" s="187"/>
    </row>
    <row r="728" spans="1:49" ht="15" customHeight="1" thickBot="1" x14ac:dyDescent="0.25">
      <c r="A728" s="185"/>
      <c r="B728" s="306" t="s">
        <v>625</v>
      </c>
      <c r="C728" s="307"/>
      <c r="D728" s="307"/>
      <c r="E728" s="307"/>
      <c r="F728" s="307"/>
      <c r="G728" s="307"/>
      <c r="H728" s="307"/>
      <c r="I728" s="307"/>
      <c r="J728" s="307"/>
      <c r="K728" s="307"/>
      <c r="L728" s="307"/>
      <c r="M728" s="308">
        <f>Q858</f>
        <v>0</v>
      </c>
      <c r="N728" s="308"/>
      <c r="O728" s="308"/>
      <c r="P728" s="308"/>
      <c r="Q728" s="308"/>
      <c r="R728" s="308"/>
      <c r="S728" s="308">
        <f>L858</f>
        <v>0</v>
      </c>
      <c r="T728" s="308"/>
      <c r="U728" s="308"/>
      <c r="V728" s="308"/>
      <c r="W728" s="308"/>
      <c r="X728" s="308"/>
      <c r="Y728" s="309">
        <f>V858</f>
        <v>0</v>
      </c>
      <c r="Z728" s="309"/>
      <c r="AA728" s="309"/>
      <c r="AB728" s="309"/>
      <c r="AC728" s="309"/>
      <c r="AD728" s="309"/>
      <c r="AE728" s="309"/>
      <c r="AF728" s="310" t="str">
        <f>IF(Y728="","-",IF(Y728&lt;=100,"OK","N/A"))</f>
        <v>OK</v>
      </c>
      <c r="AG728" s="310"/>
      <c r="AH728" s="310"/>
      <c r="AI728" s="310"/>
      <c r="AJ728" s="187"/>
    </row>
    <row r="729" spans="1:49" x14ac:dyDescent="0.2">
      <c r="A729" s="185"/>
      <c r="B729" s="185"/>
      <c r="C729" s="185"/>
      <c r="D729" s="189"/>
      <c r="E729" s="190"/>
      <c r="F729" s="190"/>
      <c r="G729" s="190"/>
      <c r="H729" s="190"/>
      <c r="I729" s="190"/>
      <c r="J729" s="190"/>
      <c r="K729" s="190"/>
      <c r="L729" s="190"/>
      <c r="M729" s="190"/>
      <c r="N729" s="190"/>
      <c r="O729" s="190"/>
      <c r="P729" s="190"/>
      <c r="Q729" s="190"/>
      <c r="R729" s="190"/>
      <c r="S729" s="190"/>
      <c r="T729" s="190"/>
      <c r="U729" s="190"/>
      <c r="V729" s="190"/>
      <c r="W729" s="190"/>
      <c r="X729" s="190"/>
      <c r="Y729" s="190"/>
      <c r="Z729" s="190"/>
      <c r="AA729" s="190"/>
      <c r="AB729" s="190"/>
      <c r="AC729" s="190"/>
      <c r="AD729" s="190"/>
      <c r="AE729" s="190"/>
      <c r="AF729" s="190"/>
      <c r="AG729" s="190"/>
      <c r="AH729" s="190"/>
      <c r="AI729" s="190"/>
      <c r="AJ729" s="188"/>
      <c r="AK729" s="182"/>
    </row>
    <row r="730" spans="1:49" x14ac:dyDescent="0.2">
      <c r="A730" s="185"/>
      <c r="B730" s="185"/>
      <c r="C730" s="185"/>
      <c r="D730" s="189"/>
      <c r="E730" s="190"/>
      <c r="F730" s="190"/>
      <c r="G730" s="190"/>
      <c r="H730" s="190"/>
      <c r="I730" s="190"/>
      <c r="J730" s="190"/>
      <c r="K730" s="190"/>
      <c r="L730" s="190"/>
      <c r="M730" s="190"/>
      <c r="N730" s="190"/>
      <c r="O730" s="190"/>
      <c r="P730" s="190"/>
      <c r="Q730" s="190"/>
      <c r="R730" s="190"/>
      <c r="S730" s="190"/>
      <c r="T730" s="190"/>
      <c r="U730" s="190"/>
      <c r="V730" s="190"/>
      <c r="W730" s="190"/>
      <c r="X730" s="190"/>
      <c r="Y730" s="190"/>
      <c r="Z730" s="190"/>
      <c r="AA730" s="190"/>
      <c r="AB730" s="190"/>
      <c r="AC730" s="190"/>
      <c r="AD730" s="190"/>
      <c r="AE730" s="190"/>
      <c r="AF730" s="190"/>
      <c r="AG730" s="190"/>
      <c r="AH730" s="190"/>
      <c r="AI730" s="190"/>
      <c r="AJ730" s="188"/>
      <c r="AK730" s="182"/>
    </row>
    <row r="731" spans="1:49" ht="13.5" customHeight="1" x14ac:dyDescent="0.2">
      <c r="A731" s="185"/>
      <c r="B731" s="185"/>
      <c r="C731" s="336" t="s">
        <v>871</v>
      </c>
      <c r="D731" s="337"/>
      <c r="E731" s="337"/>
      <c r="F731" s="337"/>
      <c r="G731" s="337"/>
      <c r="H731" s="337"/>
      <c r="I731" s="337"/>
      <c r="J731" s="337"/>
      <c r="K731" s="337"/>
      <c r="L731" s="337"/>
      <c r="M731" s="337"/>
      <c r="N731" s="337"/>
      <c r="O731" s="337"/>
      <c r="P731" s="337"/>
      <c r="Q731" s="337"/>
      <c r="R731" s="337"/>
      <c r="S731" s="337"/>
      <c r="T731" s="337"/>
      <c r="U731" s="337"/>
      <c r="V731" s="337"/>
      <c r="W731" s="337"/>
      <c r="X731" s="337"/>
      <c r="Y731" s="337"/>
      <c r="Z731" s="337"/>
      <c r="AA731" s="337"/>
      <c r="AB731" s="337"/>
      <c r="AC731" s="337"/>
      <c r="AD731" s="337"/>
      <c r="AE731" s="337"/>
      <c r="AF731" s="337"/>
      <c r="AG731" s="337"/>
      <c r="AH731" s="337"/>
      <c r="AI731" s="337"/>
      <c r="AJ731" s="337"/>
      <c r="AK731" s="175"/>
    </row>
    <row r="732" spans="1:49" x14ac:dyDescent="0.2">
      <c r="A732" s="191"/>
      <c r="B732" s="185"/>
      <c r="C732" s="185"/>
      <c r="D732" s="185"/>
      <c r="E732" s="186"/>
      <c r="F732" s="185"/>
      <c r="G732" s="185"/>
      <c r="H732" s="185"/>
      <c r="I732" s="185"/>
      <c r="J732" s="185"/>
      <c r="K732" s="185"/>
      <c r="L732" s="185"/>
      <c r="M732" s="185"/>
      <c r="N732" s="185"/>
      <c r="O732" s="185"/>
      <c r="P732" s="185"/>
      <c r="Q732" s="185"/>
      <c r="R732" s="185"/>
      <c r="S732" s="185"/>
      <c r="T732" s="185"/>
      <c r="U732" s="185"/>
      <c r="V732" s="185"/>
      <c r="W732" s="185"/>
      <c r="X732" s="185"/>
      <c r="Y732" s="185"/>
      <c r="Z732" s="185"/>
      <c r="AA732" s="186"/>
      <c r="AB732" s="186"/>
      <c r="AC732" s="186"/>
      <c r="AD732" s="186"/>
      <c r="AE732" s="186"/>
      <c r="AF732" s="186"/>
      <c r="AG732" s="186"/>
      <c r="AH732" s="186"/>
      <c r="AI732" s="186"/>
      <c r="AJ732" s="187"/>
    </row>
    <row r="733" spans="1:49" x14ac:dyDescent="0.2">
      <c r="A733" s="191"/>
      <c r="B733" s="185"/>
      <c r="C733" s="311" t="s">
        <v>463</v>
      </c>
      <c r="D733" s="311"/>
      <c r="E733" s="311"/>
      <c r="F733" s="311"/>
      <c r="G733" s="311"/>
      <c r="H733" s="311"/>
      <c r="I733" s="311"/>
      <c r="J733" s="311"/>
      <c r="K733" s="311"/>
      <c r="L733" s="311"/>
      <c r="M733" s="311"/>
      <c r="N733" s="311"/>
      <c r="O733" s="311"/>
      <c r="P733" s="297" t="s">
        <v>464</v>
      </c>
      <c r="Q733" s="297"/>
      <c r="R733" s="297"/>
      <c r="S733" s="297"/>
      <c r="T733" s="297"/>
      <c r="U733" s="297"/>
      <c r="V733" s="297"/>
      <c r="W733" s="297"/>
      <c r="X733" s="297"/>
      <c r="Y733" s="297"/>
      <c r="Z733" s="297"/>
      <c r="AA733" s="297"/>
      <c r="AB733" s="297"/>
      <c r="AC733" s="297"/>
      <c r="AD733" s="297"/>
      <c r="AE733" s="297"/>
      <c r="AF733" s="297"/>
      <c r="AG733" s="297"/>
      <c r="AH733" s="297"/>
      <c r="AI733" s="297"/>
      <c r="AJ733" s="187"/>
    </row>
    <row r="734" spans="1:49" x14ac:dyDescent="0.2">
      <c r="A734" s="191"/>
      <c r="B734" s="185"/>
      <c r="C734" s="311" t="s">
        <v>465</v>
      </c>
      <c r="D734" s="311"/>
      <c r="E734" s="311"/>
      <c r="F734" s="311"/>
      <c r="G734" s="311"/>
      <c r="H734" s="311"/>
      <c r="I734" s="311"/>
      <c r="J734" s="311"/>
      <c r="K734" s="311"/>
      <c r="L734" s="311"/>
      <c r="M734" s="311"/>
      <c r="N734" s="311"/>
      <c r="O734" s="311"/>
      <c r="P734" s="297" t="s">
        <v>466</v>
      </c>
      <c r="Q734" s="297"/>
      <c r="R734" s="297"/>
      <c r="S734" s="297"/>
      <c r="T734" s="297"/>
      <c r="U734" s="297"/>
      <c r="V734" s="297"/>
      <c r="W734" s="297"/>
      <c r="X734" s="297"/>
      <c r="Y734" s="297"/>
      <c r="Z734" s="297"/>
      <c r="AA734" s="297"/>
      <c r="AB734" s="297"/>
      <c r="AC734" s="297"/>
      <c r="AD734" s="297"/>
      <c r="AE734" s="297"/>
      <c r="AF734" s="297"/>
      <c r="AG734" s="297"/>
      <c r="AH734" s="297"/>
      <c r="AI734" s="297"/>
      <c r="AJ734" s="187"/>
    </row>
    <row r="735" spans="1:49" ht="12.75" customHeight="1" x14ac:dyDescent="0.2">
      <c r="A735" s="191"/>
      <c r="B735" s="185"/>
      <c r="C735" s="185"/>
      <c r="D735" s="185"/>
      <c r="E735" s="186"/>
      <c r="F735" s="185"/>
      <c r="G735" s="185"/>
      <c r="H735" s="185"/>
      <c r="I735" s="185"/>
      <c r="J735" s="185"/>
      <c r="K735" s="185"/>
      <c r="L735" s="185"/>
      <c r="M735" s="185"/>
      <c r="N735" s="185"/>
      <c r="O735" s="185"/>
      <c r="P735" s="185"/>
      <c r="Q735" s="185"/>
      <c r="R735" s="185"/>
      <c r="S735" s="185"/>
      <c r="T735" s="185"/>
      <c r="U735" s="185"/>
      <c r="V735" s="185"/>
      <c r="W735" s="185"/>
      <c r="X735" s="185"/>
      <c r="Y735" s="185"/>
      <c r="Z735" s="185"/>
      <c r="AA735" s="186"/>
      <c r="AB735" s="186"/>
      <c r="AC735" s="186"/>
      <c r="AD735" s="186"/>
      <c r="AE735" s="186"/>
      <c r="AF735" s="186"/>
      <c r="AG735" s="186"/>
      <c r="AH735" s="186"/>
      <c r="AI735" s="186"/>
      <c r="AJ735" s="187"/>
    </row>
    <row r="736" spans="1:49" ht="13.5" customHeight="1" x14ac:dyDescent="0.2">
      <c r="A736" s="185"/>
      <c r="B736" s="185"/>
      <c r="C736" s="185"/>
      <c r="D736" s="290" t="s">
        <v>384</v>
      </c>
      <c r="E736" s="290"/>
      <c r="F736" s="290"/>
      <c r="G736" s="290"/>
      <c r="H736" s="290"/>
      <c r="I736" s="290"/>
      <c r="J736" s="290"/>
      <c r="K736" s="290"/>
      <c r="L736" s="290"/>
      <c r="M736" s="290"/>
      <c r="N736" s="290"/>
      <c r="O736" s="290"/>
      <c r="P736" s="290"/>
      <c r="Q736" s="290"/>
      <c r="R736" s="290"/>
      <c r="S736" s="290"/>
      <c r="T736" s="290"/>
      <c r="U736" s="290"/>
      <c r="V736" s="290"/>
      <c r="W736" s="290"/>
      <c r="X736" s="290"/>
      <c r="Y736" s="290"/>
      <c r="Z736" s="290"/>
      <c r="AA736" s="290"/>
      <c r="AB736" s="290"/>
      <c r="AC736" s="290"/>
      <c r="AD736" s="290"/>
      <c r="AE736" s="290"/>
      <c r="AF736" s="290"/>
      <c r="AG736" s="290"/>
      <c r="AH736" s="290"/>
      <c r="AI736" s="290"/>
      <c r="AJ736" s="290"/>
      <c r="AK736" s="174"/>
    </row>
    <row r="737" spans="1:37" x14ac:dyDescent="0.2">
      <c r="A737" s="185"/>
      <c r="B737" s="185"/>
      <c r="C737" s="185"/>
      <c r="D737" s="185"/>
      <c r="E737" s="185"/>
      <c r="F737" s="185"/>
      <c r="G737" s="185"/>
      <c r="H737" s="185"/>
      <c r="I737" s="185"/>
      <c r="J737" s="185"/>
      <c r="K737" s="185"/>
      <c r="L737" s="185"/>
      <c r="M737" s="185"/>
      <c r="N737" s="185"/>
      <c r="O737" s="185"/>
      <c r="P737" s="185"/>
      <c r="Q737" s="185"/>
      <c r="R737" s="185"/>
      <c r="S737" s="185"/>
      <c r="T737" s="185"/>
      <c r="U737" s="185"/>
      <c r="V737" s="185"/>
      <c r="W737" s="185"/>
      <c r="X737" s="185"/>
      <c r="Y737" s="185"/>
      <c r="Z737" s="185"/>
      <c r="AA737" s="186"/>
      <c r="AB737" s="186"/>
      <c r="AC737" s="186"/>
      <c r="AD737" s="186"/>
      <c r="AE737" s="186"/>
      <c r="AF737" s="186"/>
      <c r="AG737" s="186"/>
      <c r="AH737" s="186"/>
      <c r="AI737" s="186"/>
      <c r="AJ737" s="187"/>
    </row>
    <row r="738" spans="1:37" x14ac:dyDescent="0.2">
      <c r="A738" s="185"/>
      <c r="B738" s="291">
        <v>1</v>
      </c>
      <c r="C738" s="291"/>
      <c r="D738" s="291"/>
      <c r="E738" s="291"/>
      <c r="F738" s="291"/>
      <c r="G738" s="291">
        <v>2</v>
      </c>
      <c r="H738" s="291"/>
      <c r="I738" s="291" t="s">
        <v>379</v>
      </c>
      <c r="J738" s="291"/>
      <c r="K738" s="291"/>
      <c r="L738" s="291">
        <v>3</v>
      </c>
      <c r="M738" s="291"/>
      <c r="N738" s="291"/>
      <c r="O738" s="291"/>
      <c r="P738" s="291"/>
      <c r="Q738" s="291">
        <v>4</v>
      </c>
      <c r="R738" s="291" t="s">
        <v>380</v>
      </c>
      <c r="S738" s="291"/>
      <c r="T738" s="291"/>
      <c r="U738" s="291"/>
      <c r="V738" s="291">
        <v>5</v>
      </c>
      <c r="W738" s="291"/>
      <c r="X738" s="291"/>
      <c r="Y738" s="291"/>
      <c r="Z738" s="291"/>
      <c r="AA738" s="291">
        <v>6</v>
      </c>
      <c r="AB738" s="291"/>
      <c r="AC738" s="291"/>
      <c r="AD738" s="291"/>
      <c r="AE738" s="291"/>
      <c r="AF738" s="291">
        <v>7</v>
      </c>
      <c r="AG738" s="291"/>
      <c r="AH738" s="291"/>
      <c r="AI738" s="291"/>
      <c r="AJ738" s="188"/>
      <c r="AK738" s="182"/>
    </row>
    <row r="739" spans="1:37" x14ac:dyDescent="0.2">
      <c r="A739" s="185"/>
      <c r="B739" s="289"/>
      <c r="C739" s="289"/>
      <c r="D739" s="289"/>
      <c r="E739" s="289"/>
      <c r="F739" s="289"/>
      <c r="G739" s="289"/>
      <c r="H739" s="289"/>
      <c r="I739" s="289"/>
      <c r="J739" s="289"/>
      <c r="K739" s="289"/>
      <c r="L739" s="289"/>
      <c r="M739" s="289"/>
      <c r="N739" s="289"/>
      <c r="O739" s="289"/>
      <c r="P739" s="289"/>
      <c r="Q739" s="289"/>
      <c r="R739" s="289"/>
      <c r="S739" s="289"/>
      <c r="T739" s="289"/>
      <c r="U739" s="289"/>
      <c r="V739" s="289"/>
      <c r="W739" s="289"/>
      <c r="X739" s="289"/>
      <c r="Y739" s="289"/>
      <c r="Z739" s="289"/>
      <c r="AA739" s="289"/>
      <c r="AB739" s="289"/>
      <c r="AC739" s="289"/>
      <c r="AD739" s="289"/>
      <c r="AE739" s="289"/>
      <c r="AF739" s="289"/>
      <c r="AG739" s="289"/>
      <c r="AH739" s="289"/>
      <c r="AI739" s="289"/>
      <c r="AJ739" s="187"/>
    </row>
    <row r="740" spans="1:37" x14ac:dyDescent="0.2">
      <c r="A740" s="185"/>
      <c r="B740" s="185"/>
      <c r="C740" s="185"/>
      <c r="D740" s="185"/>
      <c r="E740" s="185"/>
      <c r="F740" s="185"/>
      <c r="G740" s="185"/>
      <c r="H740" s="185"/>
      <c r="I740" s="185"/>
      <c r="J740" s="185"/>
      <c r="K740" s="185"/>
      <c r="L740" s="185"/>
      <c r="M740" s="185"/>
      <c r="N740" s="185"/>
      <c r="O740" s="185"/>
      <c r="P740" s="185"/>
      <c r="Q740" s="185"/>
      <c r="R740" s="185"/>
      <c r="S740" s="185"/>
      <c r="T740" s="185"/>
      <c r="U740" s="185"/>
      <c r="V740" s="185"/>
      <c r="W740" s="185"/>
      <c r="X740" s="185"/>
      <c r="Y740" s="185"/>
      <c r="Z740" s="185"/>
      <c r="AA740" s="186"/>
      <c r="AB740" s="186"/>
      <c r="AC740" s="186"/>
      <c r="AD740" s="186"/>
      <c r="AE740" s="186"/>
      <c r="AF740" s="186"/>
      <c r="AG740" s="186"/>
      <c r="AH740" s="186"/>
      <c r="AI740" s="186"/>
      <c r="AJ740" s="187"/>
    </row>
    <row r="741" spans="1:37" x14ac:dyDescent="0.2">
      <c r="A741" s="185"/>
      <c r="B741" s="185"/>
      <c r="C741" s="185"/>
      <c r="D741" s="290" t="s">
        <v>385</v>
      </c>
      <c r="E741" s="290"/>
      <c r="F741" s="290"/>
      <c r="G741" s="290"/>
      <c r="H741" s="290"/>
      <c r="I741" s="290"/>
      <c r="J741" s="290"/>
      <c r="K741" s="290"/>
      <c r="L741" s="290"/>
      <c r="M741" s="290"/>
      <c r="N741" s="290"/>
      <c r="O741" s="290"/>
      <c r="P741" s="290"/>
      <c r="Q741" s="290"/>
      <c r="R741" s="290"/>
      <c r="S741" s="290"/>
      <c r="T741" s="290"/>
      <c r="U741" s="290"/>
      <c r="V741" s="290"/>
      <c r="W741" s="290"/>
      <c r="X741" s="290"/>
      <c r="Y741" s="290"/>
      <c r="Z741" s="290"/>
      <c r="AA741" s="290"/>
      <c r="AB741" s="290"/>
      <c r="AC741" s="290"/>
      <c r="AD741" s="290"/>
      <c r="AE741" s="290"/>
      <c r="AF741" s="290"/>
      <c r="AG741" s="290"/>
      <c r="AH741" s="290"/>
      <c r="AI741" s="290"/>
      <c r="AJ741" s="290"/>
      <c r="AK741" s="174"/>
    </row>
    <row r="742" spans="1:37" x14ac:dyDescent="0.2">
      <c r="A742" s="185"/>
      <c r="B742" s="185"/>
      <c r="C742" s="185"/>
      <c r="D742" s="185"/>
      <c r="E742" s="185"/>
      <c r="F742" s="185"/>
      <c r="G742" s="185"/>
      <c r="H742" s="185"/>
      <c r="I742" s="185"/>
      <c r="J742" s="185"/>
      <c r="K742" s="185"/>
      <c r="L742" s="185"/>
      <c r="M742" s="185"/>
      <c r="N742" s="185"/>
      <c r="O742" s="185"/>
      <c r="P742" s="185"/>
      <c r="Q742" s="185"/>
      <c r="R742" s="185"/>
      <c r="S742" s="185"/>
      <c r="T742" s="185"/>
      <c r="U742" s="185"/>
      <c r="V742" s="185"/>
      <c r="W742" s="185"/>
      <c r="X742" s="185"/>
      <c r="Y742" s="185"/>
      <c r="Z742" s="185"/>
      <c r="AA742" s="186"/>
      <c r="AB742" s="186"/>
      <c r="AC742" s="186"/>
      <c r="AD742" s="186"/>
      <c r="AE742" s="186"/>
      <c r="AF742" s="186"/>
      <c r="AG742" s="186"/>
      <c r="AH742" s="186"/>
      <c r="AI742" s="186"/>
      <c r="AJ742" s="187"/>
    </row>
    <row r="743" spans="1:37" ht="12.75" customHeight="1" x14ac:dyDescent="0.2">
      <c r="A743" s="185"/>
      <c r="B743" s="291">
        <v>1</v>
      </c>
      <c r="C743" s="291"/>
      <c r="D743" s="291"/>
      <c r="E743" s="291"/>
      <c r="F743" s="291"/>
      <c r="G743" s="291">
        <v>2</v>
      </c>
      <c r="H743" s="291"/>
      <c r="I743" s="291" t="s">
        <v>379</v>
      </c>
      <c r="J743" s="291"/>
      <c r="K743" s="291"/>
      <c r="L743" s="291">
        <v>3</v>
      </c>
      <c r="M743" s="291"/>
      <c r="N743" s="291"/>
      <c r="O743" s="291"/>
      <c r="P743" s="291"/>
      <c r="Q743" s="291">
        <v>4</v>
      </c>
      <c r="R743" s="291" t="s">
        <v>380</v>
      </c>
      <c r="S743" s="291"/>
      <c r="T743" s="291"/>
      <c r="U743" s="291"/>
      <c r="V743" s="291">
        <v>5</v>
      </c>
      <c r="W743" s="291"/>
      <c r="X743" s="291"/>
      <c r="Y743" s="291"/>
      <c r="Z743" s="291"/>
      <c r="AA743" s="291">
        <v>6</v>
      </c>
      <c r="AB743" s="291"/>
      <c r="AC743" s="291"/>
      <c r="AD743" s="291"/>
      <c r="AE743" s="291"/>
      <c r="AF743" s="291">
        <v>7</v>
      </c>
      <c r="AG743" s="291"/>
      <c r="AH743" s="291"/>
      <c r="AI743" s="291"/>
      <c r="AJ743" s="188"/>
      <c r="AK743" s="182"/>
    </row>
    <row r="744" spans="1:37" ht="13.5" customHeight="1" x14ac:dyDescent="0.2">
      <c r="A744" s="185"/>
      <c r="B744" s="289"/>
      <c r="C744" s="289"/>
      <c r="D744" s="289"/>
      <c r="E744" s="289"/>
      <c r="F744" s="289"/>
      <c r="G744" s="289"/>
      <c r="H744" s="289"/>
      <c r="I744" s="289"/>
      <c r="J744" s="289"/>
      <c r="K744" s="289"/>
      <c r="L744" s="289"/>
      <c r="M744" s="289"/>
      <c r="N744" s="289"/>
      <c r="O744" s="289"/>
      <c r="P744" s="289"/>
      <c r="Q744" s="289"/>
      <c r="R744" s="289"/>
      <c r="S744" s="289"/>
      <c r="T744" s="289"/>
      <c r="U744" s="289"/>
      <c r="V744" s="289"/>
      <c r="W744" s="289"/>
      <c r="X744" s="289"/>
      <c r="Y744" s="289"/>
      <c r="Z744" s="289"/>
      <c r="AA744" s="289"/>
      <c r="AB744" s="289"/>
      <c r="AC744" s="289"/>
      <c r="AD744" s="289"/>
      <c r="AE744" s="289"/>
      <c r="AF744" s="289"/>
      <c r="AG744" s="289"/>
      <c r="AH744" s="289"/>
      <c r="AI744" s="289"/>
      <c r="AJ744" s="187"/>
    </row>
    <row r="745" spans="1:37" x14ac:dyDescent="0.2">
      <c r="A745" s="185"/>
      <c r="B745" s="185"/>
      <c r="C745" s="185"/>
      <c r="D745" s="185"/>
      <c r="E745" s="185"/>
      <c r="F745" s="185"/>
      <c r="G745" s="185"/>
      <c r="H745" s="185"/>
      <c r="I745" s="185"/>
      <c r="J745" s="185"/>
      <c r="K745" s="185"/>
      <c r="L745" s="185"/>
      <c r="M745" s="185"/>
      <c r="N745" s="185"/>
      <c r="O745" s="185"/>
      <c r="P745" s="185"/>
      <c r="Q745" s="185"/>
      <c r="R745" s="185"/>
      <c r="S745" s="185"/>
      <c r="T745" s="185"/>
      <c r="U745" s="185"/>
      <c r="V745" s="185"/>
      <c r="W745" s="185"/>
      <c r="X745" s="185"/>
      <c r="Y745" s="185"/>
      <c r="Z745" s="185"/>
      <c r="AA745" s="186"/>
      <c r="AB745" s="186"/>
      <c r="AC745" s="186"/>
      <c r="AD745" s="186"/>
      <c r="AE745" s="186"/>
      <c r="AF745" s="186"/>
      <c r="AG745" s="186"/>
      <c r="AH745" s="186"/>
      <c r="AI745" s="186"/>
      <c r="AJ745" s="187"/>
    </row>
    <row r="746" spans="1:37" x14ac:dyDescent="0.2">
      <c r="A746" s="185"/>
      <c r="B746" s="185"/>
      <c r="C746" s="185"/>
      <c r="D746" s="290" t="s">
        <v>386</v>
      </c>
      <c r="E746" s="290"/>
      <c r="F746" s="290"/>
      <c r="G746" s="290"/>
      <c r="H746" s="290"/>
      <c r="I746" s="290"/>
      <c r="J746" s="290"/>
      <c r="K746" s="290"/>
      <c r="L746" s="290"/>
      <c r="M746" s="290"/>
      <c r="N746" s="290"/>
      <c r="O746" s="290"/>
      <c r="P746" s="290"/>
      <c r="Q746" s="290"/>
      <c r="R746" s="290"/>
      <c r="S746" s="290"/>
      <c r="T746" s="290"/>
      <c r="U746" s="290"/>
      <c r="V746" s="290"/>
      <c r="W746" s="290"/>
      <c r="X746" s="290"/>
      <c r="Y746" s="290"/>
      <c r="Z746" s="290"/>
      <c r="AA746" s="290"/>
      <c r="AB746" s="290"/>
      <c r="AC746" s="290"/>
      <c r="AD746" s="290"/>
      <c r="AE746" s="290"/>
      <c r="AF746" s="290"/>
      <c r="AG746" s="290"/>
      <c r="AH746" s="290"/>
      <c r="AI746" s="290"/>
      <c r="AJ746" s="290"/>
      <c r="AK746" s="174"/>
    </row>
    <row r="747" spans="1:37" x14ac:dyDescent="0.2">
      <c r="A747" s="185"/>
      <c r="B747" s="185"/>
      <c r="C747" s="185"/>
      <c r="D747" s="185"/>
      <c r="E747" s="185"/>
      <c r="F747" s="185"/>
      <c r="G747" s="185"/>
      <c r="H747" s="185"/>
      <c r="I747" s="185"/>
      <c r="J747" s="185"/>
      <c r="K747" s="185"/>
      <c r="L747" s="185"/>
      <c r="M747" s="185"/>
      <c r="N747" s="185"/>
      <c r="O747" s="185"/>
      <c r="P747" s="185"/>
      <c r="Q747" s="185"/>
      <c r="R747" s="185"/>
      <c r="S747" s="185"/>
      <c r="T747" s="185"/>
      <c r="U747" s="185"/>
      <c r="V747" s="185"/>
      <c r="W747" s="185"/>
      <c r="X747" s="185"/>
      <c r="Y747" s="185"/>
      <c r="Z747" s="185"/>
      <c r="AA747" s="186"/>
      <c r="AB747" s="186"/>
      <c r="AC747" s="186"/>
      <c r="AD747" s="186"/>
      <c r="AE747" s="186"/>
      <c r="AF747" s="186"/>
      <c r="AG747" s="186"/>
      <c r="AH747" s="186"/>
      <c r="AI747" s="186"/>
      <c r="AJ747" s="187"/>
    </row>
    <row r="748" spans="1:37" ht="12.75" customHeight="1" x14ac:dyDescent="0.2">
      <c r="A748" s="185"/>
      <c r="B748" s="291">
        <v>1</v>
      </c>
      <c r="C748" s="291"/>
      <c r="D748" s="291"/>
      <c r="E748" s="291"/>
      <c r="F748" s="291"/>
      <c r="G748" s="291">
        <v>2</v>
      </c>
      <c r="H748" s="291"/>
      <c r="I748" s="291" t="s">
        <v>379</v>
      </c>
      <c r="J748" s="291"/>
      <c r="K748" s="291"/>
      <c r="L748" s="291">
        <v>3</v>
      </c>
      <c r="M748" s="291"/>
      <c r="N748" s="291"/>
      <c r="O748" s="291"/>
      <c r="P748" s="291"/>
      <c r="Q748" s="291">
        <v>4</v>
      </c>
      <c r="R748" s="291" t="s">
        <v>380</v>
      </c>
      <c r="S748" s="291"/>
      <c r="T748" s="291"/>
      <c r="U748" s="291"/>
      <c r="V748" s="291">
        <v>5</v>
      </c>
      <c r="W748" s="291"/>
      <c r="X748" s="291"/>
      <c r="Y748" s="291"/>
      <c r="Z748" s="291"/>
      <c r="AA748" s="291">
        <v>6</v>
      </c>
      <c r="AB748" s="291"/>
      <c r="AC748" s="291"/>
      <c r="AD748" s="291"/>
      <c r="AE748" s="291"/>
      <c r="AF748" s="291">
        <v>7</v>
      </c>
      <c r="AG748" s="291"/>
      <c r="AH748" s="291"/>
      <c r="AI748" s="291"/>
      <c r="AJ748" s="188"/>
      <c r="AK748" s="182"/>
    </row>
    <row r="749" spans="1:37" ht="13.5" customHeight="1" x14ac:dyDescent="0.2">
      <c r="A749" s="185"/>
      <c r="B749" s="289"/>
      <c r="C749" s="289"/>
      <c r="D749" s="289"/>
      <c r="E749" s="289"/>
      <c r="F749" s="289"/>
      <c r="G749" s="289"/>
      <c r="H749" s="289"/>
      <c r="I749" s="289"/>
      <c r="J749" s="289"/>
      <c r="K749" s="289"/>
      <c r="L749" s="289"/>
      <c r="M749" s="289"/>
      <c r="N749" s="289"/>
      <c r="O749" s="289"/>
      <c r="P749" s="289"/>
      <c r="Q749" s="289"/>
      <c r="R749" s="289"/>
      <c r="S749" s="289"/>
      <c r="T749" s="289"/>
      <c r="U749" s="289"/>
      <c r="V749" s="289"/>
      <c r="W749" s="289"/>
      <c r="X749" s="289"/>
      <c r="Y749" s="289"/>
      <c r="Z749" s="289"/>
      <c r="AA749" s="289"/>
      <c r="AB749" s="289"/>
      <c r="AC749" s="289"/>
      <c r="AD749" s="289"/>
      <c r="AE749" s="289"/>
      <c r="AF749" s="289"/>
      <c r="AG749" s="289"/>
      <c r="AH749" s="289"/>
      <c r="AI749" s="289"/>
      <c r="AJ749" s="187"/>
    </row>
    <row r="750" spans="1:37" x14ac:dyDescent="0.2">
      <c r="A750" s="185"/>
      <c r="B750" s="185"/>
      <c r="C750" s="185"/>
      <c r="D750" s="185"/>
      <c r="E750" s="185"/>
      <c r="F750" s="185"/>
      <c r="G750" s="185"/>
      <c r="H750" s="185"/>
      <c r="I750" s="185"/>
      <c r="J750" s="185"/>
      <c r="K750" s="185"/>
      <c r="L750" s="185"/>
      <c r="M750" s="185"/>
      <c r="N750" s="185"/>
      <c r="O750" s="185"/>
      <c r="P750" s="185"/>
      <c r="Q750" s="185"/>
      <c r="R750" s="185"/>
      <c r="S750" s="185"/>
      <c r="T750" s="185"/>
      <c r="U750" s="185"/>
      <c r="V750" s="185"/>
      <c r="W750" s="185"/>
      <c r="X750" s="185"/>
      <c r="Y750" s="185"/>
      <c r="Z750" s="185"/>
      <c r="AA750" s="186"/>
      <c r="AB750" s="186"/>
      <c r="AC750" s="186"/>
      <c r="AD750" s="186"/>
      <c r="AE750" s="186"/>
      <c r="AF750" s="186"/>
      <c r="AG750" s="186"/>
      <c r="AH750" s="186"/>
      <c r="AI750" s="186"/>
      <c r="AJ750" s="187"/>
    </row>
    <row r="751" spans="1:37" x14ac:dyDescent="0.2">
      <c r="A751" s="185"/>
      <c r="B751" s="185"/>
      <c r="C751" s="185"/>
      <c r="D751" s="185"/>
      <c r="E751" s="185"/>
      <c r="F751" s="185"/>
      <c r="G751" s="185"/>
      <c r="H751" s="185"/>
      <c r="I751" s="185"/>
      <c r="J751" s="185"/>
      <c r="K751" s="185"/>
      <c r="L751" s="185"/>
      <c r="M751" s="185"/>
      <c r="N751" s="185"/>
      <c r="O751" s="185"/>
      <c r="P751" s="185"/>
      <c r="Q751" s="185"/>
      <c r="R751" s="185"/>
      <c r="S751" s="185"/>
      <c r="T751" s="185"/>
      <c r="U751" s="185"/>
      <c r="V751" s="185"/>
      <c r="W751" s="185"/>
      <c r="X751" s="185"/>
      <c r="Y751" s="185"/>
      <c r="Z751" s="185"/>
      <c r="AA751" s="186"/>
      <c r="AB751" s="186"/>
      <c r="AC751" s="186"/>
      <c r="AD751" s="186"/>
      <c r="AE751" s="186"/>
      <c r="AF751" s="186"/>
      <c r="AG751" s="186"/>
      <c r="AH751" s="186"/>
      <c r="AI751" s="186"/>
      <c r="AJ751" s="187"/>
    </row>
    <row r="752" spans="1:37" ht="15" x14ac:dyDescent="0.2">
      <c r="A752" s="185"/>
      <c r="B752" s="335" t="s">
        <v>1000</v>
      </c>
      <c r="C752" s="335"/>
      <c r="D752" s="335"/>
      <c r="E752" s="335"/>
      <c r="F752" s="335"/>
      <c r="G752" s="335"/>
      <c r="H752" s="335"/>
      <c r="I752" s="335"/>
      <c r="J752" s="335"/>
      <c r="K752" s="335"/>
      <c r="L752" s="335"/>
      <c r="M752" s="335"/>
      <c r="N752" s="335"/>
      <c r="O752" s="335"/>
      <c r="P752" s="335"/>
      <c r="Q752" s="335"/>
      <c r="R752" s="335"/>
      <c r="S752" s="335"/>
      <c r="T752" s="335"/>
      <c r="U752" s="335"/>
      <c r="V752" s="335"/>
      <c r="W752" s="335"/>
      <c r="X752" s="335"/>
      <c r="Y752" s="335"/>
      <c r="Z752" s="335"/>
      <c r="AA752" s="335"/>
      <c r="AB752" s="335"/>
      <c r="AC752" s="335"/>
      <c r="AD752" s="335"/>
      <c r="AE752" s="335"/>
      <c r="AF752" s="335"/>
      <c r="AG752" s="335"/>
      <c r="AH752" s="335"/>
      <c r="AI752" s="335"/>
      <c r="AJ752" s="335"/>
      <c r="AK752" s="176"/>
    </row>
    <row r="753" spans="1:37" ht="12.75" customHeight="1" x14ac:dyDescent="0.2">
      <c r="A753" s="185"/>
      <c r="B753" s="185"/>
      <c r="C753" s="185"/>
      <c r="D753" s="185"/>
      <c r="E753" s="185"/>
      <c r="F753" s="185"/>
      <c r="G753" s="185"/>
      <c r="H753" s="185"/>
      <c r="I753" s="185"/>
      <c r="J753" s="185"/>
      <c r="K753" s="185"/>
      <c r="L753" s="185"/>
      <c r="M753" s="185"/>
      <c r="N753" s="185"/>
      <c r="O753" s="185"/>
      <c r="P753" s="185"/>
      <c r="Q753" s="185"/>
      <c r="R753" s="185"/>
      <c r="S753" s="185"/>
      <c r="T753" s="185"/>
      <c r="U753" s="185"/>
      <c r="V753" s="185"/>
      <c r="W753" s="185"/>
      <c r="X753" s="185"/>
      <c r="Y753" s="185"/>
      <c r="Z753" s="185"/>
      <c r="AA753" s="186"/>
      <c r="AB753" s="186"/>
      <c r="AC753" s="186"/>
      <c r="AD753" s="186"/>
      <c r="AE753" s="186"/>
      <c r="AF753" s="186"/>
      <c r="AG753" s="186"/>
      <c r="AH753" s="186"/>
      <c r="AI753" s="186"/>
      <c r="AJ753" s="187"/>
    </row>
    <row r="754" spans="1:37" ht="13.5" customHeight="1" x14ac:dyDescent="0.2">
      <c r="A754" s="185"/>
      <c r="B754" s="185"/>
      <c r="C754" s="336" t="s">
        <v>606</v>
      </c>
      <c r="D754" s="337"/>
      <c r="E754" s="337"/>
      <c r="F754" s="337"/>
      <c r="G754" s="337"/>
      <c r="H754" s="337"/>
      <c r="I754" s="337"/>
      <c r="J754" s="337"/>
      <c r="K754" s="337"/>
      <c r="L754" s="337"/>
      <c r="M754" s="337"/>
      <c r="N754" s="337"/>
      <c r="O754" s="337"/>
      <c r="P754" s="337"/>
      <c r="Q754" s="337"/>
      <c r="R754" s="337"/>
      <c r="S754" s="337"/>
      <c r="T754" s="337"/>
      <c r="U754" s="337"/>
      <c r="V754" s="337"/>
      <c r="W754" s="337"/>
      <c r="X754" s="337"/>
      <c r="Y754" s="337"/>
      <c r="Z754" s="337"/>
      <c r="AA754" s="337"/>
      <c r="AB754" s="337"/>
      <c r="AC754" s="337"/>
      <c r="AD754" s="337"/>
      <c r="AE754" s="337"/>
      <c r="AF754" s="337"/>
      <c r="AG754" s="337"/>
      <c r="AH754" s="337"/>
      <c r="AI754" s="337"/>
      <c r="AJ754" s="337"/>
      <c r="AK754" s="175"/>
    </row>
    <row r="755" spans="1:37" x14ac:dyDescent="0.2">
      <c r="A755" s="191"/>
      <c r="B755" s="185"/>
      <c r="C755" s="185"/>
      <c r="D755" s="185"/>
      <c r="E755" s="186"/>
      <c r="F755" s="185"/>
      <c r="G755" s="185"/>
      <c r="H755" s="185"/>
      <c r="I755" s="185"/>
      <c r="J755" s="185"/>
      <c r="K755" s="185"/>
      <c r="L755" s="185"/>
      <c r="M755" s="185"/>
      <c r="N755" s="185"/>
      <c r="O755" s="185"/>
      <c r="P755" s="185"/>
      <c r="Q755" s="185"/>
      <c r="R755" s="185"/>
      <c r="S755" s="185"/>
      <c r="T755" s="185"/>
      <c r="U755" s="185"/>
      <c r="V755" s="185"/>
      <c r="W755" s="185"/>
      <c r="X755" s="185"/>
      <c r="Y755" s="185"/>
      <c r="Z755" s="185"/>
      <c r="AA755" s="186"/>
      <c r="AB755" s="186"/>
      <c r="AC755" s="186"/>
      <c r="AD755" s="186"/>
      <c r="AE755" s="186"/>
      <c r="AF755" s="186"/>
      <c r="AG755" s="186"/>
      <c r="AH755" s="186"/>
      <c r="AI755" s="186"/>
      <c r="AJ755" s="187"/>
    </row>
    <row r="756" spans="1:37" x14ac:dyDescent="0.2">
      <c r="A756" s="191"/>
      <c r="B756" s="185"/>
      <c r="C756" s="311" t="s">
        <v>463</v>
      </c>
      <c r="D756" s="311"/>
      <c r="E756" s="311"/>
      <c r="F756" s="311"/>
      <c r="G756" s="311"/>
      <c r="H756" s="311"/>
      <c r="I756" s="311"/>
      <c r="J756" s="311"/>
      <c r="K756" s="311"/>
      <c r="L756" s="311"/>
      <c r="M756" s="311"/>
      <c r="N756" s="311"/>
      <c r="O756" s="311"/>
      <c r="P756" s="297" t="s">
        <v>464</v>
      </c>
      <c r="Q756" s="297"/>
      <c r="R756" s="297"/>
      <c r="S756" s="297"/>
      <c r="T756" s="297"/>
      <c r="U756" s="297"/>
      <c r="V756" s="297"/>
      <c r="W756" s="297"/>
      <c r="X756" s="297"/>
      <c r="Y756" s="297"/>
      <c r="Z756" s="297"/>
      <c r="AA756" s="297"/>
      <c r="AB756" s="297"/>
      <c r="AC756" s="297"/>
      <c r="AD756" s="297"/>
      <c r="AE756" s="297"/>
      <c r="AF756" s="297"/>
      <c r="AG756" s="297"/>
      <c r="AH756" s="297"/>
      <c r="AI756" s="297"/>
      <c r="AJ756" s="187"/>
    </row>
    <row r="757" spans="1:37" x14ac:dyDescent="0.2">
      <c r="A757" s="191"/>
      <c r="B757" s="185"/>
      <c r="C757" s="311" t="s">
        <v>465</v>
      </c>
      <c r="D757" s="311"/>
      <c r="E757" s="311"/>
      <c r="F757" s="311"/>
      <c r="G757" s="311"/>
      <c r="H757" s="311"/>
      <c r="I757" s="311"/>
      <c r="J757" s="311"/>
      <c r="K757" s="311"/>
      <c r="L757" s="311"/>
      <c r="M757" s="311"/>
      <c r="N757" s="311"/>
      <c r="O757" s="311"/>
      <c r="P757" s="297" t="s">
        <v>466</v>
      </c>
      <c r="Q757" s="297"/>
      <c r="R757" s="297"/>
      <c r="S757" s="297"/>
      <c r="T757" s="297"/>
      <c r="U757" s="297"/>
      <c r="V757" s="297"/>
      <c r="W757" s="297"/>
      <c r="X757" s="297"/>
      <c r="Y757" s="297"/>
      <c r="Z757" s="297"/>
      <c r="AA757" s="297"/>
      <c r="AB757" s="297"/>
      <c r="AC757" s="297"/>
      <c r="AD757" s="297"/>
      <c r="AE757" s="297"/>
      <c r="AF757" s="297"/>
      <c r="AG757" s="297"/>
      <c r="AH757" s="297"/>
      <c r="AI757" s="297"/>
      <c r="AJ757" s="187"/>
    </row>
    <row r="758" spans="1:37" ht="12.75" customHeight="1" x14ac:dyDescent="0.2">
      <c r="A758" s="191"/>
      <c r="B758" s="185"/>
      <c r="C758" s="185"/>
      <c r="D758" s="185"/>
      <c r="E758" s="186"/>
      <c r="F758" s="185"/>
      <c r="G758" s="185"/>
      <c r="H758" s="185"/>
      <c r="I758" s="185"/>
      <c r="J758" s="185"/>
      <c r="K758" s="185"/>
      <c r="L758" s="185"/>
      <c r="M758" s="185"/>
      <c r="N758" s="185"/>
      <c r="O758" s="185"/>
      <c r="P758" s="185"/>
      <c r="Q758" s="185"/>
      <c r="R758" s="185"/>
      <c r="S758" s="185"/>
      <c r="T758" s="185"/>
      <c r="U758" s="185"/>
      <c r="V758" s="185"/>
      <c r="W758" s="185"/>
      <c r="X758" s="185"/>
      <c r="Y758" s="185"/>
      <c r="Z758" s="185"/>
      <c r="AA758" s="186"/>
      <c r="AB758" s="186"/>
      <c r="AC758" s="186"/>
      <c r="AD758" s="186"/>
      <c r="AE758" s="186"/>
      <c r="AF758" s="186"/>
      <c r="AG758" s="186"/>
      <c r="AH758" s="186"/>
      <c r="AI758" s="186"/>
      <c r="AJ758" s="187"/>
    </row>
    <row r="759" spans="1:37" ht="13.5" customHeight="1" x14ac:dyDescent="0.2">
      <c r="A759" s="185"/>
      <c r="B759" s="185"/>
      <c r="C759" s="185"/>
      <c r="D759" s="290" t="s">
        <v>384</v>
      </c>
      <c r="E759" s="290"/>
      <c r="F759" s="290"/>
      <c r="G759" s="290"/>
      <c r="H759" s="290"/>
      <c r="I759" s="290"/>
      <c r="J759" s="290"/>
      <c r="K759" s="290"/>
      <c r="L759" s="290"/>
      <c r="M759" s="290"/>
      <c r="N759" s="290"/>
      <c r="O759" s="290"/>
      <c r="P759" s="290"/>
      <c r="Q759" s="290"/>
      <c r="R759" s="290"/>
      <c r="S759" s="290"/>
      <c r="T759" s="290"/>
      <c r="U759" s="290"/>
      <c r="V759" s="290"/>
      <c r="W759" s="290"/>
      <c r="X759" s="290"/>
      <c r="Y759" s="290"/>
      <c r="Z759" s="290"/>
      <c r="AA759" s="290"/>
      <c r="AB759" s="290"/>
      <c r="AC759" s="290"/>
      <c r="AD759" s="290"/>
      <c r="AE759" s="290"/>
      <c r="AF759" s="290"/>
      <c r="AG759" s="290"/>
      <c r="AH759" s="290"/>
      <c r="AI759" s="290"/>
      <c r="AJ759" s="290"/>
      <c r="AK759" s="174"/>
    </row>
    <row r="760" spans="1:37" x14ac:dyDescent="0.2">
      <c r="A760" s="185"/>
      <c r="B760" s="185"/>
      <c r="C760" s="185"/>
      <c r="D760" s="185"/>
      <c r="E760" s="185"/>
      <c r="F760" s="185"/>
      <c r="G760" s="185"/>
      <c r="H760" s="185"/>
      <c r="I760" s="185"/>
      <c r="J760" s="185"/>
      <c r="K760" s="185"/>
      <c r="L760" s="185"/>
      <c r="M760" s="185"/>
      <c r="N760" s="185"/>
      <c r="O760" s="185"/>
      <c r="P760" s="185"/>
      <c r="Q760" s="185"/>
      <c r="R760" s="185"/>
      <c r="S760" s="185"/>
      <c r="T760" s="185"/>
      <c r="U760" s="185"/>
      <c r="V760" s="185"/>
      <c r="W760" s="185"/>
      <c r="X760" s="185"/>
      <c r="Y760" s="185"/>
      <c r="Z760" s="185"/>
      <c r="AA760" s="186"/>
      <c r="AB760" s="186"/>
      <c r="AC760" s="186"/>
      <c r="AD760" s="186"/>
      <c r="AE760" s="186"/>
      <c r="AF760" s="186"/>
      <c r="AG760" s="186"/>
      <c r="AH760" s="186"/>
      <c r="AI760" s="186"/>
      <c r="AJ760" s="187"/>
    </row>
    <row r="761" spans="1:37" x14ac:dyDescent="0.2">
      <c r="A761" s="185"/>
      <c r="B761" s="291">
        <v>1</v>
      </c>
      <c r="C761" s="291"/>
      <c r="D761" s="291"/>
      <c r="E761" s="291"/>
      <c r="F761" s="291"/>
      <c r="G761" s="291">
        <v>2</v>
      </c>
      <c r="H761" s="291"/>
      <c r="I761" s="291" t="s">
        <v>379</v>
      </c>
      <c r="J761" s="291"/>
      <c r="K761" s="291"/>
      <c r="L761" s="291">
        <v>3</v>
      </c>
      <c r="M761" s="291"/>
      <c r="N761" s="291"/>
      <c r="O761" s="291"/>
      <c r="P761" s="291"/>
      <c r="Q761" s="291">
        <v>4</v>
      </c>
      <c r="R761" s="291" t="s">
        <v>380</v>
      </c>
      <c r="S761" s="291"/>
      <c r="T761" s="291"/>
      <c r="U761" s="291"/>
      <c r="V761" s="291">
        <v>5</v>
      </c>
      <c r="W761" s="291"/>
      <c r="X761" s="291"/>
      <c r="Y761" s="291"/>
      <c r="Z761" s="291"/>
      <c r="AA761" s="291">
        <v>6</v>
      </c>
      <c r="AB761" s="291"/>
      <c r="AC761" s="291"/>
      <c r="AD761" s="291"/>
      <c r="AE761" s="291"/>
      <c r="AF761" s="291">
        <v>7</v>
      </c>
      <c r="AG761" s="291"/>
      <c r="AH761" s="291"/>
      <c r="AI761" s="291"/>
      <c r="AJ761" s="188"/>
      <c r="AK761" s="182"/>
    </row>
    <row r="762" spans="1:37" x14ac:dyDescent="0.2">
      <c r="A762" s="185"/>
      <c r="B762" s="289"/>
      <c r="C762" s="289"/>
      <c r="D762" s="289"/>
      <c r="E762" s="289"/>
      <c r="F762" s="289"/>
      <c r="G762" s="289"/>
      <c r="H762" s="289"/>
      <c r="I762" s="289"/>
      <c r="J762" s="289"/>
      <c r="K762" s="289"/>
      <c r="L762" s="289"/>
      <c r="M762" s="289"/>
      <c r="N762" s="289"/>
      <c r="O762" s="289"/>
      <c r="P762" s="289"/>
      <c r="Q762" s="289"/>
      <c r="R762" s="289"/>
      <c r="S762" s="289"/>
      <c r="T762" s="289"/>
      <c r="U762" s="289"/>
      <c r="V762" s="289"/>
      <c r="W762" s="289"/>
      <c r="X762" s="289"/>
      <c r="Y762" s="289"/>
      <c r="Z762" s="289"/>
      <c r="AA762" s="289"/>
      <c r="AB762" s="289"/>
      <c r="AC762" s="289"/>
      <c r="AD762" s="289"/>
      <c r="AE762" s="289"/>
      <c r="AF762" s="289"/>
      <c r="AG762" s="289"/>
      <c r="AH762" s="289"/>
      <c r="AI762" s="289"/>
      <c r="AJ762" s="187"/>
    </row>
    <row r="763" spans="1:37" x14ac:dyDescent="0.2">
      <c r="A763" s="185"/>
      <c r="B763" s="185"/>
      <c r="C763" s="185"/>
      <c r="D763" s="185"/>
      <c r="E763" s="185"/>
      <c r="F763" s="185"/>
      <c r="G763" s="185"/>
      <c r="H763" s="185"/>
      <c r="I763" s="185"/>
      <c r="J763" s="185"/>
      <c r="K763" s="185"/>
      <c r="L763" s="185"/>
      <c r="M763" s="185"/>
      <c r="N763" s="185"/>
      <c r="O763" s="185"/>
      <c r="P763" s="185"/>
      <c r="Q763" s="185"/>
      <c r="R763" s="185"/>
      <c r="S763" s="185"/>
      <c r="T763" s="185"/>
      <c r="U763" s="185"/>
      <c r="V763" s="185"/>
      <c r="W763" s="185"/>
      <c r="X763" s="185"/>
      <c r="Y763" s="185"/>
      <c r="Z763" s="185"/>
      <c r="AA763" s="186"/>
      <c r="AB763" s="186"/>
      <c r="AC763" s="186"/>
      <c r="AD763" s="186"/>
      <c r="AE763" s="186"/>
      <c r="AF763" s="186"/>
      <c r="AG763" s="186"/>
      <c r="AH763" s="186"/>
      <c r="AI763" s="186"/>
      <c r="AJ763" s="187"/>
    </row>
    <row r="764" spans="1:37" x14ac:dyDescent="0.2">
      <c r="A764" s="185"/>
      <c r="B764" s="185"/>
      <c r="C764" s="185"/>
      <c r="D764" s="290" t="s">
        <v>385</v>
      </c>
      <c r="E764" s="290"/>
      <c r="F764" s="290"/>
      <c r="G764" s="290"/>
      <c r="H764" s="290"/>
      <c r="I764" s="290"/>
      <c r="J764" s="290"/>
      <c r="K764" s="290"/>
      <c r="L764" s="290"/>
      <c r="M764" s="290"/>
      <c r="N764" s="290"/>
      <c r="O764" s="290"/>
      <c r="P764" s="290"/>
      <c r="Q764" s="290"/>
      <c r="R764" s="290"/>
      <c r="S764" s="290"/>
      <c r="T764" s="290"/>
      <c r="U764" s="290"/>
      <c r="V764" s="290"/>
      <c r="W764" s="290"/>
      <c r="X764" s="290"/>
      <c r="Y764" s="290"/>
      <c r="Z764" s="290"/>
      <c r="AA764" s="290"/>
      <c r="AB764" s="290"/>
      <c r="AC764" s="290"/>
      <c r="AD764" s="290"/>
      <c r="AE764" s="290"/>
      <c r="AF764" s="290"/>
      <c r="AG764" s="290"/>
      <c r="AH764" s="290"/>
      <c r="AI764" s="290"/>
      <c r="AJ764" s="290"/>
      <c r="AK764" s="174"/>
    </row>
    <row r="765" spans="1:37" x14ac:dyDescent="0.2">
      <c r="A765" s="185"/>
      <c r="B765" s="185"/>
      <c r="C765" s="185"/>
      <c r="D765" s="185"/>
      <c r="E765" s="185"/>
      <c r="F765" s="185"/>
      <c r="G765" s="185"/>
      <c r="H765" s="185"/>
      <c r="I765" s="185"/>
      <c r="J765" s="185"/>
      <c r="K765" s="185"/>
      <c r="L765" s="185"/>
      <c r="M765" s="185"/>
      <c r="N765" s="185"/>
      <c r="O765" s="185"/>
      <c r="P765" s="185"/>
      <c r="Q765" s="185"/>
      <c r="R765" s="185"/>
      <c r="S765" s="185"/>
      <c r="T765" s="185"/>
      <c r="U765" s="185"/>
      <c r="V765" s="185"/>
      <c r="W765" s="185"/>
      <c r="X765" s="185"/>
      <c r="Y765" s="185"/>
      <c r="Z765" s="185"/>
      <c r="AA765" s="186"/>
      <c r="AB765" s="186"/>
      <c r="AC765" s="186"/>
      <c r="AD765" s="186"/>
      <c r="AE765" s="186"/>
      <c r="AF765" s="186"/>
      <c r="AG765" s="186"/>
      <c r="AH765" s="186"/>
      <c r="AI765" s="186"/>
      <c r="AJ765" s="187"/>
    </row>
    <row r="766" spans="1:37" ht="12.75" customHeight="1" x14ac:dyDescent="0.2">
      <c r="A766" s="185"/>
      <c r="B766" s="291">
        <v>1</v>
      </c>
      <c r="C766" s="291"/>
      <c r="D766" s="291"/>
      <c r="E766" s="291"/>
      <c r="F766" s="291"/>
      <c r="G766" s="291">
        <v>2</v>
      </c>
      <c r="H766" s="291"/>
      <c r="I766" s="291" t="s">
        <v>379</v>
      </c>
      <c r="J766" s="291"/>
      <c r="K766" s="291"/>
      <c r="L766" s="291">
        <v>3</v>
      </c>
      <c r="M766" s="291"/>
      <c r="N766" s="291"/>
      <c r="O766" s="291"/>
      <c r="P766" s="291"/>
      <c r="Q766" s="291">
        <v>4</v>
      </c>
      <c r="R766" s="291" t="s">
        <v>380</v>
      </c>
      <c r="S766" s="291"/>
      <c r="T766" s="291"/>
      <c r="U766" s="291"/>
      <c r="V766" s="291">
        <v>5</v>
      </c>
      <c r="W766" s="291"/>
      <c r="X766" s="291"/>
      <c r="Y766" s="291"/>
      <c r="Z766" s="291"/>
      <c r="AA766" s="291">
        <v>6</v>
      </c>
      <c r="AB766" s="291"/>
      <c r="AC766" s="291"/>
      <c r="AD766" s="291"/>
      <c r="AE766" s="291"/>
      <c r="AF766" s="291">
        <v>7</v>
      </c>
      <c r="AG766" s="291"/>
      <c r="AH766" s="291"/>
      <c r="AI766" s="291"/>
      <c r="AJ766" s="188"/>
      <c r="AK766" s="182"/>
    </row>
    <row r="767" spans="1:37" ht="13.5" customHeight="1" x14ac:dyDescent="0.2">
      <c r="A767" s="185"/>
      <c r="B767" s="289"/>
      <c r="C767" s="289"/>
      <c r="D767" s="289"/>
      <c r="E767" s="289"/>
      <c r="F767" s="289"/>
      <c r="G767" s="289"/>
      <c r="H767" s="289"/>
      <c r="I767" s="289"/>
      <c r="J767" s="289"/>
      <c r="K767" s="289"/>
      <c r="L767" s="289"/>
      <c r="M767" s="289"/>
      <c r="N767" s="289"/>
      <c r="O767" s="289"/>
      <c r="P767" s="289"/>
      <c r="Q767" s="289"/>
      <c r="R767" s="289"/>
      <c r="S767" s="289"/>
      <c r="T767" s="289"/>
      <c r="U767" s="289"/>
      <c r="V767" s="289"/>
      <c r="W767" s="289"/>
      <c r="X767" s="289"/>
      <c r="Y767" s="289"/>
      <c r="Z767" s="289"/>
      <c r="AA767" s="289"/>
      <c r="AB767" s="289"/>
      <c r="AC767" s="289"/>
      <c r="AD767" s="289"/>
      <c r="AE767" s="289"/>
      <c r="AF767" s="289"/>
      <c r="AG767" s="289"/>
      <c r="AH767" s="289"/>
      <c r="AI767" s="289"/>
      <c r="AJ767" s="187"/>
    </row>
    <row r="768" spans="1:37" x14ac:dyDescent="0.2">
      <c r="A768" s="185"/>
      <c r="B768" s="185"/>
      <c r="C768" s="185"/>
      <c r="D768" s="185"/>
      <c r="E768" s="185"/>
      <c r="F768" s="185"/>
      <c r="G768" s="185"/>
      <c r="H768" s="185"/>
      <c r="I768" s="185"/>
      <c r="J768" s="185"/>
      <c r="K768" s="185"/>
      <c r="L768" s="185"/>
      <c r="M768" s="185"/>
      <c r="N768" s="185"/>
      <c r="O768" s="185"/>
      <c r="P768" s="185"/>
      <c r="Q768" s="185"/>
      <c r="R768" s="185"/>
      <c r="S768" s="185"/>
      <c r="T768" s="185"/>
      <c r="U768" s="185"/>
      <c r="V768" s="185"/>
      <c r="W768" s="185"/>
      <c r="X768" s="185"/>
      <c r="Y768" s="185"/>
      <c r="Z768" s="185"/>
      <c r="AA768" s="186"/>
      <c r="AB768" s="186"/>
      <c r="AC768" s="186"/>
      <c r="AD768" s="186"/>
      <c r="AE768" s="186"/>
      <c r="AF768" s="186"/>
      <c r="AG768" s="186"/>
      <c r="AH768" s="186"/>
      <c r="AI768" s="186"/>
      <c r="AJ768" s="187"/>
    </row>
    <row r="769" spans="1:37" x14ac:dyDescent="0.2">
      <c r="A769" s="185"/>
      <c r="B769" s="185"/>
      <c r="C769" s="185"/>
      <c r="D769" s="290" t="s">
        <v>386</v>
      </c>
      <c r="E769" s="290"/>
      <c r="F769" s="290"/>
      <c r="G769" s="290"/>
      <c r="H769" s="290"/>
      <c r="I769" s="290"/>
      <c r="J769" s="290"/>
      <c r="K769" s="290"/>
      <c r="L769" s="290"/>
      <c r="M769" s="290"/>
      <c r="N769" s="290"/>
      <c r="O769" s="290"/>
      <c r="P769" s="290"/>
      <c r="Q769" s="290"/>
      <c r="R769" s="290"/>
      <c r="S769" s="290"/>
      <c r="T769" s="290"/>
      <c r="U769" s="290"/>
      <c r="V769" s="290"/>
      <c r="W769" s="290"/>
      <c r="X769" s="290"/>
      <c r="Y769" s="290"/>
      <c r="Z769" s="290"/>
      <c r="AA769" s="290"/>
      <c r="AB769" s="290"/>
      <c r="AC769" s="290"/>
      <c r="AD769" s="290"/>
      <c r="AE769" s="290"/>
      <c r="AF769" s="290"/>
      <c r="AG769" s="290"/>
      <c r="AH769" s="290"/>
      <c r="AI769" s="290"/>
      <c r="AJ769" s="290"/>
      <c r="AK769" s="174"/>
    </row>
    <row r="770" spans="1:37" x14ac:dyDescent="0.2">
      <c r="A770" s="185"/>
      <c r="B770" s="185"/>
      <c r="C770" s="185"/>
      <c r="D770" s="185"/>
      <c r="E770" s="185"/>
      <c r="F770" s="185"/>
      <c r="G770" s="185"/>
      <c r="H770" s="185"/>
      <c r="I770" s="185"/>
      <c r="J770" s="185"/>
      <c r="K770" s="185"/>
      <c r="L770" s="185"/>
      <c r="M770" s="185"/>
      <c r="N770" s="185"/>
      <c r="O770" s="185"/>
      <c r="P770" s="185"/>
      <c r="Q770" s="185"/>
      <c r="R770" s="185"/>
      <c r="S770" s="185"/>
      <c r="T770" s="185"/>
      <c r="U770" s="185"/>
      <c r="V770" s="185"/>
      <c r="W770" s="185"/>
      <c r="X770" s="185"/>
      <c r="Y770" s="185"/>
      <c r="Z770" s="185"/>
      <c r="AA770" s="186"/>
      <c r="AB770" s="186"/>
      <c r="AC770" s="186"/>
      <c r="AD770" s="186"/>
      <c r="AE770" s="186"/>
      <c r="AF770" s="186"/>
      <c r="AG770" s="186"/>
      <c r="AH770" s="186"/>
      <c r="AI770" s="186"/>
      <c r="AJ770" s="187"/>
    </row>
    <row r="771" spans="1:37" ht="12.75" customHeight="1" x14ac:dyDescent="0.2">
      <c r="A771" s="185"/>
      <c r="B771" s="291">
        <v>1</v>
      </c>
      <c r="C771" s="291"/>
      <c r="D771" s="291"/>
      <c r="E771" s="291"/>
      <c r="F771" s="291"/>
      <c r="G771" s="291">
        <v>2</v>
      </c>
      <c r="H771" s="291"/>
      <c r="I771" s="291" t="s">
        <v>379</v>
      </c>
      <c r="J771" s="291"/>
      <c r="K771" s="291"/>
      <c r="L771" s="291">
        <v>3</v>
      </c>
      <c r="M771" s="291"/>
      <c r="N771" s="291"/>
      <c r="O771" s="291"/>
      <c r="P771" s="291"/>
      <c r="Q771" s="291">
        <v>4</v>
      </c>
      <c r="R771" s="291" t="s">
        <v>380</v>
      </c>
      <c r="S771" s="291"/>
      <c r="T771" s="291"/>
      <c r="U771" s="291"/>
      <c r="V771" s="291">
        <v>5</v>
      </c>
      <c r="W771" s="291"/>
      <c r="X771" s="291"/>
      <c r="Y771" s="291"/>
      <c r="Z771" s="291"/>
      <c r="AA771" s="291">
        <v>6</v>
      </c>
      <c r="AB771" s="291"/>
      <c r="AC771" s="291"/>
      <c r="AD771" s="291"/>
      <c r="AE771" s="291"/>
      <c r="AF771" s="291">
        <v>7</v>
      </c>
      <c r="AG771" s="291"/>
      <c r="AH771" s="291"/>
      <c r="AI771" s="291"/>
      <c r="AJ771" s="188"/>
      <c r="AK771" s="182"/>
    </row>
    <row r="772" spans="1:37" ht="13.5" customHeight="1" x14ac:dyDescent="0.2">
      <c r="A772" s="185"/>
      <c r="B772" s="289"/>
      <c r="C772" s="289"/>
      <c r="D772" s="289"/>
      <c r="E772" s="289"/>
      <c r="F772" s="289"/>
      <c r="G772" s="289"/>
      <c r="H772" s="289"/>
      <c r="I772" s="289"/>
      <c r="J772" s="289"/>
      <c r="K772" s="289"/>
      <c r="L772" s="289"/>
      <c r="M772" s="289"/>
      <c r="N772" s="289"/>
      <c r="O772" s="289"/>
      <c r="P772" s="289"/>
      <c r="Q772" s="289"/>
      <c r="R772" s="289"/>
      <c r="S772" s="289"/>
      <c r="T772" s="289"/>
      <c r="U772" s="289"/>
      <c r="V772" s="289"/>
      <c r="W772" s="289"/>
      <c r="X772" s="289"/>
      <c r="Y772" s="289"/>
      <c r="Z772" s="289"/>
      <c r="AA772" s="289"/>
      <c r="AB772" s="289"/>
      <c r="AC772" s="289"/>
      <c r="AD772" s="289"/>
      <c r="AE772" s="289"/>
      <c r="AF772" s="289"/>
      <c r="AG772" s="289"/>
      <c r="AH772" s="289"/>
      <c r="AI772" s="289"/>
      <c r="AJ772" s="187"/>
    </row>
    <row r="773" spans="1:37" x14ac:dyDescent="0.2">
      <c r="A773" s="185"/>
      <c r="B773" s="185"/>
      <c r="C773" s="185"/>
      <c r="D773" s="185"/>
      <c r="E773" s="185"/>
      <c r="F773" s="185"/>
      <c r="G773" s="185"/>
      <c r="H773" s="185"/>
      <c r="I773" s="185"/>
      <c r="J773" s="185"/>
      <c r="K773" s="185"/>
      <c r="L773" s="185"/>
      <c r="M773" s="185"/>
      <c r="N773" s="185"/>
      <c r="O773" s="185"/>
      <c r="P773" s="185"/>
      <c r="Q773" s="185"/>
      <c r="R773" s="185"/>
      <c r="S773" s="185"/>
      <c r="T773" s="185"/>
      <c r="U773" s="185"/>
      <c r="V773" s="185"/>
      <c r="W773" s="185"/>
      <c r="X773" s="185"/>
      <c r="Y773" s="185"/>
      <c r="Z773" s="185"/>
      <c r="AA773" s="186"/>
      <c r="AB773" s="186"/>
      <c r="AC773" s="186"/>
      <c r="AD773" s="186"/>
      <c r="AE773" s="186"/>
      <c r="AF773" s="186"/>
      <c r="AG773" s="186"/>
      <c r="AH773" s="186"/>
      <c r="AI773" s="186"/>
      <c r="AJ773" s="187"/>
    </row>
    <row r="774" spans="1:37" x14ac:dyDescent="0.2">
      <c r="A774" s="185"/>
      <c r="B774" s="185"/>
      <c r="C774" s="185"/>
      <c r="D774" s="185"/>
      <c r="E774" s="185"/>
      <c r="F774" s="185"/>
      <c r="G774" s="185"/>
      <c r="H774" s="185"/>
      <c r="I774" s="185"/>
      <c r="J774" s="185"/>
      <c r="K774" s="185"/>
      <c r="L774" s="185"/>
      <c r="M774" s="185"/>
      <c r="N774" s="185"/>
      <c r="O774" s="185"/>
      <c r="P774" s="185"/>
      <c r="Q774" s="185"/>
      <c r="R774" s="185"/>
      <c r="S774" s="185"/>
      <c r="T774" s="185"/>
      <c r="U774" s="185"/>
      <c r="V774" s="185"/>
      <c r="W774" s="185"/>
      <c r="X774" s="185"/>
      <c r="Y774" s="185"/>
      <c r="Z774" s="185"/>
      <c r="AA774" s="186"/>
      <c r="AB774" s="186"/>
      <c r="AC774" s="186"/>
      <c r="AD774" s="186"/>
      <c r="AE774" s="186"/>
      <c r="AF774" s="186"/>
      <c r="AG774" s="186"/>
      <c r="AH774" s="186"/>
      <c r="AI774" s="186"/>
      <c r="AJ774" s="187"/>
    </row>
    <row r="775" spans="1:37" ht="15" x14ac:dyDescent="0.2">
      <c r="A775" s="185"/>
      <c r="B775" s="335" t="s">
        <v>1001</v>
      </c>
      <c r="C775" s="335"/>
      <c r="D775" s="335"/>
      <c r="E775" s="335"/>
      <c r="F775" s="335"/>
      <c r="G775" s="335"/>
      <c r="H775" s="335"/>
      <c r="I775" s="335"/>
      <c r="J775" s="335"/>
      <c r="K775" s="335"/>
      <c r="L775" s="335"/>
      <c r="M775" s="335"/>
      <c r="N775" s="335"/>
      <c r="O775" s="335"/>
      <c r="P775" s="335"/>
      <c r="Q775" s="335"/>
      <c r="R775" s="335"/>
      <c r="S775" s="335"/>
      <c r="T775" s="335"/>
      <c r="U775" s="335"/>
      <c r="V775" s="335"/>
      <c r="W775" s="335"/>
      <c r="X775" s="335"/>
      <c r="Y775" s="335"/>
      <c r="Z775" s="335"/>
      <c r="AA775" s="335"/>
      <c r="AB775" s="335"/>
      <c r="AC775" s="335"/>
      <c r="AD775" s="335"/>
      <c r="AE775" s="335"/>
      <c r="AF775" s="335"/>
      <c r="AG775" s="335"/>
      <c r="AH775" s="335"/>
      <c r="AI775" s="335"/>
      <c r="AJ775" s="335"/>
      <c r="AK775" s="176"/>
    </row>
    <row r="776" spans="1:37" ht="12.75" customHeight="1" x14ac:dyDescent="0.2">
      <c r="A776" s="185"/>
      <c r="B776" s="185"/>
      <c r="C776" s="185"/>
      <c r="D776" s="185"/>
      <c r="E776" s="185"/>
      <c r="F776" s="185"/>
      <c r="G776" s="185"/>
      <c r="H776" s="185"/>
      <c r="I776" s="185"/>
      <c r="J776" s="185"/>
      <c r="K776" s="185"/>
      <c r="L776" s="185"/>
      <c r="M776" s="185"/>
      <c r="N776" s="185"/>
      <c r="O776" s="185"/>
      <c r="P776" s="185"/>
      <c r="Q776" s="185"/>
      <c r="R776" s="185"/>
      <c r="S776" s="185"/>
      <c r="T776" s="185"/>
      <c r="U776" s="185"/>
      <c r="V776" s="185"/>
      <c r="W776" s="185"/>
      <c r="X776" s="185"/>
      <c r="Y776" s="185"/>
      <c r="Z776" s="185"/>
      <c r="AA776" s="186"/>
      <c r="AB776" s="186"/>
      <c r="AC776" s="186"/>
      <c r="AD776" s="186"/>
      <c r="AE776" s="186"/>
      <c r="AF776" s="186"/>
      <c r="AG776" s="186"/>
      <c r="AH776" s="186"/>
      <c r="AI776" s="186"/>
      <c r="AJ776" s="187"/>
    </row>
    <row r="777" spans="1:37" ht="13.5" customHeight="1" x14ac:dyDescent="0.2">
      <c r="A777" s="185"/>
      <c r="B777" s="185"/>
      <c r="C777" s="336" t="s">
        <v>606</v>
      </c>
      <c r="D777" s="337"/>
      <c r="E777" s="337"/>
      <c r="F777" s="337"/>
      <c r="G777" s="337"/>
      <c r="H777" s="337"/>
      <c r="I777" s="337"/>
      <c r="J777" s="337"/>
      <c r="K777" s="337"/>
      <c r="L777" s="337"/>
      <c r="M777" s="337"/>
      <c r="N777" s="337"/>
      <c r="O777" s="337"/>
      <c r="P777" s="337"/>
      <c r="Q777" s="337"/>
      <c r="R777" s="337"/>
      <c r="S777" s="337"/>
      <c r="T777" s="337"/>
      <c r="U777" s="337"/>
      <c r="V777" s="337"/>
      <c r="W777" s="337"/>
      <c r="X777" s="337"/>
      <c r="Y777" s="337"/>
      <c r="Z777" s="337"/>
      <c r="AA777" s="337"/>
      <c r="AB777" s="337"/>
      <c r="AC777" s="337"/>
      <c r="AD777" s="337"/>
      <c r="AE777" s="337"/>
      <c r="AF777" s="337"/>
      <c r="AG777" s="337"/>
      <c r="AH777" s="337"/>
      <c r="AI777" s="337"/>
      <c r="AJ777" s="337"/>
      <c r="AK777" s="175"/>
    </row>
    <row r="778" spans="1:37" x14ac:dyDescent="0.2">
      <c r="A778" s="191"/>
      <c r="B778" s="185"/>
      <c r="C778" s="185"/>
      <c r="D778" s="185"/>
      <c r="E778" s="186"/>
      <c r="F778" s="185"/>
      <c r="G778" s="185"/>
      <c r="H778" s="185"/>
      <c r="I778" s="185"/>
      <c r="J778" s="185"/>
      <c r="K778" s="185"/>
      <c r="L778" s="185"/>
      <c r="M778" s="185"/>
      <c r="N778" s="185"/>
      <c r="O778" s="185"/>
      <c r="P778" s="185"/>
      <c r="Q778" s="185"/>
      <c r="R778" s="185"/>
      <c r="S778" s="185"/>
      <c r="T778" s="185"/>
      <c r="U778" s="185"/>
      <c r="V778" s="185"/>
      <c r="W778" s="185"/>
      <c r="X778" s="185"/>
      <c r="Y778" s="185"/>
      <c r="Z778" s="185"/>
      <c r="AA778" s="186"/>
      <c r="AB778" s="186"/>
      <c r="AC778" s="186"/>
      <c r="AD778" s="186"/>
      <c r="AE778" s="186"/>
      <c r="AF778" s="186"/>
      <c r="AG778" s="186"/>
      <c r="AH778" s="186"/>
      <c r="AI778" s="186"/>
      <c r="AJ778" s="187"/>
    </row>
    <row r="779" spans="1:37" x14ac:dyDescent="0.2">
      <c r="A779" s="191"/>
      <c r="B779" s="185"/>
      <c r="C779" s="311" t="s">
        <v>463</v>
      </c>
      <c r="D779" s="311"/>
      <c r="E779" s="311"/>
      <c r="F779" s="311"/>
      <c r="G779" s="311"/>
      <c r="H779" s="311"/>
      <c r="I779" s="311"/>
      <c r="J779" s="311"/>
      <c r="K779" s="311"/>
      <c r="L779" s="311"/>
      <c r="M779" s="311"/>
      <c r="N779" s="311"/>
      <c r="O779" s="311"/>
      <c r="P779" s="297" t="s">
        <v>464</v>
      </c>
      <c r="Q779" s="297"/>
      <c r="R779" s="297"/>
      <c r="S779" s="297"/>
      <c r="T779" s="297"/>
      <c r="U779" s="297"/>
      <c r="V779" s="297"/>
      <c r="W779" s="297"/>
      <c r="X779" s="297"/>
      <c r="Y779" s="297"/>
      <c r="Z779" s="297"/>
      <c r="AA779" s="297"/>
      <c r="AB779" s="297"/>
      <c r="AC779" s="297"/>
      <c r="AD779" s="297"/>
      <c r="AE779" s="297"/>
      <c r="AF779" s="297"/>
      <c r="AG779" s="297"/>
      <c r="AH779" s="297"/>
      <c r="AI779" s="297"/>
      <c r="AJ779" s="187"/>
    </row>
    <row r="780" spans="1:37" x14ac:dyDescent="0.2">
      <c r="A780" s="191"/>
      <c r="B780" s="185"/>
      <c r="C780" s="311" t="s">
        <v>465</v>
      </c>
      <c r="D780" s="311"/>
      <c r="E780" s="311"/>
      <c r="F780" s="311"/>
      <c r="G780" s="311"/>
      <c r="H780" s="311"/>
      <c r="I780" s="311"/>
      <c r="J780" s="311"/>
      <c r="K780" s="311"/>
      <c r="L780" s="311"/>
      <c r="M780" s="311"/>
      <c r="N780" s="311"/>
      <c r="O780" s="311"/>
      <c r="P780" s="297" t="s">
        <v>466</v>
      </c>
      <c r="Q780" s="297"/>
      <c r="R780" s="297"/>
      <c r="S780" s="297"/>
      <c r="T780" s="297"/>
      <c r="U780" s="297"/>
      <c r="V780" s="297"/>
      <c r="W780" s="297"/>
      <c r="X780" s="297"/>
      <c r="Y780" s="297"/>
      <c r="Z780" s="297"/>
      <c r="AA780" s="297"/>
      <c r="AB780" s="297"/>
      <c r="AC780" s="297"/>
      <c r="AD780" s="297"/>
      <c r="AE780" s="297"/>
      <c r="AF780" s="297"/>
      <c r="AG780" s="297"/>
      <c r="AH780" s="297"/>
      <c r="AI780" s="297"/>
      <c r="AJ780" s="187"/>
    </row>
    <row r="781" spans="1:37" ht="12.75" customHeight="1" x14ac:dyDescent="0.2">
      <c r="A781" s="191"/>
      <c r="B781" s="185"/>
      <c r="C781" s="185"/>
      <c r="D781" s="185"/>
      <c r="E781" s="186"/>
      <c r="F781" s="185"/>
      <c r="G781" s="185"/>
      <c r="H781" s="185"/>
      <c r="I781" s="185"/>
      <c r="J781" s="185"/>
      <c r="K781" s="185"/>
      <c r="L781" s="185"/>
      <c r="M781" s="185"/>
      <c r="N781" s="185"/>
      <c r="O781" s="185"/>
      <c r="P781" s="185"/>
      <c r="Q781" s="185"/>
      <c r="R781" s="185"/>
      <c r="S781" s="185"/>
      <c r="T781" s="185"/>
      <c r="U781" s="185"/>
      <c r="V781" s="185"/>
      <c r="W781" s="185"/>
      <c r="X781" s="185"/>
      <c r="Y781" s="185"/>
      <c r="Z781" s="185"/>
      <c r="AA781" s="186"/>
      <c r="AB781" s="186"/>
      <c r="AC781" s="186"/>
      <c r="AD781" s="186"/>
      <c r="AE781" s="186"/>
      <c r="AF781" s="186"/>
      <c r="AG781" s="186"/>
      <c r="AH781" s="186"/>
      <c r="AI781" s="186"/>
      <c r="AJ781" s="187"/>
    </row>
    <row r="782" spans="1:37" ht="13.5" customHeight="1" x14ac:dyDescent="0.2">
      <c r="A782" s="185"/>
      <c r="B782" s="185"/>
      <c r="C782" s="185"/>
      <c r="D782" s="290" t="s">
        <v>384</v>
      </c>
      <c r="E782" s="290"/>
      <c r="F782" s="290"/>
      <c r="G782" s="290"/>
      <c r="H782" s="290"/>
      <c r="I782" s="290"/>
      <c r="J782" s="290"/>
      <c r="K782" s="290"/>
      <c r="L782" s="290"/>
      <c r="M782" s="290"/>
      <c r="N782" s="290"/>
      <c r="O782" s="290"/>
      <c r="P782" s="290"/>
      <c r="Q782" s="290"/>
      <c r="R782" s="290"/>
      <c r="S782" s="290"/>
      <c r="T782" s="290"/>
      <c r="U782" s="290"/>
      <c r="V782" s="290"/>
      <c r="W782" s="290"/>
      <c r="X782" s="290"/>
      <c r="Y782" s="290"/>
      <c r="Z782" s="290"/>
      <c r="AA782" s="290"/>
      <c r="AB782" s="290"/>
      <c r="AC782" s="290"/>
      <c r="AD782" s="290"/>
      <c r="AE782" s="290"/>
      <c r="AF782" s="290"/>
      <c r="AG782" s="290"/>
      <c r="AH782" s="290"/>
      <c r="AI782" s="290"/>
      <c r="AJ782" s="290"/>
      <c r="AK782" s="174"/>
    </row>
    <row r="783" spans="1:37" x14ac:dyDescent="0.2">
      <c r="A783" s="185"/>
      <c r="B783" s="185"/>
      <c r="C783" s="185"/>
      <c r="D783" s="185"/>
      <c r="E783" s="185"/>
      <c r="F783" s="185"/>
      <c r="G783" s="185"/>
      <c r="H783" s="185"/>
      <c r="I783" s="185"/>
      <c r="J783" s="185"/>
      <c r="K783" s="185"/>
      <c r="L783" s="185"/>
      <c r="M783" s="185"/>
      <c r="N783" s="185"/>
      <c r="O783" s="185"/>
      <c r="P783" s="185"/>
      <c r="Q783" s="185"/>
      <c r="R783" s="185"/>
      <c r="S783" s="185"/>
      <c r="T783" s="185"/>
      <c r="U783" s="185"/>
      <c r="V783" s="185"/>
      <c r="W783" s="185"/>
      <c r="X783" s="185"/>
      <c r="Y783" s="185"/>
      <c r="Z783" s="185"/>
      <c r="AA783" s="186"/>
      <c r="AB783" s="186"/>
      <c r="AC783" s="186"/>
      <c r="AD783" s="186"/>
      <c r="AE783" s="186"/>
      <c r="AF783" s="186"/>
      <c r="AG783" s="186"/>
      <c r="AH783" s="186"/>
      <c r="AI783" s="186"/>
      <c r="AJ783" s="187"/>
    </row>
    <row r="784" spans="1:37" x14ac:dyDescent="0.2">
      <c r="A784" s="185"/>
      <c r="B784" s="291">
        <v>1</v>
      </c>
      <c r="C784" s="291"/>
      <c r="D784" s="291"/>
      <c r="E784" s="291"/>
      <c r="F784" s="291"/>
      <c r="G784" s="291">
        <v>2</v>
      </c>
      <c r="H784" s="291"/>
      <c r="I784" s="291" t="s">
        <v>379</v>
      </c>
      <c r="J784" s="291"/>
      <c r="K784" s="291"/>
      <c r="L784" s="291">
        <v>3</v>
      </c>
      <c r="M784" s="291"/>
      <c r="N784" s="291"/>
      <c r="O784" s="291"/>
      <c r="P784" s="291"/>
      <c r="Q784" s="291">
        <v>4</v>
      </c>
      <c r="R784" s="291" t="s">
        <v>380</v>
      </c>
      <c r="S784" s="291"/>
      <c r="T784" s="291"/>
      <c r="U784" s="291"/>
      <c r="V784" s="291">
        <v>5</v>
      </c>
      <c r="W784" s="291"/>
      <c r="X784" s="291"/>
      <c r="Y784" s="291"/>
      <c r="Z784" s="291"/>
      <c r="AA784" s="291">
        <v>6</v>
      </c>
      <c r="AB784" s="291"/>
      <c r="AC784" s="291"/>
      <c r="AD784" s="291"/>
      <c r="AE784" s="291"/>
      <c r="AF784" s="291">
        <v>7</v>
      </c>
      <c r="AG784" s="291"/>
      <c r="AH784" s="291"/>
      <c r="AI784" s="291"/>
      <c r="AJ784" s="188"/>
      <c r="AK784" s="182"/>
    </row>
    <row r="785" spans="1:126" x14ac:dyDescent="0.2">
      <c r="A785" s="185"/>
      <c r="B785" s="289"/>
      <c r="C785" s="289"/>
      <c r="D785" s="289"/>
      <c r="E785" s="289"/>
      <c r="F785" s="289"/>
      <c r="G785" s="289"/>
      <c r="H785" s="289"/>
      <c r="I785" s="289"/>
      <c r="J785" s="289"/>
      <c r="K785" s="289"/>
      <c r="L785" s="289"/>
      <c r="M785" s="289"/>
      <c r="N785" s="289"/>
      <c r="O785" s="289"/>
      <c r="P785" s="289"/>
      <c r="Q785" s="289"/>
      <c r="R785" s="289"/>
      <c r="S785" s="289"/>
      <c r="T785" s="289"/>
      <c r="U785" s="289"/>
      <c r="V785" s="289"/>
      <c r="W785" s="289"/>
      <c r="X785" s="289"/>
      <c r="Y785" s="289"/>
      <c r="Z785" s="289"/>
      <c r="AA785" s="289"/>
      <c r="AB785" s="289"/>
      <c r="AC785" s="289"/>
      <c r="AD785" s="289"/>
      <c r="AE785" s="289"/>
      <c r="AF785" s="289"/>
      <c r="AG785" s="289"/>
      <c r="AH785" s="289"/>
      <c r="AI785" s="289"/>
      <c r="AJ785" s="187"/>
    </row>
    <row r="786" spans="1:126" x14ac:dyDescent="0.2">
      <c r="A786" s="185"/>
      <c r="B786" s="185"/>
      <c r="C786" s="185"/>
      <c r="D786" s="185"/>
      <c r="E786" s="185"/>
      <c r="F786" s="185"/>
      <c r="G786" s="185"/>
      <c r="H786" s="185"/>
      <c r="I786" s="185"/>
      <c r="J786" s="185"/>
      <c r="K786" s="185"/>
      <c r="L786" s="185"/>
      <c r="M786" s="185"/>
      <c r="N786" s="185"/>
      <c r="O786" s="185"/>
      <c r="P786" s="185"/>
      <c r="Q786" s="185"/>
      <c r="R786" s="185"/>
      <c r="S786" s="185"/>
      <c r="T786" s="185"/>
      <c r="U786" s="185"/>
      <c r="V786" s="185"/>
      <c r="W786" s="185"/>
      <c r="X786" s="185"/>
      <c r="Y786" s="185"/>
      <c r="Z786" s="185"/>
      <c r="AA786" s="186"/>
      <c r="AB786" s="186"/>
      <c r="AC786" s="186"/>
      <c r="AD786" s="186"/>
      <c r="AE786" s="186"/>
      <c r="AF786" s="186"/>
      <c r="AG786" s="186"/>
      <c r="AH786" s="186"/>
      <c r="AI786" s="186"/>
      <c r="AJ786" s="187"/>
    </row>
    <row r="787" spans="1:126" x14ac:dyDescent="0.2">
      <c r="A787" s="185"/>
      <c r="B787" s="185"/>
      <c r="C787" s="185"/>
      <c r="D787" s="290" t="s">
        <v>385</v>
      </c>
      <c r="E787" s="290"/>
      <c r="F787" s="290"/>
      <c r="G787" s="290"/>
      <c r="H787" s="290"/>
      <c r="I787" s="290"/>
      <c r="J787" s="290"/>
      <c r="K787" s="290"/>
      <c r="L787" s="290"/>
      <c r="M787" s="290"/>
      <c r="N787" s="290"/>
      <c r="O787" s="290"/>
      <c r="P787" s="290"/>
      <c r="Q787" s="290"/>
      <c r="R787" s="290"/>
      <c r="S787" s="290"/>
      <c r="T787" s="290"/>
      <c r="U787" s="290"/>
      <c r="V787" s="290"/>
      <c r="W787" s="290"/>
      <c r="X787" s="290"/>
      <c r="Y787" s="290"/>
      <c r="Z787" s="290"/>
      <c r="AA787" s="290"/>
      <c r="AB787" s="290"/>
      <c r="AC787" s="290"/>
      <c r="AD787" s="290"/>
      <c r="AE787" s="290"/>
      <c r="AF787" s="290"/>
      <c r="AG787" s="290"/>
      <c r="AH787" s="290"/>
      <c r="AI787" s="290"/>
      <c r="AJ787" s="290"/>
      <c r="AK787" s="174"/>
    </row>
    <row r="788" spans="1:126" x14ac:dyDescent="0.2">
      <c r="A788" s="185"/>
      <c r="B788" s="185"/>
      <c r="C788" s="185"/>
      <c r="D788" s="185"/>
      <c r="E788" s="185"/>
      <c r="F788" s="185"/>
      <c r="G788" s="185"/>
      <c r="H788" s="185"/>
      <c r="I788" s="185"/>
      <c r="J788" s="185"/>
      <c r="K788" s="185"/>
      <c r="L788" s="185"/>
      <c r="M788" s="185"/>
      <c r="N788" s="185"/>
      <c r="O788" s="185"/>
      <c r="P788" s="185"/>
      <c r="Q788" s="185"/>
      <c r="R788" s="185"/>
      <c r="S788" s="185"/>
      <c r="T788" s="185"/>
      <c r="U788" s="185"/>
      <c r="V788" s="185"/>
      <c r="W788" s="185"/>
      <c r="X788" s="185"/>
      <c r="Y788" s="185"/>
      <c r="Z788" s="185"/>
      <c r="AA788" s="186"/>
      <c r="AB788" s="186"/>
      <c r="AC788" s="186"/>
      <c r="AD788" s="186"/>
      <c r="AE788" s="186"/>
      <c r="AF788" s="186"/>
      <c r="AG788" s="186"/>
      <c r="AH788" s="186"/>
      <c r="AI788" s="186"/>
      <c r="AJ788" s="187"/>
    </row>
    <row r="789" spans="1:126" ht="12.75" customHeight="1" x14ac:dyDescent="0.2">
      <c r="A789" s="185"/>
      <c r="B789" s="291">
        <v>1</v>
      </c>
      <c r="C789" s="291"/>
      <c r="D789" s="291"/>
      <c r="E789" s="291"/>
      <c r="F789" s="291"/>
      <c r="G789" s="291">
        <v>2</v>
      </c>
      <c r="H789" s="291"/>
      <c r="I789" s="291" t="s">
        <v>379</v>
      </c>
      <c r="J789" s="291"/>
      <c r="K789" s="291"/>
      <c r="L789" s="291">
        <v>3</v>
      </c>
      <c r="M789" s="291"/>
      <c r="N789" s="291"/>
      <c r="O789" s="291"/>
      <c r="P789" s="291"/>
      <c r="Q789" s="291">
        <v>4</v>
      </c>
      <c r="R789" s="291" t="s">
        <v>380</v>
      </c>
      <c r="S789" s="291"/>
      <c r="T789" s="291"/>
      <c r="U789" s="291"/>
      <c r="V789" s="291">
        <v>5</v>
      </c>
      <c r="W789" s="291"/>
      <c r="X789" s="291"/>
      <c r="Y789" s="291"/>
      <c r="Z789" s="291"/>
      <c r="AA789" s="291">
        <v>6</v>
      </c>
      <c r="AB789" s="291"/>
      <c r="AC789" s="291"/>
      <c r="AD789" s="291"/>
      <c r="AE789" s="291"/>
      <c r="AF789" s="291">
        <v>7</v>
      </c>
      <c r="AG789" s="291"/>
      <c r="AH789" s="291"/>
      <c r="AI789" s="291"/>
      <c r="AJ789" s="188"/>
      <c r="AK789" s="182"/>
    </row>
    <row r="790" spans="1:126" ht="13.5" customHeight="1" x14ac:dyDescent="0.2">
      <c r="A790" s="185"/>
      <c r="B790" s="289"/>
      <c r="C790" s="289"/>
      <c r="D790" s="289"/>
      <c r="E790" s="289"/>
      <c r="F790" s="289"/>
      <c r="G790" s="289"/>
      <c r="H790" s="289"/>
      <c r="I790" s="289"/>
      <c r="J790" s="289"/>
      <c r="K790" s="289"/>
      <c r="L790" s="289"/>
      <c r="M790" s="289"/>
      <c r="N790" s="289"/>
      <c r="O790" s="289"/>
      <c r="P790" s="289"/>
      <c r="Q790" s="289"/>
      <c r="R790" s="289"/>
      <c r="S790" s="289"/>
      <c r="T790" s="289"/>
      <c r="U790" s="289"/>
      <c r="V790" s="289"/>
      <c r="W790" s="289"/>
      <c r="X790" s="289"/>
      <c r="Y790" s="289"/>
      <c r="Z790" s="289"/>
      <c r="AA790" s="289"/>
      <c r="AB790" s="289"/>
      <c r="AC790" s="289"/>
      <c r="AD790" s="289"/>
      <c r="AE790" s="289"/>
      <c r="AF790" s="289"/>
      <c r="AG790" s="289"/>
      <c r="AH790" s="289"/>
      <c r="AI790" s="289"/>
      <c r="AJ790" s="187"/>
    </row>
    <row r="791" spans="1:126" x14ac:dyDescent="0.2">
      <c r="A791" s="185"/>
      <c r="B791" s="185"/>
      <c r="C791" s="185"/>
      <c r="D791" s="185"/>
      <c r="E791" s="185"/>
      <c r="F791" s="185"/>
      <c r="G791" s="185"/>
      <c r="H791" s="185"/>
      <c r="I791" s="185"/>
      <c r="J791" s="185"/>
      <c r="K791" s="185"/>
      <c r="L791" s="185"/>
      <c r="M791" s="185"/>
      <c r="N791" s="185"/>
      <c r="O791" s="185"/>
      <c r="P791" s="185"/>
      <c r="Q791" s="185"/>
      <c r="R791" s="185"/>
      <c r="S791" s="185"/>
      <c r="T791" s="185"/>
      <c r="U791" s="185"/>
      <c r="V791" s="185"/>
      <c r="W791" s="185"/>
      <c r="X791" s="185"/>
      <c r="Y791" s="185"/>
      <c r="Z791" s="185"/>
      <c r="AA791" s="186"/>
      <c r="AB791" s="186"/>
      <c r="AC791" s="186"/>
      <c r="AD791" s="186"/>
      <c r="AE791" s="186"/>
      <c r="AF791" s="186"/>
      <c r="AG791" s="186"/>
      <c r="AH791" s="186"/>
      <c r="AI791" s="186"/>
      <c r="AJ791" s="187"/>
    </row>
    <row r="792" spans="1:126" x14ac:dyDescent="0.2">
      <c r="A792" s="185"/>
      <c r="B792" s="185"/>
      <c r="C792" s="185"/>
      <c r="D792" s="290" t="s">
        <v>386</v>
      </c>
      <c r="E792" s="290"/>
      <c r="F792" s="290"/>
      <c r="G792" s="290"/>
      <c r="H792" s="290"/>
      <c r="I792" s="290"/>
      <c r="J792" s="290"/>
      <c r="K792" s="290"/>
      <c r="L792" s="290"/>
      <c r="M792" s="290"/>
      <c r="N792" s="290"/>
      <c r="O792" s="290"/>
      <c r="P792" s="290"/>
      <c r="Q792" s="290"/>
      <c r="R792" s="290"/>
      <c r="S792" s="290"/>
      <c r="T792" s="290"/>
      <c r="U792" s="290"/>
      <c r="V792" s="290"/>
      <c r="W792" s="290"/>
      <c r="X792" s="290"/>
      <c r="Y792" s="290"/>
      <c r="Z792" s="290"/>
      <c r="AA792" s="290"/>
      <c r="AB792" s="290"/>
      <c r="AC792" s="290"/>
      <c r="AD792" s="290"/>
      <c r="AE792" s="290"/>
      <c r="AF792" s="290"/>
      <c r="AG792" s="290"/>
      <c r="AH792" s="290"/>
      <c r="AI792" s="290"/>
      <c r="AJ792" s="290"/>
      <c r="AK792" s="174"/>
    </row>
    <row r="793" spans="1:126" x14ac:dyDescent="0.2">
      <c r="A793" s="185"/>
      <c r="B793" s="185"/>
      <c r="C793" s="185"/>
      <c r="D793" s="185"/>
      <c r="E793" s="185"/>
      <c r="F793" s="185"/>
      <c r="G793" s="185"/>
      <c r="H793" s="185"/>
      <c r="I793" s="185"/>
      <c r="J793" s="185"/>
      <c r="K793" s="185"/>
      <c r="L793" s="185"/>
      <c r="M793" s="185"/>
      <c r="N793" s="185"/>
      <c r="O793" s="185"/>
      <c r="P793" s="185"/>
      <c r="Q793" s="185"/>
      <c r="R793" s="185"/>
      <c r="S793" s="185"/>
      <c r="T793" s="185"/>
      <c r="U793" s="185"/>
      <c r="V793" s="185"/>
      <c r="W793" s="185"/>
      <c r="X793" s="185"/>
      <c r="Y793" s="185"/>
      <c r="Z793" s="185"/>
      <c r="AA793" s="186"/>
      <c r="AB793" s="186"/>
      <c r="AC793" s="186"/>
      <c r="AD793" s="186"/>
      <c r="AE793" s="186"/>
      <c r="AF793" s="186"/>
      <c r="AG793" s="186"/>
      <c r="AH793" s="186"/>
      <c r="AI793" s="186"/>
      <c r="AJ793" s="187"/>
    </row>
    <row r="794" spans="1:126" ht="12.75" customHeight="1" x14ac:dyDescent="0.2">
      <c r="A794" s="185"/>
      <c r="B794" s="291">
        <v>1</v>
      </c>
      <c r="C794" s="291"/>
      <c r="D794" s="291"/>
      <c r="E794" s="291"/>
      <c r="F794" s="291"/>
      <c r="G794" s="291">
        <v>2</v>
      </c>
      <c r="H794" s="291"/>
      <c r="I794" s="291" t="s">
        <v>379</v>
      </c>
      <c r="J794" s="291"/>
      <c r="K794" s="291"/>
      <c r="L794" s="291">
        <v>3</v>
      </c>
      <c r="M794" s="291"/>
      <c r="N794" s="291"/>
      <c r="O794" s="291"/>
      <c r="P794" s="291"/>
      <c r="Q794" s="291">
        <v>4</v>
      </c>
      <c r="R794" s="291" t="s">
        <v>380</v>
      </c>
      <c r="S794" s="291"/>
      <c r="T794" s="291"/>
      <c r="U794" s="291"/>
      <c r="V794" s="291">
        <v>5</v>
      </c>
      <c r="W794" s="291"/>
      <c r="X794" s="291"/>
      <c r="Y794" s="291"/>
      <c r="Z794" s="291"/>
      <c r="AA794" s="291">
        <v>6</v>
      </c>
      <c r="AB794" s="291"/>
      <c r="AC794" s="291"/>
      <c r="AD794" s="291"/>
      <c r="AE794" s="291"/>
      <c r="AF794" s="291">
        <v>7</v>
      </c>
      <c r="AG794" s="291"/>
      <c r="AH794" s="291"/>
      <c r="AI794" s="291"/>
      <c r="AJ794" s="188"/>
      <c r="AK794" s="182"/>
    </row>
    <row r="795" spans="1:126" ht="13.5" customHeight="1" x14ac:dyDescent="0.2">
      <c r="A795" s="185"/>
      <c r="B795" s="289"/>
      <c r="C795" s="289"/>
      <c r="D795" s="289"/>
      <c r="E795" s="289"/>
      <c r="F795" s="289"/>
      <c r="G795" s="289"/>
      <c r="H795" s="289"/>
      <c r="I795" s="289"/>
      <c r="J795" s="289"/>
      <c r="K795" s="289"/>
      <c r="L795" s="289"/>
      <c r="M795" s="289"/>
      <c r="N795" s="289"/>
      <c r="O795" s="289"/>
      <c r="P795" s="289"/>
      <c r="Q795" s="289"/>
      <c r="R795" s="289"/>
      <c r="S795" s="289"/>
      <c r="T795" s="289"/>
      <c r="U795" s="289"/>
      <c r="V795" s="289"/>
      <c r="W795" s="289"/>
      <c r="X795" s="289"/>
      <c r="Y795" s="289"/>
      <c r="Z795" s="289"/>
      <c r="AA795" s="289"/>
      <c r="AB795" s="289"/>
      <c r="AC795" s="289"/>
      <c r="AD795" s="289"/>
      <c r="AE795" s="289"/>
      <c r="AF795" s="289"/>
      <c r="AG795" s="289"/>
      <c r="AH795" s="289"/>
      <c r="AI795" s="289"/>
      <c r="AJ795" s="187"/>
    </row>
    <row r="796" spans="1:126" x14ac:dyDescent="0.2">
      <c r="A796" s="185"/>
      <c r="B796" s="185"/>
      <c r="C796" s="185"/>
      <c r="D796" s="185"/>
      <c r="E796" s="185"/>
      <c r="F796" s="185"/>
      <c r="G796" s="185"/>
      <c r="H796" s="185"/>
      <c r="I796" s="185"/>
      <c r="J796" s="185"/>
      <c r="K796" s="185"/>
      <c r="L796" s="185"/>
      <c r="M796" s="185"/>
      <c r="N796" s="185"/>
      <c r="O796" s="185"/>
      <c r="P796" s="185"/>
      <c r="Q796" s="185"/>
      <c r="R796" s="185"/>
      <c r="S796" s="185"/>
      <c r="T796" s="185"/>
      <c r="U796" s="185"/>
      <c r="V796" s="185"/>
      <c r="W796" s="185"/>
      <c r="X796" s="185"/>
      <c r="Y796" s="185"/>
      <c r="Z796" s="185"/>
      <c r="AA796" s="186"/>
      <c r="AB796" s="186"/>
      <c r="AC796" s="186"/>
      <c r="AD796" s="186"/>
      <c r="AE796" s="186"/>
      <c r="AF796" s="186"/>
      <c r="AG796" s="186"/>
      <c r="AH796" s="186"/>
      <c r="AI796" s="186"/>
      <c r="AJ796" s="187"/>
    </row>
    <row r="797" spans="1:126" x14ac:dyDescent="0.2">
      <c r="A797" s="185"/>
      <c r="B797" s="185"/>
      <c r="C797" s="185"/>
      <c r="D797" s="185"/>
      <c r="E797" s="185"/>
      <c r="F797" s="185"/>
      <c r="G797" s="185"/>
      <c r="H797" s="185"/>
      <c r="I797" s="185"/>
      <c r="J797" s="185"/>
      <c r="K797" s="185"/>
      <c r="L797" s="185"/>
      <c r="M797" s="185"/>
      <c r="N797" s="185"/>
      <c r="O797" s="185"/>
      <c r="P797" s="185"/>
      <c r="Q797" s="185"/>
      <c r="R797" s="185"/>
      <c r="S797" s="185"/>
      <c r="T797" s="185"/>
      <c r="U797" s="185"/>
      <c r="V797" s="185"/>
      <c r="W797" s="185"/>
      <c r="X797" s="185"/>
      <c r="Y797" s="185"/>
      <c r="Z797" s="185"/>
      <c r="AA797" s="186"/>
      <c r="AB797" s="186"/>
      <c r="AC797" s="186"/>
      <c r="AD797" s="186"/>
      <c r="AE797" s="186"/>
      <c r="AF797" s="186"/>
      <c r="AG797" s="186"/>
      <c r="AH797" s="186"/>
      <c r="AI797" s="186"/>
      <c r="AJ797" s="187"/>
    </row>
    <row r="798" spans="1:126" ht="18.75" x14ac:dyDescent="0.2">
      <c r="A798" s="334" t="s">
        <v>583</v>
      </c>
      <c r="B798" s="334"/>
      <c r="C798" s="334"/>
      <c r="D798" s="334"/>
      <c r="E798" s="334"/>
      <c r="F798" s="334"/>
      <c r="G798" s="334"/>
      <c r="H798" s="334"/>
      <c r="I798" s="334"/>
      <c r="J798" s="334"/>
      <c r="K798" s="334"/>
      <c r="L798" s="334"/>
      <c r="M798" s="334"/>
      <c r="N798" s="334"/>
      <c r="O798" s="334"/>
      <c r="P798" s="334"/>
      <c r="Q798" s="334"/>
      <c r="R798" s="334"/>
      <c r="S798" s="334"/>
      <c r="T798" s="334"/>
      <c r="U798" s="334"/>
      <c r="V798" s="334"/>
      <c r="W798" s="334"/>
      <c r="X798" s="334"/>
      <c r="Y798" s="334"/>
      <c r="Z798" s="334"/>
      <c r="AA798" s="334"/>
      <c r="AB798" s="334"/>
      <c r="AC798" s="334"/>
      <c r="AD798" s="334"/>
      <c r="AE798" s="334"/>
      <c r="AF798" s="334"/>
      <c r="AG798" s="334"/>
      <c r="AH798" s="334"/>
      <c r="AI798" s="334"/>
      <c r="AJ798" s="334"/>
      <c r="AK798" s="178"/>
    </row>
    <row r="799" spans="1:126" x14ac:dyDescent="0.2">
      <c r="A799" s="54"/>
      <c r="B799" s="54"/>
      <c r="C799" s="54"/>
      <c r="D799" s="54"/>
      <c r="E799" s="54"/>
      <c r="F799" s="54"/>
      <c r="G799" s="54"/>
      <c r="H799" s="54"/>
      <c r="I799" s="54"/>
      <c r="J799" s="54"/>
      <c r="K799" s="54"/>
      <c r="L799" s="54"/>
      <c r="M799" s="54"/>
      <c r="N799" s="54"/>
      <c r="O799" s="54"/>
      <c r="P799" s="54"/>
      <c r="Q799" s="54"/>
      <c r="R799" s="54"/>
      <c r="S799" s="54"/>
      <c r="T799" s="54"/>
      <c r="U799" s="54"/>
      <c r="V799" s="54"/>
      <c r="W799" s="54"/>
      <c r="X799" s="54"/>
      <c r="Y799" s="54"/>
      <c r="Z799" s="54"/>
      <c r="BC799" s="63"/>
      <c r="BD799" s="63"/>
      <c r="BF799" s="63"/>
      <c r="BG799" s="63"/>
      <c r="BH799" s="63"/>
      <c r="BI799" s="63"/>
      <c r="BJ799" s="63"/>
      <c r="BK799" s="63"/>
      <c r="BL799" s="63"/>
      <c r="BM799" s="63"/>
      <c r="BN799" s="63"/>
      <c r="BO799" s="63"/>
      <c r="BP799" s="63"/>
      <c r="BR799" s="63"/>
      <c r="BS799" s="63"/>
      <c r="BT799" s="63"/>
      <c r="BU799" s="63"/>
      <c r="BV799" s="63"/>
      <c r="BW799" s="63"/>
      <c r="BX799" s="63"/>
      <c r="BY799" s="63"/>
      <c r="BZ799" s="63"/>
      <c r="CK799" s="63"/>
      <c r="CL799" s="63"/>
      <c r="CM799" s="63"/>
      <c r="CN799" s="63"/>
      <c r="CO799" s="63"/>
      <c r="CP799" s="63"/>
      <c r="CQ799" s="63"/>
      <c r="DP799" s="63"/>
      <c r="DQ799" s="63"/>
      <c r="DR799" s="63"/>
      <c r="DS799" s="63"/>
      <c r="DT799" s="63"/>
      <c r="DU799" s="63"/>
      <c r="DV799" s="63"/>
    </row>
    <row r="800" spans="1:126" ht="15" x14ac:dyDescent="0.2">
      <c r="A800" s="54"/>
      <c r="B800" s="248" t="s">
        <v>952</v>
      </c>
      <c r="C800" s="248"/>
      <c r="D800" s="248"/>
      <c r="E800" s="248"/>
      <c r="F800" s="248"/>
      <c r="G800" s="248"/>
      <c r="H800" s="248"/>
      <c r="I800" s="248"/>
      <c r="J800" s="248"/>
      <c r="K800" s="248"/>
      <c r="L800" s="248"/>
      <c r="M800" s="248"/>
      <c r="N800" s="248"/>
      <c r="O800" s="248"/>
      <c r="P800" s="248"/>
      <c r="Q800" s="248"/>
      <c r="R800" s="248"/>
      <c r="S800" s="248"/>
      <c r="T800" s="248"/>
      <c r="U800" s="248"/>
      <c r="V800" s="248"/>
      <c r="W800" s="248"/>
      <c r="X800" s="248"/>
      <c r="Y800" s="248"/>
      <c r="Z800" s="248"/>
      <c r="AA800" s="248"/>
      <c r="AB800" s="248"/>
      <c r="AC800" s="248"/>
      <c r="AD800" s="248"/>
      <c r="AE800" s="248"/>
      <c r="AF800" s="248"/>
      <c r="AG800" s="248"/>
      <c r="AH800" s="248"/>
      <c r="AI800" s="248"/>
    </row>
    <row r="801" spans="1:126" x14ac:dyDescent="0.2">
      <c r="A801" s="54"/>
      <c r="B801" s="54"/>
      <c r="C801" s="54"/>
      <c r="D801" s="54"/>
      <c r="E801" s="54"/>
      <c r="F801" s="54"/>
      <c r="G801" s="54"/>
      <c r="H801" s="54"/>
      <c r="I801" s="54"/>
      <c r="J801" s="54"/>
      <c r="K801" s="54"/>
      <c r="L801" s="54"/>
      <c r="M801" s="54"/>
      <c r="N801" s="54"/>
      <c r="O801" s="54"/>
      <c r="P801" s="54"/>
      <c r="Q801" s="54"/>
      <c r="R801" s="54"/>
      <c r="S801" s="54"/>
      <c r="T801" s="54"/>
      <c r="U801" s="54"/>
      <c r="V801" s="54"/>
      <c r="W801" s="54"/>
      <c r="X801" s="54"/>
      <c r="Y801" s="54"/>
      <c r="Z801" s="54"/>
    </row>
    <row r="802" spans="1:126" x14ac:dyDescent="0.2">
      <c r="A802" s="54"/>
      <c r="B802" s="54"/>
      <c r="C802" s="324" t="s">
        <v>644</v>
      </c>
      <c r="D802" s="324"/>
      <c r="E802" s="324"/>
      <c r="F802" s="324"/>
      <c r="G802" s="324"/>
      <c r="H802" s="324"/>
      <c r="I802" s="324"/>
      <c r="J802" s="324"/>
      <c r="K802" s="324"/>
      <c r="L802" s="324"/>
      <c r="M802" s="324"/>
      <c r="N802" s="324"/>
      <c r="O802" s="324"/>
      <c r="P802" s="324"/>
      <c r="Q802" s="324"/>
      <c r="R802" s="324"/>
      <c r="S802" s="324"/>
      <c r="T802" s="324"/>
      <c r="U802" s="324"/>
      <c r="V802" s="324"/>
      <c r="W802" s="324"/>
      <c r="X802" s="324"/>
      <c r="Y802" s="324"/>
      <c r="Z802" s="324"/>
      <c r="AA802" s="324"/>
      <c r="AB802" s="324"/>
      <c r="AC802" s="324"/>
      <c r="AD802" s="324"/>
      <c r="AE802" s="324"/>
      <c r="AF802" s="324"/>
      <c r="AG802" s="324"/>
      <c r="AH802" s="324"/>
      <c r="AI802" s="324"/>
      <c r="AJ802" s="324"/>
      <c r="AK802" s="173"/>
    </row>
    <row r="803" spans="1:126" x14ac:dyDescent="0.2">
      <c r="A803" s="54"/>
      <c r="B803" s="54"/>
      <c r="C803" s="54"/>
      <c r="D803" s="54"/>
      <c r="E803" s="54"/>
      <c r="F803" s="54"/>
      <c r="G803" s="54"/>
      <c r="H803" s="54"/>
      <c r="I803" s="54"/>
      <c r="J803" s="54"/>
      <c r="K803" s="54"/>
      <c r="L803" s="54"/>
      <c r="M803" s="54"/>
      <c r="N803" s="54"/>
      <c r="O803" s="54"/>
      <c r="P803" s="54"/>
      <c r="Q803" s="54"/>
      <c r="R803" s="54"/>
      <c r="S803" s="54"/>
      <c r="T803" s="54"/>
      <c r="U803" s="54"/>
      <c r="V803" s="54"/>
      <c r="W803" s="54"/>
      <c r="X803" s="54"/>
      <c r="Y803" s="54"/>
      <c r="Z803" s="54"/>
    </row>
    <row r="804" spans="1:126" x14ac:dyDescent="0.2">
      <c r="A804" s="54"/>
      <c r="B804" s="54"/>
      <c r="C804" s="54"/>
      <c r="D804" s="324" t="s">
        <v>956</v>
      </c>
      <c r="E804" s="333"/>
      <c r="F804" s="333"/>
      <c r="G804" s="333"/>
      <c r="H804" s="333"/>
      <c r="I804" s="333"/>
      <c r="J804" s="333"/>
      <c r="K804" s="333"/>
      <c r="L804" s="333"/>
      <c r="M804" s="333"/>
      <c r="N804" s="333"/>
      <c r="O804" s="333"/>
      <c r="P804" s="333"/>
      <c r="Q804" s="333"/>
      <c r="R804" s="333"/>
      <c r="S804" s="333"/>
      <c r="T804" s="333"/>
      <c r="U804" s="333"/>
      <c r="V804" s="333"/>
      <c r="W804" s="333"/>
      <c r="X804" s="333"/>
      <c r="Y804" s="333"/>
      <c r="Z804" s="333"/>
      <c r="AA804" s="333"/>
      <c r="AB804" s="333"/>
      <c r="AC804" s="333"/>
      <c r="AD804" s="333"/>
      <c r="AE804" s="333"/>
      <c r="AF804" s="333"/>
      <c r="AG804" s="333"/>
      <c r="AH804" s="333"/>
      <c r="AI804" s="333"/>
      <c r="AJ804" s="333"/>
      <c r="AK804" s="175"/>
    </row>
    <row r="805" spans="1:126" x14ac:dyDescent="0.2">
      <c r="A805" s="54"/>
      <c r="B805" s="54"/>
      <c r="C805" s="54"/>
      <c r="D805" s="324" t="s">
        <v>371</v>
      </c>
      <c r="E805" s="333"/>
      <c r="F805" s="333"/>
      <c r="G805" s="333"/>
      <c r="H805" s="333"/>
      <c r="I805" s="333"/>
      <c r="J805" s="333"/>
      <c r="K805" s="333"/>
      <c r="L805" s="333"/>
      <c r="M805" s="333"/>
      <c r="N805" s="333"/>
      <c r="O805" s="333"/>
      <c r="P805" s="333"/>
      <c r="Q805" s="333"/>
      <c r="R805" s="333"/>
      <c r="S805" s="333"/>
      <c r="T805" s="333"/>
      <c r="U805" s="333"/>
      <c r="V805" s="333"/>
      <c r="W805" s="333"/>
      <c r="X805" s="333"/>
      <c r="Y805" s="333"/>
      <c r="Z805" s="333"/>
      <c r="AA805" s="333"/>
      <c r="AB805" s="333"/>
      <c r="AC805" s="333"/>
      <c r="AD805" s="333"/>
      <c r="AE805" s="333"/>
      <c r="AF805" s="333"/>
      <c r="AG805" s="333"/>
      <c r="AH805" s="333"/>
      <c r="AI805" s="333"/>
      <c r="AJ805" s="333"/>
      <c r="AK805" s="175"/>
    </row>
    <row r="806" spans="1:126" x14ac:dyDescent="0.2">
      <c r="A806" s="54"/>
      <c r="B806" s="54"/>
      <c r="C806" s="54"/>
      <c r="D806" s="324" t="s">
        <v>372</v>
      </c>
      <c r="E806" s="333"/>
      <c r="F806" s="333"/>
      <c r="G806" s="333"/>
      <c r="H806" s="333"/>
      <c r="I806" s="333"/>
      <c r="J806" s="333"/>
      <c r="K806" s="333"/>
      <c r="L806" s="333"/>
      <c r="M806" s="333"/>
      <c r="N806" s="333"/>
      <c r="O806" s="333"/>
      <c r="P806" s="333"/>
      <c r="Q806" s="333"/>
      <c r="R806" s="333"/>
      <c r="S806" s="333"/>
      <c r="T806" s="333"/>
      <c r="U806" s="333"/>
      <c r="V806" s="333"/>
      <c r="W806" s="333"/>
      <c r="X806" s="333"/>
      <c r="Y806" s="333"/>
      <c r="Z806" s="333"/>
      <c r="AA806" s="333"/>
      <c r="AB806" s="333"/>
      <c r="AC806" s="333"/>
      <c r="AD806" s="333"/>
      <c r="AE806" s="333"/>
      <c r="AF806" s="333"/>
      <c r="AG806" s="333"/>
      <c r="AH806" s="333"/>
      <c r="AI806" s="333"/>
      <c r="AJ806" s="333"/>
      <c r="AK806" s="175"/>
    </row>
    <row r="807" spans="1:126" x14ac:dyDescent="0.2">
      <c r="A807" s="54"/>
      <c r="B807" s="54"/>
      <c r="C807" s="54"/>
      <c r="D807" s="324" t="s">
        <v>373</v>
      </c>
      <c r="E807" s="333"/>
      <c r="F807" s="333"/>
      <c r="G807" s="333"/>
      <c r="H807" s="333"/>
      <c r="I807" s="333"/>
      <c r="J807" s="333"/>
      <c r="K807" s="333"/>
      <c r="L807" s="333"/>
      <c r="M807" s="333"/>
      <c r="N807" s="333"/>
      <c r="O807" s="333"/>
      <c r="P807" s="333"/>
      <c r="Q807" s="333"/>
      <c r="R807" s="333"/>
      <c r="S807" s="333"/>
      <c r="T807" s="333"/>
      <c r="U807" s="333"/>
      <c r="V807" s="333"/>
      <c r="W807" s="333"/>
      <c r="X807" s="333"/>
      <c r="Y807" s="333"/>
      <c r="Z807" s="333"/>
      <c r="AA807" s="333"/>
      <c r="AB807" s="333"/>
      <c r="AC807" s="333"/>
      <c r="AD807" s="333"/>
      <c r="AE807" s="333"/>
      <c r="AF807" s="333"/>
      <c r="AG807" s="333"/>
      <c r="AH807" s="333"/>
      <c r="AI807" s="333"/>
      <c r="AJ807" s="333"/>
      <c r="AK807" s="175"/>
    </row>
    <row r="808" spans="1:126" x14ac:dyDescent="0.2">
      <c r="A808" s="54"/>
      <c r="B808" s="54"/>
      <c r="C808" s="54"/>
      <c r="D808" s="54"/>
      <c r="E808" s="54"/>
      <c r="F808" s="54"/>
      <c r="G808" s="54"/>
      <c r="H808" s="54"/>
      <c r="I808" s="54"/>
      <c r="J808" s="54"/>
      <c r="K808" s="54"/>
      <c r="L808" s="54"/>
      <c r="M808" s="54"/>
      <c r="N808" s="54"/>
      <c r="O808" s="54"/>
      <c r="P808" s="54"/>
      <c r="Q808" s="54"/>
      <c r="R808" s="54"/>
      <c r="S808" s="54"/>
      <c r="T808" s="54"/>
      <c r="U808" s="54"/>
      <c r="V808" s="54"/>
      <c r="W808" s="54"/>
      <c r="X808" s="54"/>
      <c r="Y808" s="54"/>
      <c r="Z808" s="54"/>
      <c r="BB808" s="63"/>
      <c r="BE808" s="63"/>
      <c r="BQ808" s="63"/>
      <c r="CJ808" s="63"/>
      <c r="DM808" s="63"/>
      <c r="DN808" s="63"/>
      <c r="DO808" s="63"/>
    </row>
    <row r="809" spans="1:126" x14ac:dyDescent="0.2">
      <c r="A809" s="54"/>
      <c r="B809" s="54"/>
      <c r="C809" s="54"/>
      <c r="D809" s="54"/>
      <c r="E809" s="54"/>
      <c r="F809" s="54"/>
      <c r="G809" s="54"/>
      <c r="H809" s="54"/>
      <c r="I809" s="54"/>
      <c r="J809" s="54"/>
      <c r="K809" s="54"/>
      <c r="L809" s="54"/>
      <c r="M809" s="54"/>
      <c r="N809" s="54"/>
      <c r="O809" s="54"/>
      <c r="P809" s="54"/>
      <c r="Q809" s="54"/>
      <c r="R809" s="54"/>
      <c r="S809" s="54"/>
      <c r="T809" s="54"/>
      <c r="U809" s="54"/>
      <c r="V809" s="54"/>
      <c r="W809" s="54"/>
      <c r="X809" s="54"/>
      <c r="Y809" s="54"/>
      <c r="Z809" s="54"/>
    </row>
    <row r="810" spans="1:126" ht="15" x14ac:dyDescent="0.2">
      <c r="A810" s="54"/>
      <c r="B810" s="248" t="s">
        <v>602</v>
      </c>
      <c r="C810" s="248"/>
      <c r="D810" s="248"/>
      <c r="E810" s="248"/>
      <c r="F810" s="248"/>
      <c r="G810" s="248"/>
      <c r="H810" s="248"/>
      <c r="I810" s="248"/>
      <c r="J810" s="248"/>
      <c r="K810" s="248"/>
      <c r="L810" s="248"/>
      <c r="M810" s="248"/>
      <c r="N810" s="248"/>
      <c r="O810" s="248"/>
      <c r="P810" s="248"/>
      <c r="Q810" s="248"/>
      <c r="R810" s="248"/>
      <c r="S810" s="248"/>
      <c r="T810" s="248"/>
      <c r="U810" s="248"/>
      <c r="V810" s="248"/>
      <c r="W810" s="248"/>
      <c r="X810" s="248"/>
      <c r="Y810" s="248"/>
      <c r="Z810" s="248"/>
      <c r="AA810" s="248"/>
      <c r="AB810" s="248"/>
      <c r="AC810" s="248"/>
      <c r="AD810" s="248"/>
      <c r="AE810" s="248"/>
      <c r="AF810" s="248"/>
      <c r="AG810" s="248"/>
      <c r="AH810" s="248"/>
      <c r="AI810" s="248"/>
    </row>
    <row r="811" spans="1:126" x14ac:dyDescent="0.2">
      <c r="A811" s="54"/>
      <c r="B811" s="54"/>
      <c r="C811" s="54"/>
      <c r="D811" s="54"/>
      <c r="E811" s="54"/>
      <c r="F811" s="54"/>
      <c r="G811" s="54"/>
      <c r="H811" s="54"/>
      <c r="I811" s="54"/>
      <c r="J811" s="54"/>
      <c r="K811" s="54"/>
      <c r="L811" s="54"/>
      <c r="M811" s="54"/>
      <c r="N811" s="54"/>
      <c r="O811" s="54"/>
      <c r="P811" s="54"/>
      <c r="Q811" s="54"/>
      <c r="R811" s="54"/>
      <c r="S811" s="54"/>
      <c r="T811" s="54"/>
      <c r="U811" s="54"/>
      <c r="V811" s="54"/>
      <c r="W811" s="54"/>
      <c r="X811" s="54"/>
      <c r="Y811" s="54"/>
      <c r="Z811" s="54"/>
    </row>
    <row r="812" spans="1:126" ht="14.25" customHeight="1" x14ac:dyDescent="0.2">
      <c r="A812" s="54"/>
      <c r="B812" s="54"/>
      <c r="C812" s="324" t="s">
        <v>643</v>
      </c>
      <c r="D812" s="324"/>
      <c r="E812" s="324"/>
      <c r="F812" s="324"/>
      <c r="G812" s="324"/>
      <c r="H812" s="324"/>
      <c r="I812" s="324"/>
      <c r="J812" s="324"/>
      <c r="K812" s="324"/>
      <c r="L812" s="324"/>
      <c r="M812" s="324"/>
      <c r="N812" s="324"/>
      <c r="O812" s="324"/>
      <c r="P812" s="324"/>
      <c r="Q812" s="324"/>
      <c r="R812" s="324"/>
      <c r="S812" s="324"/>
      <c r="T812" s="324"/>
      <c r="U812" s="324"/>
      <c r="V812" s="324"/>
      <c r="W812" s="324"/>
      <c r="X812" s="324"/>
      <c r="Y812" s="324"/>
      <c r="Z812" s="324"/>
      <c r="AA812" s="324"/>
      <c r="AB812" s="324"/>
      <c r="AC812" s="324"/>
      <c r="AD812" s="324"/>
      <c r="AE812" s="324"/>
      <c r="AF812" s="324"/>
      <c r="AG812" s="324"/>
      <c r="AH812" s="324"/>
      <c r="AI812" s="324"/>
      <c r="AJ812" s="324"/>
      <c r="AK812" s="173"/>
      <c r="AY812" s="55"/>
      <c r="AZ812" s="55"/>
      <c r="BA812" s="55"/>
      <c r="BB812" s="55"/>
      <c r="BC812" s="55"/>
      <c r="BD812" s="55"/>
      <c r="BE812" s="55"/>
      <c r="BF812" s="55"/>
      <c r="BG812" s="55"/>
      <c r="BH812" s="55"/>
      <c r="BI812" s="55"/>
      <c r="BJ812" s="55"/>
      <c r="BK812" s="55"/>
      <c r="BL812" s="55"/>
      <c r="BM812" s="55"/>
      <c r="BN812" s="55"/>
      <c r="BO812" s="55"/>
      <c r="BP812" s="55"/>
      <c r="BQ812" s="55"/>
      <c r="BR812" s="55"/>
      <c r="BS812" s="55"/>
      <c r="BT812" s="55"/>
      <c r="BU812" s="55"/>
      <c r="BV812" s="55"/>
      <c r="BW812" s="55"/>
      <c r="BX812" s="55"/>
      <c r="BY812" s="55"/>
      <c r="BZ812" s="55"/>
      <c r="CI812" s="55"/>
      <c r="CJ812" s="55"/>
      <c r="CK812" s="55"/>
      <c r="CL812" s="55"/>
      <c r="CM812" s="55"/>
      <c r="CN812" s="55"/>
      <c r="CO812" s="55"/>
      <c r="CP812" s="55"/>
      <c r="CQ812" s="55"/>
      <c r="DJ812" s="55"/>
      <c r="DK812" s="55"/>
      <c r="DL812" s="55"/>
      <c r="DM812" s="55"/>
      <c r="DN812" s="55"/>
      <c r="DO812" s="55"/>
      <c r="DP812" s="55"/>
      <c r="DQ812" s="55"/>
      <c r="DR812" s="55"/>
      <c r="DS812" s="55"/>
      <c r="DT812" s="55"/>
      <c r="DU812" s="55"/>
      <c r="DV812" s="55"/>
    </row>
    <row r="813" spans="1:126" ht="12.75" x14ac:dyDescent="0.2">
      <c r="A813" s="54"/>
      <c r="B813" s="54"/>
      <c r="C813" s="324"/>
      <c r="D813" s="324"/>
      <c r="E813" s="324"/>
      <c r="F813" s="324"/>
      <c r="G813" s="324"/>
      <c r="H813" s="324"/>
      <c r="I813" s="324"/>
      <c r="J813" s="324"/>
      <c r="K813" s="324"/>
      <c r="L813" s="324"/>
      <c r="M813" s="324"/>
      <c r="N813" s="324"/>
      <c r="O813" s="324"/>
      <c r="P813" s="324"/>
      <c r="Q813" s="324"/>
      <c r="R813" s="324"/>
      <c r="S813" s="324"/>
      <c r="T813" s="324"/>
      <c r="U813" s="324"/>
      <c r="V813" s="324"/>
      <c r="W813" s="324"/>
      <c r="X813" s="324"/>
      <c r="Y813" s="324"/>
      <c r="Z813" s="324"/>
      <c r="AA813" s="324"/>
      <c r="AB813" s="324"/>
      <c r="AC813" s="324"/>
      <c r="AD813" s="324"/>
      <c r="AE813" s="324"/>
      <c r="AF813" s="324"/>
      <c r="AG813" s="324"/>
      <c r="AH813" s="324"/>
      <c r="AI813" s="324"/>
      <c r="AJ813" s="324"/>
      <c r="AK813" s="173"/>
      <c r="AY813" s="55"/>
      <c r="AZ813" s="55"/>
      <c r="BA813" s="55"/>
      <c r="BB813" s="55"/>
      <c r="BC813" s="55"/>
      <c r="BD813" s="55"/>
      <c r="BE813" s="55"/>
      <c r="BF813" s="55"/>
      <c r="BG813" s="55"/>
      <c r="BH813" s="55"/>
      <c r="BI813" s="55"/>
      <c r="BJ813" s="55"/>
      <c r="BK813" s="55"/>
      <c r="BL813" s="55"/>
      <c r="BM813" s="55"/>
      <c r="BN813" s="55"/>
      <c r="BO813" s="55"/>
      <c r="BP813" s="55"/>
      <c r="BQ813" s="55"/>
      <c r="BR813" s="55"/>
      <c r="BS813" s="55"/>
      <c r="BT813" s="55"/>
      <c r="BU813" s="55"/>
      <c r="BV813" s="55"/>
      <c r="BW813" s="55"/>
      <c r="BX813" s="55"/>
      <c r="BY813" s="55"/>
      <c r="BZ813" s="55"/>
      <c r="CI813" s="55"/>
      <c r="CJ813" s="55"/>
      <c r="CK813" s="55"/>
      <c r="CL813" s="55"/>
      <c r="CM813" s="55"/>
      <c r="CN813" s="55"/>
      <c r="CO813" s="55"/>
      <c r="CP813" s="55"/>
      <c r="CQ813" s="55"/>
      <c r="DJ813" s="55"/>
      <c r="DK813" s="55"/>
      <c r="DL813" s="55"/>
      <c r="DM813" s="55"/>
      <c r="DN813" s="55"/>
      <c r="DO813" s="55"/>
      <c r="DP813" s="55"/>
      <c r="DQ813" s="55"/>
      <c r="DR813" s="55"/>
      <c r="DS813" s="55"/>
      <c r="DT813" s="55"/>
      <c r="DU813" s="55"/>
      <c r="DV813" s="55"/>
    </row>
    <row r="814" spans="1:126" ht="12.75" x14ac:dyDescent="0.2">
      <c r="A814" s="54"/>
      <c r="B814" s="54"/>
      <c r="C814" s="54"/>
      <c r="D814" s="54"/>
      <c r="E814" s="54"/>
      <c r="F814" s="54"/>
      <c r="G814" s="54"/>
      <c r="H814" s="54"/>
      <c r="I814" s="54"/>
      <c r="J814" s="54"/>
      <c r="K814" s="54"/>
      <c r="L814" s="54"/>
      <c r="M814" s="54"/>
      <c r="N814" s="54"/>
      <c r="O814" s="54"/>
      <c r="P814" s="54"/>
      <c r="Q814" s="54"/>
      <c r="R814" s="54"/>
      <c r="S814" s="54"/>
      <c r="T814" s="54"/>
      <c r="U814" s="54"/>
      <c r="V814" s="54"/>
      <c r="W814" s="54"/>
      <c r="X814" s="54"/>
      <c r="Y814" s="54"/>
      <c r="Z814" s="54"/>
      <c r="AY814" s="55"/>
      <c r="AZ814" s="55"/>
      <c r="BA814" s="55"/>
      <c r="BB814" s="55"/>
      <c r="BC814" s="55"/>
      <c r="BD814" s="55"/>
      <c r="BE814" s="55"/>
      <c r="BF814" s="55"/>
      <c r="BG814" s="55"/>
      <c r="BH814" s="55"/>
      <c r="BI814" s="55"/>
      <c r="BJ814" s="55"/>
      <c r="BK814" s="55"/>
      <c r="BL814" s="55"/>
      <c r="BM814" s="55"/>
      <c r="BN814" s="55"/>
      <c r="BO814" s="55"/>
      <c r="BP814" s="55"/>
      <c r="BQ814" s="55"/>
      <c r="BR814" s="55"/>
      <c r="BS814" s="55"/>
      <c r="BT814" s="55"/>
      <c r="BU814" s="55"/>
      <c r="BV814" s="55"/>
      <c r="BW814" s="55"/>
      <c r="BX814" s="55"/>
      <c r="BY814" s="55"/>
      <c r="BZ814" s="55"/>
      <c r="CI814" s="55"/>
      <c r="CJ814" s="55"/>
      <c r="CK814" s="55"/>
      <c r="CL814" s="55"/>
      <c r="CM814" s="55"/>
      <c r="CN814" s="55"/>
      <c r="CO814" s="55"/>
      <c r="CP814" s="55"/>
      <c r="CQ814" s="55"/>
      <c r="DJ814" s="55"/>
      <c r="DK814" s="55"/>
      <c r="DL814" s="55"/>
      <c r="DM814" s="55"/>
      <c r="DN814" s="55"/>
      <c r="DO814" s="55"/>
      <c r="DP814" s="55"/>
      <c r="DQ814" s="55"/>
      <c r="DR814" s="55"/>
      <c r="DS814" s="55"/>
      <c r="DT814" s="55"/>
      <c r="DU814" s="55"/>
      <c r="DV814" s="55"/>
    </row>
    <row r="815" spans="1:126" ht="14.25" customHeight="1" x14ac:dyDescent="0.2">
      <c r="A815" s="54"/>
      <c r="B815" s="54"/>
      <c r="C815" s="54"/>
      <c r="D815" s="324" t="s">
        <v>709</v>
      </c>
      <c r="E815" s="333"/>
      <c r="F815" s="333"/>
      <c r="G815" s="333"/>
      <c r="H815" s="333"/>
      <c r="I815" s="333"/>
      <c r="J815" s="333"/>
      <c r="K815" s="333"/>
      <c r="L815" s="333"/>
      <c r="M815" s="333"/>
      <c r="N815" s="333"/>
      <c r="O815" s="333"/>
      <c r="P815" s="333"/>
      <c r="Q815" s="333"/>
      <c r="R815" s="333"/>
      <c r="S815" s="333"/>
      <c r="T815" s="333"/>
      <c r="U815" s="333"/>
      <c r="V815" s="333"/>
      <c r="W815" s="333"/>
      <c r="X815" s="333"/>
      <c r="Y815" s="333"/>
      <c r="Z815" s="333"/>
      <c r="AA815" s="333"/>
      <c r="AB815" s="333"/>
      <c r="AC815" s="333"/>
      <c r="AD815" s="333"/>
      <c r="AE815" s="333"/>
      <c r="AF815" s="333"/>
      <c r="AG815" s="333"/>
      <c r="AH815" s="333"/>
      <c r="AI815" s="333"/>
      <c r="AJ815" s="333"/>
      <c r="AK815" s="175"/>
      <c r="AY815" s="55"/>
      <c r="AZ815" s="55"/>
      <c r="BA815" s="55"/>
      <c r="BB815" s="55"/>
      <c r="BC815" s="55"/>
      <c r="BD815" s="55"/>
      <c r="BE815" s="55"/>
      <c r="BF815" s="55"/>
      <c r="BG815" s="55"/>
      <c r="BH815" s="55"/>
      <c r="BI815" s="55"/>
      <c r="BJ815" s="55"/>
      <c r="BK815" s="55"/>
      <c r="BL815" s="55"/>
      <c r="BM815" s="55"/>
      <c r="BN815" s="55"/>
      <c r="BO815" s="55"/>
      <c r="BP815" s="55"/>
      <c r="BQ815" s="55"/>
      <c r="BR815" s="55"/>
      <c r="BS815" s="55"/>
      <c r="BT815" s="55"/>
      <c r="BU815" s="55"/>
      <c r="BV815" s="55"/>
      <c r="BW815" s="55"/>
      <c r="BX815" s="55"/>
      <c r="BY815" s="55"/>
      <c r="BZ815" s="55"/>
      <c r="CI815" s="55"/>
      <c r="CJ815" s="55"/>
      <c r="CK815" s="55"/>
      <c r="CL815" s="55"/>
      <c r="CM815" s="55"/>
      <c r="CN815" s="55"/>
      <c r="CO815" s="55"/>
      <c r="CP815" s="55"/>
      <c r="CQ815" s="55"/>
      <c r="DJ815" s="55"/>
      <c r="DK815" s="55"/>
      <c r="DL815" s="55"/>
      <c r="DM815" s="55"/>
      <c r="DN815" s="55"/>
      <c r="DO815" s="55"/>
      <c r="DP815" s="55"/>
      <c r="DQ815" s="55"/>
      <c r="DR815" s="55"/>
      <c r="DS815" s="55"/>
      <c r="DT815" s="55"/>
      <c r="DU815" s="55"/>
      <c r="DV815" s="55"/>
    </row>
    <row r="816" spans="1:126" ht="12.75" x14ac:dyDescent="0.2">
      <c r="A816" s="54"/>
      <c r="B816" s="54"/>
      <c r="C816" s="54"/>
      <c r="D816" s="333"/>
      <c r="E816" s="333"/>
      <c r="F816" s="333"/>
      <c r="G816" s="333"/>
      <c r="H816" s="333"/>
      <c r="I816" s="333"/>
      <c r="J816" s="333"/>
      <c r="K816" s="333"/>
      <c r="L816" s="333"/>
      <c r="M816" s="333"/>
      <c r="N816" s="333"/>
      <c r="O816" s="333"/>
      <c r="P816" s="333"/>
      <c r="Q816" s="333"/>
      <c r="R816" s="333"/>
      <c r="S816" s="333"/>
      <c r="T816" s="333"/>
      <c r="U816" s="333"/>
      <c r="V816" s="333"/>
      <c r="W816" s="333"/>
      <c r="X816" s="333"/>
      <c r="Y816" s="333"/>
      <c r="Z816" s="333"/>
      <c r="AA816" s="333"/>
      <c r="AB816" s="333"/>
      <c r="AC816" s="333"/>
      <c r="AD816" s="333"/>
      <c r="AE816" s="333"/>
      <c r="AF816" s="333"/>
      <c r="AG816" s="333"/>
      <c r="AH816" s="333"/>
      <c r="AI816" s="333"/>
      <c r="AJ816" s="333"/>
      <c r="AK816" s="175"/>
      <c r="AY816" s="55"/>
      <c r="AZ816" s="55"/>
      <c r="BA816" s="55"/>
      <c r="BB816" s="55"/>
      <c r="BC816" s="55"/>
      <c r="BD816" s="55"/>
      <c r="BE816" s="55"/>
      <c r="BF816" s="55"/>
      <c r="BG816" s="55"/>
      <c r="BH816" s="55"/>
      <c r="BI816" s="55"/>
      <c r="BJ816" s="55"/>
      <c r="BK816" s="55"/>
      <c r="BL816" s="55"/>
      <c r="BM816" s="55"/>
      <c r="BN816" s="55"/>
      <c r="BO816" s="55"/>
      <c r="BP816" s="55"/>
      <c r="BQ816" s="55"/>
      <c r="BR816" s="55"/>
      <c r="BS816" s="55"/>
      <c r="BT816" s="55"/>
      <c r="BU816" s="55"/>
      <c r="BV816" s="55"/>
      <c r="BW816" s="55"/>
      <c r="BX816" s="55"/>
      <c r="BY816" s="55"/>
      <c r="BZ816" s="55"/>
      <c r="CI816" s="55"/>
      <c r="CJ816" s="55"/>
      <c r="CK816" s="55"/>
      <c r="CL816" s="55"/>
      <c r="CM816" s="55"/>
      <c r="CN816" s="55"/>
      <c r="CO816" s="55"/>
      <c r="CP816" s="55"/>
      <c r="CQ816" s="55"/>
      <c r="DJ816" s="55"/>
      <c r="DK816" s="55"/>
      <c r="DL816" s="55"/>
      <c r="DM816" s="55"/>
      <c r="DN816" s="55"/>
      <c r="DO816" s="55"/>
      <c r="DP816" s="55"/>
      <c r="DQ816" s="55"/>
      <c r="DR816" s="55"/>
      <c r="DS816" s="55"/>
      <c r="DT816" s="55"/>
      <c r="DU816" s="55"/>
      <c r="DV816" s="55"/>
    </row>
    <row r="817" spans="1:126" ht="12.75" x14ac:dyDescent="0.2">
      <c r="A817" s="54"/>
      <c r="B817" s="54"/>
      <c r="C817" s="54"/>
      <c r="D817" s="333"/>
      <c r="E817" s="333"/>
      <c r="F817" s="333"/>
      <c r="G817" s="333"/>
      <c r="H817" s="333"/>
      <c r="I817" s="333"/>
      <c r="J817" s="333"/>
      <c r="K817" s="333"/>
      <c r="L817" s="333"/>
      <c r="M817" s="333"/>
      <c r="N817" s="333"/>
      <c r="O817" s="333"/>
      <c r="P817" s="333"/>
      <c r="Q817" s="333"/>
      <c r="R817" s="333"/>
      <c r="S817" s="333"/>
      <c r="T817" s="333"/>
      <c r="U817" s="333"/>
      <c r="V817" s="333"/>
      <c r="W817" s="333"/>
      <c r="X817" s="333"/>
      <c r="Y817" s="333"/>
      <c r="Z817" s="333"/>
      <c r="AA817" s="333"/>
      <c r="AB817" s="333"/>
      <c r="AC817" s="333"/>
      <c r="AD817" s="333"/>
      <c r="AE817" s="333"/>
      <c r="AF817" s="333"/>
      <c r="AG817" s="333"/>
      <c r="AH817" s="333"/>
      <c r="AI817" s="333"/>
      <c r="AJ817" s="333"/>
      <c r="AK817" s="175"/>
      <c r="AY817" s="55"/>
      <c r="AZ817" s="55"/>
      <c r="BA817" s="55"/>
      <c r="BB817" s="55"/>
      <c r="BC817" s="55"/>
      <c r="BD817" s="55"/>
      <c r="BE817" s="55"/>
      <c r="BF817" s="55"/>
      <c r="BG817" s="55"/>
      <c r="BH817" s="55"/>
      <c r="BI817" s="55"/>
      <c r="BJ817" s="55"/>
      <c r="BK817" s="55"/>
      <c r="BL817" s="55"/>
      <c r="BM817" s="55"/>
      <c r="BN817" s="55"/>
      <c r="BO817" s="55"/>
      <c r="BP817" s="55"/>
      <c r="BQ817" s="55"/>
      <c r="BR817" s="55"/>
      <c r="BS817" s="55"/>
      <c r="BT817" s="55"/>
      <c r="BU817" s="55"/>
      <c r="BV817" s="55"/>
      <c r="BW817" s="55"/>
      <c r="BX817" s="55"/>
      <c r="BY817" s="55"/>
      <c r="BZ817" s="55"/>
      <c r="CI817" s="55"/>
      <c r="CJ817" s="55"/>
      <c r="CK817" s="55"/>
      <c r="CL817" s="55"/>
      <c r="CM817" s="55"/>
      <c r="CN817" s="55"/>
      <c r="CO817" s="55"/>
      <c r="CP817" s="55"/>
      <c r="CQ817" s="55"/>
      <c r="DJ817" s="55"/>
      <c r="DK817" s="55"/>
      <c r="DL817" s="55"/>
      <c r="DM817" s="55"/>
      <c r="DN817" s="55"/>
      <c r="DO817" s="55"/>
      <c r="DP817" s="55"/>
      <c r="DQ817" s="55"/>
      <c r="DR817" s="55"/>
      <c r="DS817" s="55"/>
      <c r="DT817" s="55"/>
      <c r="DU817" s="55"/>
      <c r="DV817" s="55"/>
    </row>
    <row r="818" spans="1:126" ht="14.25" customHeight="1" x14ac:dyDescent="0.2">
      <c r="A818" s="54"/>
      <c r="B818" s="54"/>
      <c r="C818" s="54"/>
      <c r="D818" s="324" t="s">
        <v>710</v>
      </c>
      <c r="E818" s="324"/>
      <c r="F818" s="324"/>
      <c r="G818" s="324"/>
      <c r="H818" s="324"/>
      <c r="I818" s="324"/>
      <c r="J818" s="324"/>
      <c r="K818" s="324"/>
      <c r="L818" s="324"/>
      <c r="M818" s="324"/>
      <c r="N818" s="324"/>
      <c r="O818" s="324"/>
      <c r="P818" s="324"/>
      <c r="Q818" s="324"/>
      <c r="R818" s="324"/>
      <c r="S818" s="324"/>
      <c r="T818" s="324"/>
      <c r="U818" s="324"/>
      <c r="V818" s="324"/>
      <c r="W818" s="324"/>
      <c r="X818" s="324"/>
      <c r="Y818" s="324"/>
      <c r="Z818" s="324"/>
      <c r="AA818" s="324"/>
      <c r="AB818" s="324"/>
      <c r="AC818" s="324"/>
      <c r="AD818" s="324"/>
      <c r="AE818" s="324"/>
      <c r="AF818" s="324"/>
      <c r="AG818" s="324"/>
      <c r="AH818" s="324"/>
      <c r="AI818" s="324"/>
      <c r="AJ818" s="324"/>
      <c r="AK818" s="173"/>
      <c r="AY818" s="55"/>
      <c r="AZ818" s="55"/>
      <c r="BA818" s="55"/>
      <c r="BB818" s="55"/>
      <c r="BC818" s="55"/>
      <c r="BD818" s="55"/>
      <c r="BE818" s="55"/>
      <c r="BF818" s="55"/>
      <c r="BG818" s="55"/>
      <c r="BH818" s="55"/>
      <c r="BI818" s="55"/>
      <c r="BJ818" s="55"/>
      <c r="BK818" s="55"/>
      <c r="BL818" s="55"/>
      <c r="BM818" s="55"/>
      <c r="BN818" s="55"/>
      <c r="BO818" s="55"/>
      <c r="BP818" s="55"/>
      <c r="BQ818" s="55"/>
      <c r="BR818" s="55"/>
      <c r="BS818" s="55"/>
      <c r="BT818" s="55"/>
      <c r="BU818" s="55"/>
      <c r="BV818" s="55"/>
      <c r="BW818" s="55"/>
      <c r="BX818" s="55"/>
      <c r="BY818" s="55"/>
      <c r="BZ818" s="55"/>
      <c r="CI818" s="55"/>
      <c r="CJ818" s="55"/>
      <c r="CK818" s="55"/>
      <c r="CL818" s="55"/>
      <c r="CM818" s="55"/>
      <c r="CN818" s="55"/>
      <c r="CO818" s="55"/>
      <c r="CP818" s="55"/>
      <c r="CQ818" s="55"/>
      <c r="DJ818" s="55"/>
      <c r="DK818" s="55"/>
      <c r="DL818" s="55"/>
      <c r="DM818" s="55"/>
      <c r="DN818" s="55"/>
      <c r="DO818" s="55"/>
      <c r="DP818" s="55"/>
      <c r="DQ818" s="55"/>
      <c r="DR818" s="55"/>
      <c r="DS818" s="55"/>
      <c r="DT818" s="55"/>
      <c r="DU818" s="55"/>
      <c r="DV818" s="55"/>
    </row>
    <row r="819" spans="1:126" ht="12.75" x14ac:dyDescent="0.2">
      <c r="A819" s="54"/>
      <c r="B819" s="54"/>
      <c r="C819" s="54"/>
      <c r="D819" s="324"/>
      <c r="E819" s="324"/>
      <c r="F819" s="324"/>
      <c r="G819" s="324"/>
      <c r="H819" s="324"/>
      <c r="I819" s="324"/>
      <c r="J819" s="324"/>
      <c r="K819" s="324"/>
      <c r="L819" s="324"/>
      <c r="M819" s="324"/>
      <c r="N819" s="324"/>
      <c r="O819" s="324"/>
      <c r="P819" s="324"/>
      <c r="Q819" s="324"/>
      <c r="R819" s="324"/>
      <c r="S819" s="324"/>
      <c r="T819" s="324"/>
      <c r="U819" s="324"/>
      <c r="V819" s="324"/>
      <c r="W819" s="324"/>
      <c r="X819" s="324"/>
      <c r="Y819" s="324"/>
      <c r="Z819" s="324"/>
      <c r="AA819" s="324"/>
      <c r="AB819" s="324"/>
      <c r="AC819" s="324"/>
      <c r="AD819" s="324"/>
      <c r="AE819" s="324"/>
      <c r="AF819" s="324"/>
      <c r="AG819" s="324"/>
      <c r="AH819" s="324"/>
      <c r="AI819" s="324"/>
      <c r="AJ819" s="324"/>
      <c r="AK819" s="173"/>
      <c r="AY819" s="55"/>
      <c r="AZ819" s="55"/>
      <c r="BA819" s="55"/>
      <c r="BB819" s="55"/>
      <c r="BC819" s="55"/>
      <c r="BD819" s="55"/>
      <c r="BE819" s="55"/>
      <c r="BF819" s="55"/>
      <c r="BG819" s="55"/>
      <c r="BH819" s="55"/>
      <c r="BI819" s="55"/>
      <c r="BJ819" s="55"/>
      <c r="BK819" s="55"/>
      <c r="BL819" s="55"/>
      <c r="BM819" s="55"/>
      <c r="BN819" s="55"/>
      <c r="BO819" s="55"/>
      <c r="BP819" s="55"/>
      <c r="BQ819" s="55"/>
      <c r="BR819" s="55"/>
      <c r="BS819" s="55"/>
      <c r="BT819" s="55"/>
      <c r="BU819" s="55"/>
      <c r="BV819" s="55"/>
      <c r="BW819" s="55"/>
      <c r="BX819" s="55"/>
      <c r="BY819" s="55"/>
      <c r="BZ819" s="55"/>
      <c r="CI819" s="55"/>
      <c r="CJ819" s="55"/>
      <c r="CK819" s="55"/>
      <c r="CL819" s="55"/>
      <c r="CM819" s="55"/>
      <c r="CN819" s="55"/>
      <c r="CO819" s="55"/>
      <c r="CP819" s="55"/>
      <c r="CQ819" s="55"/>
      <c r="DJ819" s="55"/>
      <c r="DK819" s="55"/>
      <c r="DL819" s="55"/>
      <c r="DM819" s="55"/>
      <c r="DN819" s="55"/>
      <c r="DO819" s="55"/>
      <c r="DP819" s="55"/>
      <c r="DQ819" s="55"/>
      <c r="DR819" s="55"/>
      <c r="DS819" s="55"/>
      <c r="DT819" s="55"/>
      <c r="DU819" s="55"/>
      <c r="DV819" s="55"/>
    </row>
    <row r="820" spans="1:126" ht="12.75" x14ac:dyDescent="0.2">
      <c r="A820" s="54"/>
      <c r="B820" s="54"/>
      <c r="C820" s="54"/>
      <c r="D820" s="333" t="s">
        <v>310</v>
      </c>
      <c r="E820" s="333"/>
      <c r="F820" s="333"/>
      <c r="G820" s="333"/>
      <c r="H820" s="333"/>
      <c r="I820" s="333"/>
      <c r="J820" s="333"/>
      <c r="K820" s="333"/>
      <c r="L820" s="333"/>
      <c r="M820" s="333"/>
      <c r="N820" s="333"/>
      <c r="O820" s="333"/>
      <c r="P820" s="333"/>
      <c r="Q820" s="333"/>
      <c r="R820" s="333"/>
      <c r="S820" s="333"/>
      <c r="T820" s="333"/>
      <c r="U820" s="333"/>
      <c r="V820" s="333"/>
      <c r="W820" s="333"/>
      <c r="X820" s="333"/>
      <c r="Y820" s="333"/>
      <c r="Z820" s="333"/>
      <c r="AA820" s="333"/>
      <c r="AB820" s="333"/>
      <c r="AC820" s="333"/>
      <c r="AD820" s="333"/>
      <c r="AE820" s="333"/>
      <c r="AF820" s="333"/>
      <c r="AG820" s="333"/>
      <c r="AH820" s="333"/>
      <c r="AI820" s="333"/>
      <c r="AJ820" s="333"/>
      <c r="AK820" s="175"/>
      <c r="AY820" s="55"/>
      <c r="AZ820" s="55"/>
      <c r="BA820" s="55"/>
      <c r="BB820" s="55"/>
      <c r="BC820" s="55"/>
      <c r="BD820" s="55"/>
      <c r="BE820" s="55"/>
      <c r="BF820" s="55"/>
      <c r="BG820" s="55"/>
      <c r="BH820" s="55"/>
      <c r="BI820" s="55"/>
      <c r="BJ820" s="55"/>
      <c r="BK820" s="55"/>
      <c r="BL820" s="55"/>
      <c r="BM820" s="55"/>
      <c r="BN820" s="55"/>
      <c r="BO820" s="55"/>
      <c r="BP820" s="55"/>
      <c r="BQ820" s="55"/>
      <c r="BR820" s="55"/>
      <c r="BS820" s="55"/>
      <c r="BT820" s="55"/>
      <c r="BU820" s="55"/>
      <c r="BV820" s="55"/>
      <c r="BW820" s="55"/>
      <c r="BX820" s="55"/>
      <c r="BY820" s="55"/>
      <c r="BZ820" s="55"/>
      <c r="CI820" s="55"/>
      <c r="CJ820" s="55"/>
      <c r="CK820" s="55"/>
      <c r="CL820" s="55"/>
      <c r="CM820" s="55"/>
      <c r="CN820" s="55"/>
      <c r="CO820" s="55"/>
      <c r="CP820" s="55"/>
      <c r="CQ820" s="55"/>
      <c r="DJ820" s="55"/>
      <c r="DK820" s="55"/>
      <c r="DL820" s="55"/>
      <c r="DM820" s="55"/>
      <c r="DN820" s="55"/>
      <c r="DO820" s="55"/>
      <c r="DP820" s="55"/>
      <c r="DQ820" s="55"/>
      <c r="DR820" s="55"/>
      <c r="DS820" s="55"/>
      <c r="DT820" s="55"/>
      <c r="DU820" s="55"/>
      <c r="DV820" s="55"/>
    </row>
    <row r="821" spans="1:126" ht="12.75" x14ac:dyDescent="0.2">
      <c r="A821" s="54"/>
      <c r="B821" s="54"/>
      <c r="C821" s="54"/>
      <c r="D821" s="54"/>
      <c r="E821" s="54"/>
      <c r="F821" s="54"/>
      <c r="G821" s="54"/>
      <c r="H821" s="54"/>
      <c r="I821" s="54"/>
      <c r="J821" s="54"/>
      <c r="K821" s="54"/>
      <c r="L821" s="54"/>
      <c r="M821" s="54"/>
      <c r="N821" s="54"/>
      <c r="O821" s="54"/>
      <c r="P821" s="54"/>
      <c r="Q821" s="54"/>
      <c r="R821" s="54"/>
      <c r="S821" s="54"/>
      <c r="T821" s="54"/>
      <c r="U821" s="54"/>
      <c r="V821" s="54"/>
      <c r="W821" s="54"/>
      <c r="X821" s="54"/>
      <c r="Y821" s="54"/>
      <c r="Z821" s="54"/>
      <c r="AY821" s="55"/>
      <c r="AZ821" s="55"/>
      <c r="BA821" s="55"/>
      <c r="BB821" s="55"/>
      <c r="BC821" s="55"/>
      <c r="BD821" s="55"/>
      <c r="BE821" s="55"/>
      <c r="BF821" s="55"/>
      <c r="BG821" s="55"/>
      <c r="BH821" s="55"/>
      <c r="BI821" s="55"/>
      <c r="BJ821" s="55"/>
      <c r="BK821" s="55"/>
      <c r="BL821" s="55"/>
      <c r="BM821" s="55"/>
      <c r="BN821" s="55"/>
      <c r="BO821" s="55"/>
      <c r="BP821" s="55"/>
      <c r="BQ821" s="55"/>
      <c r="BR821" s="55"/>
      <c r="BS821" s="55"/>
      <c r="BT821" s="55"/>
      <c r="BU821" s="55"/>
      <c r="BV821" s="55"/>
      <c r="BW821" s="55"/>
      <c r="BX821" s="55"/>
      <c r="BY821" s="55"/>
      <c r="BZ821" s="55"/>
      <c r="CI821" s="55"/>
      <c r="CJ821" s="55"/>
      <c r="CK821" s="55"/>
      <c r="CL821" s="55"/>
      <c r="CM821" s="55"/>
      <c r="CN821" s="55"/>
      <c r="CO821" s="55"/>
      <c r="CP821" s="55"/>
      <c r="CQ821" s="55"/>
      <c r="DJ821" s="55"/>
      <c r="DK821" s="55"/>
      <c r="DL821" s="55"/>
      <c r="DM821" s="55"/>
      <c r="DN821" s="55"/>
      <c r="DO821" s="55"/>
      <c r="DP821" s="55"/>
      <c r="DQ821" s="55"/>
      <c r="DR821" s="55"/>
      <c r="DS821" s="55"/>
      <c r="DT821" s="55"/>
      <c r="DU821" s="55"/>
      <c r="DV821" s="55"/>
    </row>
    <row r="822" spans="1:126" ht="14.25" customHeight="1" x14ac:dyDescent="0.2">
      <c r="A822" s="54"/>
      <c r="B822" s="54"/>
      <c r="C822" s="54"/>
      <c r="D822" s="54"/>
      <c r="E822" s="333" t="s">
        <v>311</v>
      </c>
      <c r="F822" s="333"/>
      <c r="G822" s="333"/>
      <c r="H822" s="333"/>
      <c r="I822" s="333"/>
      <c r="J822" s="333"/>
      <c r="K822" s="333"/>
      <c r="L822" s="333"/>
      <c r="M822" s="333"/>
      <c r="N822" s="333"/>
      <c r="O822" s="333"/>
      <c r="P822" s="333"/>
      <c r="Q822" s="333"/>
      <c r="R822" s="333"/>
      <c r="S822" s="333"/>
      <c r="T822" s="333"/>
      <c r="U822" s="333"/>
      <c r="V822" s="333"/>
      <c r="W822" s="333"/>
      <c r="X822" s="333"/>
      <c r="Y822" s="333"/>
      <c r="Z822" s="333"/>
      <c r="AA822" s="333"/>
      <c r="AB822" s="333"/>
      <c r="AC822" s="333"/>
      <c r="AD822" s="333"/>
      <c r="AE822" s="333"/>
      <c r="AF822" s="333"/>
      <c r="AG822" s="333"/>
      <c r="AH822" s="333"/>
      <c r="AI822" s="333"/>
      <c r="AJ822" s="333"/>
      <c r="AK822" s="175"/>
      <c r="AY822" s="55"/>
      <c r="AZ822" s="55"/>
      <c r="BA822" s="55"/>
      <c r="BB822" s="55"/>
      <c r="BC822" s="55"/>
      <c r="BD822" s="55"/>
      <c r="BE822" s="55"/>
      <c r="BF822" s="55"/>
      <c r="BG822" s="55"/>
      <c r="BH822" s="55"/>
      <c r="BI822" s="55"/>
      <c r="BJ822" s="55"/>
      <c r="BK822" s="55"/>
      <c r="BL822" s="55"/>
      <c r="BM822" s="55"/>
      <c r="BN822" s="55"/>
      <c r="BO822" s="55"/>
      <c r="BP822" s="55"/>
      <c r="BQ822" s="55"/>
      <c r="BR822" s="55"/>
      <c r="BS822" s="55"/>
      <c r="BT822" s="55"/>
      <c r="BU822" s="55"/>
      <c r="BV822" s="55"/>
      <c r="BW822" s="55"/>
      <c r="BX822" s="55"/>
      <c r="BY822" s="55"/>
      <c r="BZ822" s="55"/>
      <c r="CI822" s="55"/>
      <c r="CJ822" s="55"/>
      <c r="CK822" s="55"/>
      <c r="CL822" s="55"/>
      <c r="CM822" s="55"/>
      <c r="CN822" s="55"/>
      <c r="CO822" s="55"/>
      <c r="CP822" s="55"/>
      <c r="CQ822" s="55"/>
      <c r="DJ822" s="55"/>
      <c r="DK822" s="55"/>
      <c r="DL822" s="55"/>
      <c r="DM822" s="55"/>
      <c r="DN822" s="55"/>
      <c r="DO822" s="55"/>
      <c r="DP822" s="55"/>
      <c r="DQ822" s="55"/>
      <c r="DR822" s="55"/>
      <c r="DS822" s="55"/>
      <c r="DT822" s="55"/>
      <c r="DU822" s="55"/>
      <c r="DV822" s="55"/>
    </row>
    <row r="823" spans="1:126" ht="12.75" x14ac:dyDescent="0.2">
      <c r="A823" s="54"/>
      <c r="B823" s="54"/>
      <c r="C823" s="54"/>
      <c r="D823" s="54"/>
      <c r="E823" s="333"/>
      <c r="F823" s="333"/>
      <c r="G823" s="333"/>
      <c r="H823" s="333"/>
      <c r="I823" s="333"/>
      <c r="J823" s="333"/>
      <c r="K823" s="333"/>
      <c r="L823" s="333"/>
      <c r="M823" s="333"/>
      <c r="N823" s="333"/>
      <c r="O823" s="333"/>
      <c r="P823" s="333"/>
      <c r="Q823" s="333"/>
      <c r="R823" s="333"/>
      <c r="S823" s="333"/>
      <c r="T823" s="333"/>
      <c r="U823" s="333"/>
      <c r="V823" s="333"/>
      <c r="W823" s="333"/>
      <c r="X823" s="333"/>
      <c r="Y823" s="333"/>
      <c r="Z823" s="333"/>
      <c r="AA823" s="333"/>
      <c r="AB823" s="333"/>
      <c r="AC823" s="333"/>
      <c r="AD823" s="333"/>
      <c r="AE823" s="333"/>
      <c r="AF823" s="333"/>
      <c r="AG823" s="333"/>
      <c r="AH823" s="333"/>
      <c r="AI823" s="333"/>
      <c r="AJ823" s="333"/>
      <c r="AK823" s="175"/>
      <c r="AY823" s="55"/>
      <c r="AZ823" s="55"/>
      <c r="BA823" s="55"/>
      <c r="BB823" s="55"/>
      <c r="BC823" s="55"/>
      <c r="BD823" s="55"/>
      <c r="BE823" s="55"/>
      <c r="BF823" s="55"/>
      <c r="BG823" s="55"/>
      <c r="BH823" s="55"/>
      <c r="BI823" s="55"/>
      <c r="BJ823" s="55"/>
      <c r="BK823" s="55"/>
      <c r="BL823" s="55"/>
      <c r="BM823" s="55"/>
      <c r="BN823" s="55"/>
      <c r="BO823" s="55"/>
      <c r="BP823" s="55"/>
      <c r="BQ823" s="55"/>
      <c r="BR823" s="55"/>
      <c r="BS823" s="55"/>
      <c r="BT823" s="55"/>
      <c r="BU823" s="55"/>
      <c r="BV823" s="55"/>
      <c r="BW823" s="55"/>
      <c r="BX823" s="55"/>
      <c r="BY823" s="55"/>
      <c r="BZ823" s="55"/>
      <c r="CI823" s="55"/>
      <c r="CJ823" s="55"/>
      <c r="CK823" s="55"/>
      <c r="CL823" s="55"/>
      <c r="CM823" s="55"/>
      <c r="CN823" s="55"/>
      <c r="CO823" s="55"/>
      <c r="CP823" s="55"/>
      <c r="CQ823" s="55"/>
      <c r="DJ823" s="55"/>
      <c r="DK823" s="55"/>
      <c r="DL823" s="55"/>
      <c r="DM823" s="55"/>
      <c r="DN823" s="55"/>
      <c r="DO823" s="55"/>
      <c r="DP823" s="55"/>
      <c r="DQ823" s="55"/>
      <c r="DR823" s="55"/>
      <c r="DS823" s="55"/>
      <c r="DT823" s="55"/>
      <c r="DU823" s="55"/>
      <c r="DV823" s="55"/>
    </row>
    <row r="824" spans="1:126" ht="12.75" x14ac:dyDescent="0.2">
      <c r="A824" s="54"/>
      <c r="B824" s="54"/>
      <c r="C824" s="54"/>
      <c r="D824" s="54"/>
      <c r="E824" s="333" t="s">
        <v>312</v>
      </c>
      <c r="F824" s="333"/>
      <c r="G824" s="333"/>
      <c r="H824" s="333"/>
      <c r="I824" s="333"/>
      <c r="J824" s="333"/>
      <c r="K824" s="333"/>
      <c r="L824" s="333"/>
      <c r="M824" s="333"/>
      <c r="N824" s="333"/>
      <c r="O824" s="333"/>
      <c r="P824" s="333"/>
      <c r="Q824" s="333"/>
      <c r="R824" s="333"/>
      <c r="S824" s="333"/>
      <c r="T824" s="333"/>
      <c r="U824" s="333"/>
      <c r="V824" s="333"/>
      <c r="W824" s="333"/>
      <c r="X824" s="333"/>
      <c r="Y824" s="333"/>
      <c r="Z824" s="333"/>
      <c r="AA824" s="333"/>
      <c r="AB824" s="333"/>
      <c r="AC824" s="333"/>
      <c r="AD824" s="333"/>
      <c r="AE824" s="333"/>
      <c r="AF824" s="333"/>
      <c r="AG824" s="333"/>
      <c r="AH824" s="333"/>
      <c r="AI824" s="333"/>
      <c r="AJ824" s="333"/>
      <c r="AK824" s="175"/>
      <c r="AY824" s="55"/>
      <c r="AZ824" s="55"/>
      <c r="BA824" s="55"/>
      <c r="BB824" s="55"/>
      <c r="BC824" s="55"/>
      <c r="BD824" s="55"/>
      <c r="BE824" s="55"/>
      <c r="BF824" s="55"/>
      <c r="BG824" s="55"/>
      <c r="BH824" s="55"/>
      <c r="BI824" s="55"/>
      <c r="BJ824" s="55"/>
      <c r="BK824" s="55"/>
      <c r="BL824" s="55"/>
      <c r="BM824" s="55"/>
      <c r="BN824" s="55"/>
      <c r="BO824" s="55"/>
      <c r="BP824" s="55"/>
      <c r="BQ824" s="55"/>
      <c r="BR824" s="55"/>
      <c r="BS824" s="55"/>
      <c r="BT824" s="55"/>
      <c r="BU824" s="55"/>
      <c r="BV824" s="55"/>
      <c r="BW824" s="55"/>
      <c r="BX824" s="55"/>
      <c r="BY824" s="55"/>
      <c r="BZ824" s="55"/>
      <c r="CI824" s="55"/>
      <c r="CJ824" s="55"/>
      <c r="CK824" s="55"/>
      <c r="CL824" s="55"/>
      <c r="CM824" s="55"/>
      <c r="CN824" s="55"/>
      <c r="CO824" s="55"/>
      <c r="CP824" s="55"/>
      <c r="CQ824" s="55"/>
      <c r="DJ824" s="55"/>
      <c r="DK824" s="55"/>
      <c r="DL824" s="55"/>
      <c r="DM824" s="55"/>
      <c r="DN824" s="55"/>
      <c r="DO824" s="55"/>
      <c r="DP824" s="55"/>
      <c r="DQ824" s="55"/>
      <c r="DR824" s="55"/>
      <c r="DS824" s="55"/>
      <c r="DT824" s="55"/>
      <c r="DU824" s="55"/>
      <c r="DV824" s="55"/>
    </row>
    <row r="825" spans="1:126" ht="12.75" x14ac:dyDescent="0.2">
      <c r="A825" s="54"/>
      <c r="B825" s="54"/>
      <c r="C825" s="54"/>
      <c r="D825" s="54"/>
      <c r="E825" s="54"/>
      <c r="F825" s="54"/>
      <c r="G825" s="54"/>
      <c r="H825" s="54"/>
      <c r="I825" s="54"/>
      <c r="J825" s="54"/>
      <c r="K825" s="54"/>
      <c r="L825" s="54"/>
      <c r="M825" s="54"/>
      <c r="N825" s="54"/>
      <c r="O825" s="54"/>
      <c r="P825" s="54"/>
      <c r="Q825" s="54"/>
      <c r="R825" s="54"/>
      <c r="S825" s="54"/>
      <c r="T825" s="54"/>
      <c r="U825" s="54"/>
      <c r="V825" s="54"/>
      <c r="W825" s="54"/>
      <c r="X825" s="54"/>
      <c r="Y825" s="54"/>
      <c r="Z825" s="54"/>
      <c r="AY825" s="55"/>
      <c r="AZ825" s="55"/>
      <c r="BA825" s="55"/>
      <c r="BB825" s="55"/>
      <c r="BC825" s="55"/>
      <c r="BD825" s="55"/>
      <c r="BE825" s="55"/>
      <c r="BF825" s="55"/>
      <c r="BG825" s="55"/>
      <c r="BH825" s="55"/>
      <c r="BI825" s="55"/>
      <c r="BJ825" s="55"/>
      <c r="BK825" s="55"/>
      <c r="BL825" s="55"/>
      <c r="BM825" s="55"/>
      <c r="BN825" s="55"/>
      <c r="BO825" s="55"/>
      <c r="BP825" s="55"/>
      <c r="BQ825" s="55"/>
      <c r="BR825" s="55"/>
      <c r="BS825" s="55"/>
      <c r="BT825" s="55"/>
      <c r="BU825" s="55"/>
      <c r="BV825" s="55"/>
      <c r="BW825" s="55"/>
      <c r="BX825" s="55"/>
      <c r="BY825" s="55"/>
      <c r="BZ825" s="55"/>
      <c r="CI825" s="55"/>
      <c r="CJ825" s="55"/>
      <c r="CK825" s="55"/>
      <c r="CL825" s="55"/>
      <c r="CM825" s="55"/>
      <c r="CN825" s="55"/>
      <c r="CO825" s="55"/>
      <c r="CP825" s="55"/>
      <c r="CQ825" s="55"/>
      <c r="DJ825" s="55"/>
      <c r="DK825" s="55"/>
      <c r="DL825" s="55"/>
      <c r="DM825" s="55"/>
      <c r="DN825" s="55"/>
      <c r="DO825" s="55"/>
      <c r="DP825" s="55"/>
      <c r="DQ825" s="55"/>
      <c r="DR825" s="55"/>
      <c r="DS825" s="55"/>
      <c r="DT825" s="55"/>
      <c r="DU825" s="55"/>
      <c r="DV825" s="55"/>
    </row>
    <row r="826" spans="1:126" ht="14.25" customHeight="1" x14ac:dyDescent="0.2">
      <c r="A826" s="54"/>
      <c r="B826" s="54"/>
      <c r="C826" s="54"/>
      <c r="D826" s="54"/>
      <c r="E826" s="54"/>
      <c r="F826" s="324" t="s">
        <v>953</v>
      </c>
      <c r="G826" s="324"/>
      <c r="H826" s="324"/>
      <c r="I826" s="324"/>
      <c r="J826" s="324"/>
      <c r="K826" s="324"/>
      <c r="L826" s="324"/>
      <c r="M826" s="324"/>
      <c r="N826" s="324"/>
      <c r="O826" s="324"/>
      <c r="P826" s="324"/>
      <c r="Q826" s="324"/>
      <c r="R826" s="324"/>
      <c r="S826" s="324"/>
      <c r="T826" s="324"/>
      <c r="U826" s="324"/>
      <c r="V826" s="324"/>
      <c r="W826" s="324"/>
      <c r="X826" s="324"/>
      <c r="Y826" s="324"/>
      <c r="Z826" s="324"/>
      <c r="AA826" s="324"/>
      <c r="AB826" s="324"/>
      <c r="AC826" s="324"/>
      <c r="AD826" s="324"/>
      <c r="AE826" s="324"/>
      <c r="AF826" s="324"/>
      <c r="AG826" s="324"/>
      <c r="AH826" s="324"/>
      <c r="AI826" s="324"/>
      <c r="AJ826" s="324"/>
      <c r="AK826" s="173"/>
      <c r="AY826" s="55"/>
      <c r="AZ826" s="55"/>
      <c r="BA826" s="55"/>
      <c r="BB826" s="55"/>
      <c r="BC826" s="55"/>
      <c r="BD826" s="55"/>
      <c r="BE826" s="55"/>
      <c r="BF826" s="55"/>
      <c r="BG826" s="55"/>
      <c r="BH826" s="55"/>
      <c r="BI826" s="55"/>
      <c r="BJ826" s="55"/>
      <c r="BK826" s="55"/>
      <c r="BL826" s="55"/>
      <c r="BM826" s="55"/>
      <c r="BN826" s="55"/>
      <c r="BO826" s="55"/>
      <c r="BP826" s="55"/>
      <c r="BQ826" s="55"/>
      <c r="BR826" s="55"/>
      <c r="BS826" s="55"/>
      <c r="BT826" s="55"/>
      <c r="BU826" s="55"/>
      <c r="BV826" s="55"/>
      <c r="BW826" s="55"/>
      <c r="BX826" s="55"/>
      <c r="BY826" s="55"/>
      <c r="BZ826" s="55"/>
      <c r="CI826" s="55"/>
      <c r="CJ826" s="55"/>
      <c r="CK826" s="55"/>
      <c r="CL826" s="55"/>
      <c r="CM826" s="55"/>
      <c r="CN826" s="55"/>
      <c r="CO826" s="55"/>
      <c r="CP826" s="55"/>
      <c r="CQ826" s="55"/>
      <c r="DJ826" s="55"/>
      <c r="DK826" s="55"/>
      <c r="DL826" s="55"/>
      <c r="DM826" s="55"/>
      <c r="DN826" s="55"/>
      <c r="DO826" s="55"/>
      <c r="DP826" s="55"/>
      <c r="DQ826" s="55"/>
      <c r="DR826" s="55"/>
      <c r="DS826" s="55"/>
      <c r="DT826" s="55"/>
      <c r="DU826" s="55"/>
      <c r="DV826" s="55"/>
    </row>
    <row r="827" spans="1:126" ht="12.75" x14ac:dyDescent="0.2">
      <c r="A827" s="54"/>
      <c r="B827" s="54"/>
      <c r="C827" s="54"/>
      <c r="D827" s="54"/>
      <c r="E827" s="54"/>
      <c r="F827" s="324"/>
      <c r="G827" s="324"/>
      <c r="H827" s="324"/>
      <c r="I827" s="324"/>
      <c r="J827" s="324"/>
      <c r="K827" s="324"/>
      <c r="L827" s="324"/>
      <c r="M827" s="324"/>
      <c r="N827" s="324"/>
      <c r="O827" s="324"/>
      <c r="P827" s="324"/>
      <c r="Q827" s="324"/>
      <c r="R827" s="324"/>
      <c r="S827" s="324"/>
      <c r="T827" s="324"/>
      <c r="U827" s="324"/>
      <c r="V827" s="324"/>
      <c r="W827" s="324"/>
      <c r="X827" s="324"/>
      <c r="Y827" s="324"/>
      <c r="Z827" s="324"/>
      <c r="AA827" s="324"/>
      <c r="AB827" s="324"/>
      <c r="AC827" s="324"/>
      <c r="AD827" s="324"/>
      <c r="AE827" s="324"/>
      <c r="AF827" s="324"/>
      <c r="AG827" s="324"/>
      <c r="AH827" s="324"/>
      <c r="AI827" s="324"/>
      <c r="AJ827" s="324"/>
      <c r="AK827" s="173"/>
      <c r="AY827" s="55"/>
      <c r="AZ827" s="55"/>
      <c r="BA827" s="55"/>
      <c r="BB827" s="55"/>
      <c r="BC827" s="55"/>
      <c r="BD827" s="55"/>
      <c r="BE827" s="55"/>
      <c r="BF827" s="55"/>
      <c r="BG827" s="55"/>
      <c r="BH827" s="55"/>
      <c r="BI827" s="55"/>
      <c r="BJ827" s="55"/>
      <c r="BK827" s="55"/>
      <c r="BL827" s="55"/>
      <c r="BM827" s="55"/>
      <c r="BN827" s="55"/>
      <c r="BO827" s="55"/>
      <c r="BP827" s="55"/>
      <c r="BQ827" s="55"/>
      <c r="BR827" s="55"/>
      <c r="BS827" s="55"/>
      <c r="BT827" s="55"/>
      <c r="BU827" s="55"/>
      <c r="BV827" s="55"/>
      <c r="BW827" s="55"/>
      <c r="BX827" s="55"/>
      <c r="BY827" s="55"/>
      <c r="BZ827" s="55"/>
      <c r="CI827" s="55"/>
      <c r="CJ827" s="55"/>
      <c r="CK827" s="55"/>
      <c r="CL827" s="55"/>
      <c r="CM827" s="55"/>
      <c r="CN827" s="55"/>
      <c r="CO827" s="55"/>
      <c r="CP827" s="55"/>
      <c r="CQ827" s="55"/>
      <c r="DJ827" s="55"/>
      <c r="DK827" s="55"/>
      <c r="DL827" s="55"/>
      <c r="DM827" s="55"/>
      <c r="DN827" s="55"/>
      <c r="DO827" s="55"/>
      <c r="DP827" s="55"/>
      <c r="DQ827" s="55"/>
      <c r="DR827" s="55"/>
      <c r="DS827" s="55"/>
      <c r="DT827" s="55"/>
      <c r="DU827" s="55"/>
      <c r="DV827" s="55"/>
    </row>
    <row r="828" spans="1:126" ht="14.25" customHeight="1" x14ac:dyDescent="0.2">
      <c r="A828" s="54"/>
      <c r="B828" s="54"/>
      <c r="C828" s="54"/>
      <c r="D828" s="54"/>
      <c r="E828" s="54"/>
      <c r="F828" s="324" t="s">
        <v>954</v>
      </c>
      <c r="G828" s="324"/>
      <c r="H828" s="324"/>
      <c r="I828" s="324"/>
      <c r="J828" s="324"/>
      <c r="K828" s="324"/>
      <c r="L828" s="324"/>
      <c r="M828" s="324"/>
      <c r="N828" s="324"/>
      <c r="O828" s="324"/>
      <c r="P828" s="324"/>
      <c r="Q828" s="324"/>
      <c r="R828" s="324"/>
      <c r="S828" s="324"/>
      <c r="T828" s="324"/>
      <c r="U828" s="324"/>
      <c r="V828" s="324"/>
      <c r="W828" s="324"/>
      <c r="X828" s="324"/>
      <c r="Y828" s="324"/>
      <c r="Z828" s="324"/>
      <c r="AA828" s="324"/>
      <c r="AB828" s="324"/>
      <c r="AC828" s="324"/>
      <c r="AD828" s="324"/>
      <c r="AE828" s="324"/>
      <c r="AF828" s="324"/>
      <c r="AG828" s="324"/>
      <c r="AH828" s="324"/>
      <c r="AI828" s="324"/>
      <c r="AJ828" s="324"/>
      <c r="AK828" s="173"/>
      <c r="AY828" s="55"/>
      <c r="AZ828" s="55"/>
      <c r="BA828" s="55"/>
      <c r="BB828" s="55"/>
      <c r="BC828" s="55"/>
      <c r="BD828" s="55"/>
      <c r="BE828" s="55"/>
      <c r="BF828" s="55"/>
      <c r="BG828" s="55"/>
      <c r="BH828" s="55"/>
      <c r="BI828" s="55"/>
      <c r="BJ828" s="55"/>
      <c r="BK828" s="55"/>
      <c r="BL828" s="55"/>
      <c r="BM828" s="55"/>
      <c r="BN828" s="55"/>
      <c r="BO828" s="55"/>
      <c r="BP828" s="55"/>
      <c r="BQ828" s="55"/>
      <c r="BR828" s="55"/>
      <c r="BS828" s="55"/>
      <c r="BT828" s="55"/>
      <c r="BU828" s="55"/>
      <c r="BV828" s="55"/>
      <c r="BW828" s="55"/>
      <c r="BX828" s="55"/>
      <c r="BY828" s="55"/>
      <c r="BZ828" s="55"/>
      <c r="CI828" s="55"/>
      <c r="CJ828" s="55"/>
      <c r="CK828" s="55"/>
      <c r="CL828" s="55"/>
      <c r="CM828" s="55"/>
      <c r="CN828" s="55"/>
      <c r="CO828" s="55"/>
      <c r="CP828" s="55"/>
      <c r="CQ828" s="55"/>
      <c r="DJ828" s="55"/>
      <c r="DK828" s="55"/>
      <c r="DL828" s="55"/>
      <c r="DM828" s="55"/>
      <c r="DN828" s="55"/>
      <c r="DO828" s="55"/>
      <c r="DP828" s="55"/>
      <c r="DQ828" s="55"/>
      <c r="DR828" s="55"/>
      <c r="DS828" s="55"/>
      <c r="DT828" s="55"/>
      <c r="DU828" s="55"/>
      <c r="DV828" s="55"/>
    </row>
    <row r="829" spans="1:126" ht="12.75" x14ac:dyDescent="0.2">
      <c r="A829" s="54"/>
      <c r="B829" s="54"/>
      <c r="C829" s="54"/>
      <c r="D829" s="54"/>
      <c r="E829" s="54"/>
      <c r="F829" s="324"/>
      <c r="G829" s="324"/>
      <c r="H829" s="324"/>
      <c r="I829" s="324"/>
      <c r="J829" s="324"/>
      <c r="K829" s="324"/>
      <c r="L829" s="324"/>
      <c r="M829" s="324"/>
      <c r="N829" s="324"/>
      <c r="O829" s="324"/>
      <c r="P829" s="324"/>
      <c r="Q829" s="324"/>
      <c r="R829" s="324"/>
      <c r="S829" s="324"/>
      <c r="T829" s="324"/>
      <c r="U829" s="324"/>
      <c r="V829" s="324"/>
      <c r="W829" s="324"/>
      <c r="X829" s="324"/>
      <c r="Y829" s="324"/>
      <c r="Z829" s="324"/>
      <c r="AA829" s="324"/>
      <c r="AB829" s="324"/>
      <c r="AC829" s="324"/>
      <c r="AD829" s="324"/>
      <c r="AE829" s="324"/>
      <c r="AF829" s="324"/>
      <c r="AG829" s="324"/>
      <c r="AH829" s="324"/>
      <c r="AI829" s="324"/>
      <c r="AJ829" s="324"/>
      <c r="AK829" s="173"/>
      <c r="AY829" s="55"/>
      <c r="AZ829" s="55"/>
      <c r="BA829" s="55"/>
      <c r="BB829" s="55"/>
      <c r="BC829" s="55"/>
      <c r="BD829" s="55"/>
      <c r="BE829" s="55"/>
      <c r="BF829" s="55"/>
      <c r="BG829" s="55"/>
      <c r="BH829" s="55"/>
      <c r="BI829" s="55"/>
      <c r="BJ829" s="55"/>
      <c r="BK829" s="55"/>
      <c r="BL829" s="55"/>
      <c r="BM829" s="55"/>
      <c r="BN829" s="55"/>
      <c r="BO829" s="55"/>
      <c r="BP829" s="55"/>
      <c r="BQ829" s="55"/>
      <c r="BR829" s="55"/>
      <c r="BS829" s="55"/>
      <c r="BT829" s="55"/>
      <c r="BU829" s="55"/>
      <c r="BV829" s="55"/>
      <c r="BW829" s="55"/>
      <c r="BX829" s="55"/>
      <c r="BY829" s="55"/>
      <c r="BZ829" s="55"/>
      <c r="CI829" s="55"/>
      <c r="CJ829" s="55"/>
      <c r="CK829" s="55"/>
      <c r="CL829" s="55"/>
      <c r="CM829" s="55"/>
      <c r="CN829" s="55"/>
      <c r="CO829" s="55"/>
      <c r="CP829" s="55"/>
      <c r="CQ829" s="55"/>
      <c r="DJ829" s="55"/>
      <c r="DK829" s="55"/>
      <c r="DL829" s="55"/>
      <c r="DM829" s="55"/>
      <c r="DN829" s="55"/>
      <c r="DO829" s="55"/>
      <c r="DP829" s="55"/>
      <c r="DQ829" s="55"/>
      <c r="DR829" s="55"/>
      <c r="DS829" s="55"/>
      <c r="DT829" s="55"/>
      <c r="DU829" s="55"/>
      <c r="DV829" s="55"/>
    </row>
    <row r="830" spans="1:126" ht="14.25" customHeight="1" x14ac:dyDescent="0.2">
      <c r="A830" s="54"/>
      <c r="B830" s="54"/>
      <c r="C830" s="54"/>
      <c r="D830" s="54"/>
      <c r="E830" s="54"/>
      <c r="F830" s="324" t="s">
        <v>955</v>
      </c>
      <c r="G830" s="324"/>
      <c r="H830" s="324"/>
      <c r="I830" s="324"/>
      <c r="J830" s="324"/>
      <c r="K830" s="324"/>
      <c r="L830" s="324"/>
      <c r="M830" s="324"/>
      <c r="N830" s="324"/>
      <c r="O830" s="324"/>
      <c r="P830" s="324"/>
      <c r="Q830" s="324"/>
      <c r="R830" s="324"/>
      <c r="S830" s="324"/>
      <c r="T830" s="324"/>
      <c r="U830" s="324"/>
      <c r="V830" s="324"/>
      <c r="W830" s="324"/>
      <c r="X830" s="324"/>
      <c r="Y830" s="324"/>
      <c r="Z830" s="324"/>
      <c r="AA830" s="324"/>
      <c r="AB830" s="324"/>
      <c r="AC830" s="324"/>
      <c r="AD830" s="324"/>
      <c r="AE830" s="324"/>
      <c r="AF830" s="324"/>
      <c r="AG830" s="324"/>
      <c r="AH830" s="324"/>
      <c r="AI830" s="324"/>
      <c r="AJ830" s="324"/>
      <c r="AK830" s="173"/>
      <c r="AY830" s="55"/>
      <c r="AZ830" s="55"/>
      <c r="BA830" s="55"/>
      <c r="BB830" s="55"/>
      <c r="BC830" s="55"/>
      <c r="BD830" s="55"/>
      <c r="BE830" s="55"/>
      <c r="BF830" s="55"/>
      <c r="BG830" s="55"/>
      <c r="BH830" s="55"/>
      <c r="BI830" s="55"/>
      <c r="BJ830" s="55"/>
      <c r="BK830" s="55"/>
      <c r="BL830" s="55"/>
      <c r="BM830" s="55"/>
      <c r="BN830" s="55"/>
      <c r="BO830" s="55"/>
      <c r="BP830" s="55"/>
      <c r="BQ830" s="55"/>
      <c r="BR830" s="55"/>
      <c r="BS830" s="55"/>
      <c r="BT830" s="55"/>
      <c r="BU830" s="55"/>
      <c r="BV830" s="55"/>
      <c r="BW830" s="55"/>
      <c r="BX830" s="55"/>
      <c r="BY830" s="55"/>
      <c r="BZ830" s="55"/>
      <c r="CI830" s="55"/>
      <c r="CJ830" s="55"/>
      <c r="CK830" s="55"/>
      <c r="CL830" s="55"/>
      <c r="CM830" s="55"/>
      <c r="CN830" s="55"/>
      <c r="CO830" s="55"/>
      <c r="CP830" s="55"/>
      <c r="CQ830" s="55"/>
      <c r="DJ830" s="55"/>
      <c r="DK830" s="55"/>
      <c r="DL830" s="55"/>
      <c r="DM830" s="55"/>
      <c r="DN830" s="55"/>
      <c r="DO830" s="55"/>
      <c r="DP830" s="55"/>
      <c r="DQ830" s="55"/>
      <c r="DR830" s="55"/>
      <c r="DS830" s="55"/>
      <c r="DT830" s="55"/>
      <c r="DU830" s="55"/>
      <c r="DV830" s="55"/>
    </row>
    <row r="831" spans="1:126" ht="12.75" x14ac:dyDescent="0.2">
      <c r="A831" s="54"/>
      <c r="B831" s="54"/>
      <c r="C831" s="54"/>
      <c r="D831" s="54"/>
      <c r="E831" s="54"/>
      <c r="F831" s="324"/>
      <c r="G831" s="324"/>
      <c r="H831" s="324"/>
      <c r="I831" s="324"/>
      <c r="J831" s="324"/>
      <c r="K831" s="324"/>
      <c r="L831" s="324"/>
      <c r="M831" s="324"/>
      <c r="N831" s="324"/>
      <c r="O831" s="324"/>
      <c r="P831" s="324"/>
      <c r="Q831" s="324"/>
      <c r="R831" s="324"/>
      <c r="S831" s="324"/>
      <c r="T831" s="324"/>
      <c r="U831" s="324"/>
      <c r="V831" s="324"/>
      <c r="W831" s="324"/>
      <c r="X831" s="324"/>
      <c r="Y831" s="324"/>
      <c r="Z831" s="324"/>
      <c r="AA831" s="324"/>
      <c r="AB831" s="324"/>
      <c r="AC831" s="324"/>
      <c r="AD831" s="324"/>
      <c r="AE831" s="324"/>
      <c r="AF831" s="324"/>
      <c r="AG831" s="324"/>
      <c r="AH831" s="324"/>
      <c r="AI831" s="324"/>
      <c r="AJ831" s="324"/>
      <c r="AK831" s="173"/>
      <c r="AY831" s="55"/>
      <c r="AZ831" s="55"/>
      <c r="BA831" s="55"/>
      <c r="BB831" s="55"/>
      <c r="BC831" s="55"/>
      <c r="BD831" s="55"/>
      <c r="BE831" s="55"/>
      <c r="BF831" s="55"/>
      <c r="BG831" s="55"/>
      <c r="BH831" s="55"/>
      <c r="BI831" s="55"/>
      <c r="BJ831" s="55"/>
      <c r="BK831" s="55"/>
      <c r="BL831" s="55"/>
      <c r="BM831" s="55"/>
      <c r="BN831" s="55"/>
      <c r="BO831" s="55"/>
      <c r="BP831" s="55"/>
      <c r="BQ831" s="55"/>
      <c r="BR831" s="55"/>
      <c r="BS831" s="55"/>
      <c r="BT831" s="55"/>
      <c r="BU831" s="55"/>
      <c r="BV831" s="55"/>
      <c r="BW831" s="55"/>
      <c r="BX831" s="55"/>
      <c r="BY831" s="55"/>
      <c r="BZ831" s="55"/>
      <c r="CI831" s="55"/>
      <c r="CJ831" s="55"/>
      <c r="CK831" s="55"/>
      <c r="CL831" s="55"/>
      <c r="CM831" s="55"/>
      <c r="CN831" s="55"/>
      <c r="CO831" s="55"/>
      <c r="CP831" s="55"/>
      <c r="CQ831" s="55"/>
      <c r="DJ831" s="55"/>
      <c r="DK831" s="55"/>
      <c r="DL831" s="55"/>
      <c r="DM831" s="55"/>
      <c r="DN831" s="55"/>
      <c r="DO831" s="55"/>
      <c r="DP831" s="55"/>
      <c r="DQ831" s="55"/>
      <c r="DR831" s="55"/>
      <c r="DS831" s="55"/>
      <c r="DT831" s="55"/>
      <c r="DU831" s="55"/>
      <c r="DV831" s="55"/>
    </row>
    <row r="832" spans="1:126" ht="12.75" x14ac:dyDescent="0.2">
      <c r="A832" s="54"/>
      <c r="B832" s="54"/>
      <c r="C832" s="54"/>
      <c r="D832" s="54"/>
      <c r="E832" s="54"/>
      <c r="F832" s="54"/>
      <c r="G832" s="54"/>
      <c r="H832" s="54"/>
      <c r="I832" s="54"/>
      <c r="J832" s="54"/>
      <c r="K832" s="54"/>
      <c r="L832" s="54"/>
      <c r="M832" s="54"/>
      <c r="N832" s="54"/>
      <c r="O832" s="54"/>
      <c r="P832" s="54"/>
      <c r="Q832" s="54"/>
      <c r="R832" s="54"/>
      <c r="S832" s="54"/>
      <c r="T832" s="54"/>
      <c r="U832" s="54"/>
      <c r="V832" s="54"/>
      <c r="W832" s="54"/>
      <c r="X832" s="54"/>
      <c r="Y832" s="54"/>
      <c r="Z832" s="54"/>
      <c r="AY832" s="55"/>
      <c r="AZ832" s="55"/>
      <c r="BA832" s="55"/>
      <c r="BB832" s="55"/>
      <c r="BC832" s="55"/>
      <c r="BD832" s="55"/>
      <c r="BE832" s="55"/>
      <c r="BF832" s="55"/>
      <c r="BG832" s="55"/>
      <c r="BH832" s="55"/>
      <c r="BI832" s="55"/>
      <c r="BJ832" s="55"/>
      <c r="BK832" s="55"/>
      <c r="BL832" s="55"/>
      <c r="BM832" s="55"/>
      <c r="BN832" s="55"/>
      <c r="BO832" s="55"/>
      <c r="BP832" s="55"/>
      <c r="BQ832" s="55"/>
      <c r="BR832" s="55"/>
      <c r="BS832" s="55"/>
      <c r="BT832" s="55"/>
      <c r="BU832" s="55"/>
      <c r="BV832" s="55"/>
      <c r="BW832" s="55"/>
      <c r="BX832" s="55"/>
      <c r="BY832" s="55"/>
      <c r="BZ832" s="55"/>
      <c r="CI832" s="55"/>
      <c r="CJ832" s="55"/>
      <c r="CK832" s="55"/>
      <c r="CL832" s="55"/>
      <c r="CM832" s="55"/>
      <c r="CN832" s="55"/>
      <c r="CO832" s="55"/>
      <c r="CP832" s="55"/>
      <c r="CQ832" s="55"/>
      <c r="DJ832" s="55"/>
      <c r="DK832" s="55"/>
      <c r="DL832" s="55"/>
      <c r="DM832" s="55"/>
      <c r="DN832" s="55"/>
      <c r="DO832" s="55"/>
      <c r="DP832" s="55"/>
      <c r="DQ832" s="55"/>
      <c r="DR832" s="55"/>
      <c r="DS832" s="55"/>
      <c r="DT832" s="55"/>
      <c r="DU832" s="55"/>
      <c r="DV832" s="55"/>
    </row>
    <row r="833" spans="1:126" ht="12.75" customHeight="1" x14ac:dyDescent="0.2">
      <c r="A833" s="54"/>
      <c r="B833" s="54"/>
      <c r="C833" s="54"/>
      <c r="D833" s="324" t="s">
        <v>612</v>
      </c>
      <c r="E833" s="324"/>
      <c r="F833" s="324"/>
      <c r="G833" s="324"/>
      <c r="H833" s="324"/>
      <c r="I833" s="324"/>
      <c r="J833" s="324"/>
      <c r="K833" s="324"/>
      <c r="L833" s="324"/>
      <c r="M833" s="324"/>
      <c r="N833" s="324"/>
      <c r="O833" s="324"/>
      <c r="P833" s="324"/>
      <c r="Q833" s="324"/>
      <c r="R833" s="324"/>
      <c r="S833" s="324"/>
      <c r="T833" s="324"/>
      <c r="U833" s="324"/>
      <c r="V833" s="324"/>
      <c r="W833" s="324"/>
      <c r="X833" s="324"/>
      <c r="Y833" s="324"/>
      <c r="Z833" s="324"/>
      <c r="AA833" s="324"/>
      <c r="AB833" s="324"/>
      <c r="AC833" s="324"/>
      <c r="AD833" s="324"/>
      <c r="AE833" s="324"/>
      <c r="AF833" s="324"/>
      <c r="AG833" s="324"/>
      <c r="AH833" s="324"/>
      <c r="AI833" s="324"/>
      <c r="AJ833" s="324"/>
      <c r="AK833" s="173"/>
      <c r="AY833" s="55"/>
      <c r="AZ833" s="55"/>
      <c r="BA833" s="55"/>
      <c r="BB833" s="55"/>
      <c r="BC833" s="55"/>
      <c r="BD833" s="55"/>
      <c r="BE833" s="55"/>
      <c r="BF833" s="55"/>
      <c r="BG833" s="55"/>
      <c r="BH833" s="55"/>
      <c r="BI833" s="55"/>
      <c r="BJ833" s="55"/>
      <c r="BK833" s="55"/>
      <c r="BL833" s="55"/>
      <c r="BM833" s="55"/>
      <c r="BN833" s="55"/>
      <c r="BO833" s="55"/>
      <c r="BP833" s="55"/>
      <c r="BQ833" s="55"/>
      <c r="BR833" s="55"/>
      <c r="BS833" s="55"/>
      <c r="BT833" s="55"/>
      <c r="BU833" s="55"/>
      <c r="BV833" s="55"/>
      <c r="BW833" s="55"/>
      <c r="BX833" s="55"/>
      <c r="BY833" s="55"/>
      <c r="BZ833" s="55"/>
      <c r="CI833" s="55"/>
      <c r="CJ833" s="55"/>
      <c r="CK833" s="55"/>
      <c r="CL833" s="55"/>
      <c r="CM833" s="55"/>
      <c r="CN833" s="55"/>
      <c r="CO833" s="55"/>
      <c r="CP833" s="55"/>
      <c r="CQ833" s="55"/>
      <c r="DJ833" s="55"/>
      <c r="DK833" s="55"/>
      <c r="DL833" s="55"/>
      <c r="DM833" s="55"/>
      <c r="DN833" s="55"/>
      <c r="DO833" s="55"/>
      <c r="DP833" s="55"/>
      <c r="DQ833" s="55"/>
      <c r="DR833" s="55"/>
      <c r="DS833" s="55"/>
      <c r="DT833" s="55"/>
      <c r="DU833" s="55"/>
      <c r="DV833" s="55"/>
    </row>
    <row r="834" spans="1:126" ht="12.75" x14ac:dyDescent="0.2">
      <c r="A834" s="54"/>
      <c r="B834" s="54"/>
      <c r="C834" s="54"/>
      <c r="D834" s="324"/>
      <c r="E834" s="324"/>
      <c r="F834" s="324"/>
      <c r="G834" s="324"/>
      <c r="H834" s="324"/>
      <c r="I834" s="324"/>
      <c r="J834" s="324"/>
      <c r="K834" s="324"/>
      <c r="L834" s="324"/>
      <c r="M834" s="324"/>
      <c r="N834" s="324"/>
      <c r="O834" s="324"/>
      <c r="P834" s="324"/>
      <c r="Q834" s="324"/>
      <c r="R834" s="324"/>
      <c r="S834" s="324"/>
      <c r="T834" s="324"/>
      <c r="U834" s="324"/>
      <c r="V834" s="324"/>
      <c r="W834" s="324"/>
      <c r="X834" s="324"/>
      <c r="Y834" s="324"/>
      <c r="Z834" s="324"/>
      <c r="AA834" s="324"/>
      <c r="AB834" s="324"/>
      <c r="AC834" s="324"/>
      <c r="AD834" s="324"/>
      <c r="AE834" s="324"/>
      <c r="AF834" s="324"/>
      <c r="AG834" s="324"/>
      <c r="AH834" s="324"/>
      <c r="AI834" s="324"/>
      <c r="AJ834" s="324"/>
      <c r="AK834" s="173"/>
      <c r="AY834" s="55"/>
      <c r="AZ834" s="55"/>
      <c r="BA834" s="55"/>
      <c r="BB834" s="55"/>
      <c r="BC834" s="55"/>
      <c r="BD834" s="55"/>
      <c r="BE834" s="55"/>
      <c r="BF834" s="55"/>
      <c r="BG834" s="55"/>
      <c r="BH834" s="55"/>
      <c r="BI834" s="55"/>
      <c r="BJ834" s="55"/>
      <c r="BK834" s="55"/>
      <c r="BL834" s="55"/>
      <c r="BM834" s="55"/>
      <c r="BN834" s="55"/>
      <c r="BO834" s="55"/>
      <c r="BP834" s="55"/>
      <c r="BQ834" s="55"/>
      <c r="BR834" s="55"/>
      <c r="BS834" s="55"/>
      <c r="BT834" s="55"/>
      <c r="BU834" s="55"/>
      <c r="BV834" s="55"/>
      <c r="BW834" s="55"/>
      <c r="BX834" s="55"/>
      <c r="BY834" s="55"/>
      <c r="BZ834" s="55"/>
      <c r="CI834" s="55"/>
      <c r="CJ834" s="55"/>
      <c r="CK834" s="55"/>
      <c r="CL834" s="55"/>
      <c r="CM834" s="55"/>
      <c r="CN834" s="55"/>
      <c r="CO834" s="55"/>
      <c r="CP834" s="55"/>
      <c r="CQ834" s="55"/>
      <c r="DJ834" s="55"/>
      <c r="DK834" s="55"/>
      <c r="DL834" s="55"/>
      <c r="DM834" s="55"/>
      <c r="DN834" s="55"/>
      <c r="DO834" s="55"/>
      <c r="DP834" s="55"/>
      <c r="DQ834" s="55"/>
      <c r="DR834" s="55"/>
      <c r="DS834" s="55"/>
      <c r="DT834" s="55"/>
      <c r="DU834" s="55"/>
      <c r="DV834" s="55"/>
    </row>
    <row r="835" spans="1:126" ht="14.25" customHeight="1" x14ac:dyDescent="0.2">
      <c r="A835" s="54"/>
      <c r="B835" s="54"/>
      <c r="C835" s="54"/>
      <c r="D835" s="324" t="s">
        <v>646</v>
      </c>
      <c r="E835" s="324"/>
      <c r="F835" s="324"/>
      <c r="G835" s="324"/>
      <c r="H835" s="324"/>
      <c r="I835" s="324"/>
      <c r="J835" s="324"/>
      <c r="K835" s="324"/>
      <c r="L835" s="324"/>
      <c r="M835" s="324"/>
      <c r="N835" s="324"/>
      <c r="O835" s="324"/>
      <c r="P835" s="324"/>
      <c r="Q835" s="324"/>
      <c r="R835" s="324"/>
      <c r="S835" s="324"/>
      <c r="T835" s="324"/>
      <c r="U835" s="324"/>
      <c r="V835" s="324"/>
      <c r="W835" s="324"/>
      <c r="X835" s="324"/>
      <c r="Y835" s="324"/>
      <c r="Z835" s="324"/>
      <c r="AA835" s="324"/>
      <c r="AB835" s="324"/>
      <c r="AC835" s="324"/>
      <c r="AD835" s="324"/>
      <c r="AE835" s="324"/>
      <c r="AF835" s="324"/>
      <c r="AG835" s="324"/>
      <c r="AH835" s="324"/>
      <c r="AI835" s="324"/>
      <c r="AJ835" s="324"/>
      <c r="AK835" s="173"/>
      <c r="AY835" s="55"/>
      <c r="AZ835" s="55"/>
      <c r="BA835" s="55"/>
      <c r="BB835" s="55"/>
      <c r="BC835" s="55"/>
      <c r="BD835" s="55"/>
      <c r="BE835" s="55"/>
      <c r="BF835" s="55"/>
      <c r="BG835" s="55"/>
      <c r="BH835" s="55"/>
      <c r="BI835" s="55"/>
      <c r="BJ835" s="55"/>
      <c r="BK835" s="55"/>
      <c r="BL835" s="55"/>
      <c r="BM835" s="55"/>
      <c r="BN835" s="55"/>
      <c r="BO835" s="55"/>
      <c r="BP835" s="55"/>
      <c r="BQ835" s="55"/>
      <c r="BR835" s="55"/>
      <c r="BS835" s="55"/>
      <c r="BT835" s="55"/>
      <c r="BU835" s="55"/>
      <c r="BV835" s="55"/>
      <c r="BW835" s="55"/>
      <c r="BX835" s="55"/>
      <c r="BY835" s="55"/>
      <c r="BZ835" s="55"/>
      <c r="CI835" s="55"/>
      <c r="CJ835" s="55"/>
      <c r="CK835" s="55"/>
      <c r="CL835" s="55"/>
      <c r="CM835" s="55"/>
      <c r="CN835" s="55"/>
      <c r="CO835" s="55"/>
      <c r="CP835" s="55"/>
      <c r="CQ835" s="55"/>
      <c r="DJ835" s="55"/>
      <c r="DK835" s="55"/>
      <c r="DL835" s="55"/>
      <c r="DM835" s="55"/>
      <c r="DN835" s="55"/>
      <c r="DO835" s="55"/>
      <c r="DP835" s="55"/>
      <c r="DQ835" s="55"/>
      <c r="DR835" s="55"/>
      <c r="DS835" s="55"/>
      <c r="DT835" s="55"/>
      <c r="DU835" s="55"/>
      <c r="DV835" s="55"/>
    </row>
    <row r="836" spans="1:126" ht="12.75" x14ac:dyDescent="0.2">
      <c r="A836" s="54"/>
      <c r="B836" s="54"/>
      <c r="C836" s="54"/>
      <c r="D836" s="324"/>
      <c r="E836" s="324"/>
      <c r="F836" s="324"/>
      <c r="G836" s="324"/>
      <c r="H836" s="324"/>
      <c r="I836" s="324"/>
      <c r="J836" s="324"/>
      <c r="K836" s="324"/>
      <c r="L836" s="324"/>
      <c r="M836" s="324"/>
      <c r="N836" s="324"/>
      <c r="O836" s="324"/>
      <c r="P836" s="324"/>
      <c r="Q836" s="324"/>
      <c r="R836" s="324"/>
      <c r="S836" s="324"/>
      <c r="T836" s="324"/>
      <c r="U836" s="324"/>
      <c r="V836" s="324"/>
      <c r="W836" s="324"/>
      <c r="X836" s="324"/>
      <c r="Y836" s="324"/>
      <c r="Z836" s="324"/>
      <c r="AA836" s="324"/>
      <c r="AB836" s="324"/>
      <c r="AC836" s="324"/>
      <c r="AD836" s="324"/>
      <c r="AE836" s="324"/>
      <c r="AF836" s="324"/>
      <c r="AG836" s="324"/>
      <c r="AH836" s="324"/>
      <c r="AI836" s="324"/>
      <c r="AJ836" s="324"/>
      <c r="AK836" s="173"/>
      <c r="AY836" s="55"/>
      <c r="AZ836" s="55"/>
      <c r="BA836" s="55"/>
      <c r="BB836" s="55"/>
      <c r="BC836" s="55"/>
      <c r="BD836" s="55"/>
      <c r="BE836" s="55"/>
      <c r="BF836" s="55"/>
      <c r="BG836" s="55"/>
      <c r="BH836" s="55"/>
      <c r="BI836" s="55"/>
      <c r="BJ836" s="55"/>
      <c r="BK836" s="55"/>
      <c r="BL836" s="55"/>
      <c r="BM836" s="55"/>
      <c r="BN836" s="55"/>
      <c r="BO836" s="55"/>
      <c r="BP836" s="55"/>
      <c r="BQ836" s="55"/>
      <c r="BR836" s="55"/>
      <c r="BS836" s="55"/>
      <c r="BT836" s="55"/>
      <c r="BU836" s="55"/>
      <c r="BV836" s="55"/>
      <c r="BW836" s="55"/>
      <c r="BX836" s="55"/>
      <c r="BY836" s="55"/>
      <c r="BZ836" s="55"/>
      <c r="CI836" s="55"/>
      <c r="CJ836" s="55"/>
      <c r="CK836" s="55"/>
      <c r="CL836" s="55"/>
      <c r="CM836" s="55"/>
      <c r="CN836" s="55"/>
      <c r="CO836" s="55"/>
      <c r="CP836" s="55"/>
      <c r="CQ836" s="55"/>
      <c r="DJ836" s="55"/>
      <c r="DK836" s="55"/>
      <c r="DL836" s="55"/>
      <c r="DM836" s="55"/>
      <c r="DN836" s="55"/>
      <c r="DO836" s="55"/>
      <c r="DP836" s="55"/>
      <c r="DQ836" s="55"/>
      <c r="DR836" s="55"/>
      <c r="DS836" s="55"/>
      <c r="DT836" s="55"/>
      <c r="DU836" s="55"/>
      <c r="DV836" s="55"/>
    </row>
    <row r="837" spans="1:126" ht="12.75" x14ac:dyDescent="0.2">
      <c r="A837" s="54"/>
      <c r="B837" s="54"/>
      <c r="C837" s="54"/>
      <c r="D837" s="324"/>
      <c r="E837" s="324"/>
      <c r="F837" s="324"/>
      <c r="G837" s="324"/>
      <c r="H837" s="324"/>
      <c r="I837" s="324"/>
      <c r="J837" s="324"/>
      <c r="K837" s="324"/>
      <c r="L837" s="324"/>
      <c r="M837" s="324"/>
      <c r="N837" s="324"/>
      <c r="O837" s="324"/>
      <c r="P837" s="324"/>
      <c r="Q837" s="324"/>
      <c r="R837" s="324"/>
      <c r="S837" s="324"/>
      <c r="T837" s="324"/>
      <c r="U837" s="324"/>
      <c r="V837" s="324"/>
      <c r="W837" s="324"/>
      <c r="X837" s="324"/>
      <c r="Y837" s="324"/>
      <c r="Z837" s="324"/>
      <c r="AA837" s="324"/>
      <c r="AB837" s="324"/>
      <c r="AC837" s="324"/>
      <c r="AD837" s="324"/>
      <c r="AE837" s="324"/>
      <c r="AF837" s="324"/>
      <c r="AG837" s="324"/>
      <c r="AH837" s="324"/>
      <c r="AI837" s="324"/>
      <c r="AJ837" s="324"/>
      <c r="AK837" s="173"/>
      <c r="AY837" s="55"/>
      <c r="AZ837" s="55"/>
      <c r="BA837" s="55"/>
      <c r="BB837" s="55"/>
      <c r="BC837" s="55"/>
      <c r="BD837" s="55"/>
      <c r="BE837" s="55"/>
      <c r="BF837" s="55"/>
      <c r="BG837" s="55"/>
      <c r="BH837" s="55"/>
      <c r="BI837" s="55"/>
      <c r="BJ837" s="55"/>
      <c r="BK837" s="55"/>
      <c r="BL837" s="55"/>
      <c r="BM837" s="55"/>
      <c r="BN837" s="55"/>
      <c r="BO837" s="55"/>
      <c r="BP837" s="55"/>
      <c r="BQ837" s="55"/>
      <c r="BR837" s="55"/>
      <c r="BS837" s="55"/>
      <c r="BT837" s="55"/>
      <c r="BU837" s="55"/>
      <c r="BV837" s="55"/>
      <c r="BW837" s="55"/>
      <c r="BX837" s="55"/>
      <c r="BY837" s="55"/>
      <c r="BZ837" s="55"/>
      <c r="CI837" s="55"/>
      <c r="CJ837" s="55"/>
      <c r="CK837" s="55"/>
      <c r="CL837" s="55"/>
      <c r="CM837" s="55"/>
      <c r="CN837" s="55"/>
      <c r="CO837" s="55"/>
      <c r="CP837" s="55"/>
      <c r="CQ837" s="55"/>
      <c r="DJ837" s="55"/>
      <c r="DK837" s="55"/>
      <c r="DL837" s="55"/>
      <c r="DM837" s="55"/>
      <c r="DN837" s="55"/>
      <c r="DO837" s="55"/>
      <c r="DP837" s="55"/>
      <c r="DQ837" s="55"/>
      <c r="DR837" s="55"/>
      <c r="DS837" s="55"/>
      <c r="DT837" s="55"/>
      <c r="DU837" s="55"/>
      <c r="DV837" s="55"/>
    </row>
    <row r="838" spans="1:126" ht="12.75" x14ac:dyDescent="0.2">
      <c r="A838" s="54"/>
      <c r="B838" s="54"/>
      <c r="C838" s="54"/>
      <c r="D838" s="324"/>
      <c r="E838" s="324"/>
      <c r="F838" s="324"/>
      <c r="G838" s="324"/>
      <c r="H838" s="324"/>
      <c r="I838" s="324"/>
      <c r="J838" s="324"/>
      <c r="K838" s="324"/>
      <c r="L838" s="324"/>
      <c r="M838" s="324"/>
      <c r="N838" s="324"/>
      <c r="O838" s="324"/>
      <c r="P838" s="324"/>
      <c r="Q838" s="324"/>
      <c r="R838" s="324"/>
      <c r="S838" s="324"/>
      <c r="T838" s="324"/>
      <c r="U838" s="324"/>
      <c r="V838" s="324"/>
      <c r="W838" s="324"/>
      <c r="X838" s="324"/>
      <c r="Y838" s="324"/>
      <c r="Z838" s="324"/>
      <c r="AA838" s="324"/>
      <c r="AB838" s="324"/>
      <c r="AC838" s="324"/>
      <c r="AD838" s="324"/>
      <c r="AE838" s="324"/>
      <c r="AF838" s="324"/>
      <c r="AG838" s="324"/>
      <c r="AH838" s="324"/>
      <c r="AI838" s="324"/>
      <c r="AJ838" s="324"/>
      <c r="AK838" s="173"/>
      <c r="AY838" s="55"/>
      <c r="AZ838" s="55"/>
      <c r="BA838" s="55"/>
      <c r="BB838" s="55"/>
      <c r="BC838" s="55"/>
      <c r="BD838" s="55"/>
      <c r="BE838" s="55"/>
      <c r="BF838" s="55"/>
      <c r="BG838" s="55"/>
      <c r="BH838" s="55"/>
      <c r="BI838" s="55"/>
      <c r="BJ838" s="55"/>
      <c r="BK838" s="55"/>
      <c r="BL838" s="55"/>
      <c r="BM838" s="55"/>
      <c r="BN838" s="55"/>
      <c r="BO838" s="55"/>
      <c r="BP838" s="55"/>
      <c r="BQ838" s="55"/>
      <c r="BR838" s="55"/>
      <c r="BS838" s="55"/>
      <c r="BT838" s="55"/>
      <c r="BU838" s="55"/>
      <c r="BV838" s="55"/>
      <c r="BW838" s="55"/>
      <c r="BX838" s="55"/>
      <c r="BY838" s="55"/>
      <c r="BZ838" s="55"/>
      <c r="CI838" s="55"/>
      <c r="CJ838" s="55"/>
      <c r="CK838" s="55"/>
      <c r="CL838" s="55"/>
      <c r="CM838" s="55"/>
      <c r="CN838" s="55"/>
      <c r="CO838" s="55"/>
      <c r="CP838" s="55"/>
      <c r="CQ838" s="55"/>
      <c r="DJ838" s="55"/>
      <c r="DK838" s="55"/>
      <c r="DL838" s="55"/>
      <c r="DM838" s="55"/>
      <c r="DN838" s="55"/>
      <c r="DO838" s="55"/>
      <c r="DP838" s="55"/>
      <c r="DQ838" s="55"/>
      <c r="DR838" s="55"/>
      <c r="DS838" s="55"/>
      <c r="DT838" s="55"/>
      <c r="DU838" s="55"/>
      <c r="DV838" s="55"/>
    </row>
    <row r="839" spans="1:126" ht="12.75" x14ac:dyDescent="0.2">
      <c r="A839" s="54"/>
      <c r="B839" s="54"/>
      <c r="C839" s="54"/>
      <c r="D839" s="324"/>
      <c r="E839" s="324"/>
      <c r="F839" s="324"/>
      <c r="G839" s="324"/>
      <c r="H839" s="324"/>
      <c r="I839" s="324"/>
      <c r="J839" s="324"/>
      <c r="K839" s="324"/>
      <c r="L839" s="324"/>
      <c r="M839" s="324"/>
      <c r="N839" s="324"/>
      <c r="O839" s="324"/>
      <c r="P839" s="324"/>
      <c r="Q839" s="324"/>
      <c r="R839" s="324"/>
      <c r="S839" s="324"/>
      <c r="T839" s="324"/>
      <c r="U839" s="324"/>
      <c r="V839" s="324"/>
      <c r="W839" s="324"/>
      <c r="X839" s="324"/>
      <c r="Y839" s="324"/>
      <c r="Z839" s="324"/>
      <c r="AA839" s="324"/>
      <c r="AB839" s="324"/>
      <c r="AC839" s="324"/>
      <c r="AD839" s="324"/>
      <c r="AE839" s="324"/>
      <c r="AF839" s="324"/>
      <c r="AG839" s="324"/>
      <c r="AH839" s="324"/>
      <c r="AI839" s="324"/>
      <c r="AJ839" s="324"/>
      <c r="AK839" s="173"/>
      <c r="AY839" s="55"/>
      <c r="AZ839" s="55"/>
      <c r="BA839" s="55"/>
      <c r="BB839" s="55"/>
      <c r="BC839" s="55"/>
      <c r="BD839" s="55"/>
      <c r="BE839" s="55"/>
      <c r="BF839" s="55"/>
      <c r="BG839" s="55"/>
      <c r="BH839" s="55"/>
      <c r="BI839" s="55"/>
      <c r="BJ839" s="55"/>
      <c r="BK839" s="55"/>
      <c r="BL839" s="55"/>
      <c r="BM839" s="55"/>
      <c r="BN839" s="55"/>
      <c r="BO839" s="55"/>
      <c r="BP839" s="55"/>
      <c r="BQ839" s="55"/>
      <c r="BR839" s="55"/>
      <c r="BS839" s="55"/>
      <c r="BT839" s="55"/>
      <c r="BU839" s="55"/>
      <c r="BV839" s="55"/>
      <c r="BW839" s="55"/>
      <c r="BX839" s="55"/>
      <c r="BY839" s="55"/>
      <c r="BZ839" s="55"/>
      <c r="CI839" s="55"/>
      <c r="CJ839" s="55"/>
      <c r="CK839" s="55"/>
      <c r="CL839" s="55"/>
      <c r="CM839" s="55"/>
      <c r="CN839" s="55"/>
      <c r="CO839" s="55"/>
      <c r="CP839" s="55"/>
      <c r="CQ839" s="55"/>
      <c r="DJ839" s="55"/>
      <c r="DK839" s="55"/>
      <c r="DL839" s="55"/>
      <c r="DM839" s="55"/>
      <c r="DN839" s="55"/>
      <c r="DO839" s="55"/>
      <c r="DP839" s="55"/>
      <c r="DQ839" s="55"/>
      <c r="DR839" s="55"/>
      <c r="DS839" s="55"/>
      <c r="DT839" s="55"/>
      <c r="DU839" s="55"/>
      <c r="DV839" s="55"/>
    </row>
    <row r="840" spans="1:126" ht="12.75" x14ac:dyDescent="0.2">
      <c r="A840" s="54"/>
      <c r="B840" s="54"/>
      <c r="C840" s="54"/>
      <c r="D840" s="80"/>
      <c r="E840" s="81"/>
      <c r="F840" s="81"/>
      <c r="G840" s="81"/>
      <c r="H840" s="81"/>
      <c r="I840" s="81"/>
      <c r="J840" s="81"/>
      <c r="K840" s="81"/>
      <c r="L840" s="81"/>
      <c r="M840" s="81"/>
      <c r="N840" s="81"/>
      <c r="O840" s="81"/>
      <c r="P840" s="81"/>
      <c r="Q840" s="81"/>
      <c r="R840" s="81"/>
      <c r="S840" s="81"/>
      <c r="T840" s="81"/>
      <c r="U840" s="81"/>
      <c r="V840" s="81"/>
      <c r="W840" s="81"/>
      <c r="X840" s="81"/>
      <c r="Y840" s="81"/>
      <c r="Z840" s="81"/>
      <c r="AA840" s="81"/>
      <c r="AB840" s="81"/>
      <c r="AC840" s="81"/>
      <c r="AD840" s="81"/>
      <c r="AE840" s="81"/>
      <c r="AF840" s="81"/>
      <c r="AG840" s="81"/>
      <c r="AH840" s="81"/>
      <c r="AI840" s="81"/>
      <c r="AJ840" s="91"/>
      <c r="AK840" s="182"/>
      <c r="AY840" s="55"/>
      <c r="AZ840" s="55"/>
      <c r="BA840" s="55"/>
      <c r="BB840" s="55"/>
      <c r="BC840" s="55"/>
      <c r="BD840" s="55"/>
      <c r="BE840" s="55"/>
      <c r="BF840" s="55"/>
      <c r="BG840" s="55"/>
      <c r="BH840" s="55"/>
      <c r="BI840" s="55"/>
      <c r="BJ840" s="55"/>
      <c r="BK840" s="55"/>
      <c r="BL840" s="55"/>
      <c r="BM840" s="55"/>
      <c r="BN840" s="55"/>
      <c r="BO840" s="55"/>
      <c r="BP840" s="55"/>
      <c r="BQ840" s="55"/>
      <c r="BR840" s="55"/>
      <c r="BS840" s="55"/>
      <c r="BT840" s="55"/>
      <c r="BU840" s="55"/>
      <c r="BV840" s="55"/>
      <c r="BW840" s="55"/>
      <c r="BX840" s="55"/>
      <c r="BY840" s="55"/>
      <c r="BZ840" s="55"/>
      <c r="CI840" s="55"/>
      <c r="CJ840" s="55"/>
      <c r="CK840" s="55"/>
      <c r="CL840" s="55"/>
      <c r="CM840" s="55"/>
      <c r="CN840" s="55"/>
      <c r="CO840" s="55"/>
      <c r="CP840" s="55"/>
      <c r="CQ840" s="55"/>
      <c r="DJ840" s="55"/>
      <c r="DK840" s="55"/>
      <c r="DL840" s="55"/>
      <c r="DM840" s="55"/>
      <c r="DN840" s="55"/>
      <c r="DO840" s="55"/>
      <c r="DP840" s="55"/>
      <c r="DQ840" s="55"/>
      <c r="DR840" s="55"/>
      <c r="DS840" s="55"/>
      <c r="DT840" s="55"/>
      <c r="DU840" s="55"/>
      <c r="DV840" s="55"/>
    </row>
    <row r="841" spans="1:126" ht="12.75" x14ac:dyDescent="0.2">
      <c r="A841" s="54"/>
      <c r="B841" s="54"/>
      <c r="C841" s="54"/>
      <c r="D841" s="54"/>
      <c r="E841" s="54"/>
      <c r="F841" s="54"/>
      <c r="G841" s="54"/>
      <c r="H841" s="54"/>
      <c r="I841" s="54"/>
      <c r="J841" s="54"/>
      <c r="K841" s="54"/>
      <c r="L841" s="54"/>
      <c r="M841" s="54"/>
      <c r="N841" s="54"/>
      <c r="O841" s="54"/>
      <c r="P841" s="54"/>
      <c r="Q841" s="54"/>
      <c r="R841" s="54"/>
      <c r="S841" s="54"/>
      <c r="T841" s="54"/>
      <c r="U841" s="54"/>
      <c r="V841" s="54"/>
      <c r="W841" s="54"/>
      <c r="X841" s="54"/>
      <c r="Y841" s="54"/>
      <c r="Z841" s="54"/>
      <c r="AY841" s="55"/>
      <c r="AZ841" s="55"/>
      <c r="BA841" s="55"/>
      <c r="BB841" s="55"/>
      <c r="BC841" s="55"/>
      <c r="BD841" s="55"/>
      <c r="BE841" s="55"/>
      <c r="BF841" s="55"/>
      <c r="BG841" s="55"/>
      <c r="BH841" s="55"/>
      <c r="BI841" s="55"/>
      <c r="BJ841" s="55"/>
      <c r="BK841" s="55"/>
      <c r="BL841" s="55"/>
      <c r="BM841" s="55"/>
      <c r="BN841" s="55"/>
      <c r="BO841" s="55"/>
      <c r="BP841" s="55"/>
      <c r="BQ841" s="55"/>
      <c r="BR841" s="55"/>
      <c r="BS841" s="55"/>
      <c r="BT841" s="55"/>
      <c r="BU841" s="55"/>
      <c r="BV841" s="55"/>
      <c r="BW841" s="55"/>
      <c r="BX841" s="55"/>
      <c r="BY841" s="55"/>
      <c r="BZ841" s="55"/>
      <c r="CI841" s="55"/>
      <c r="CJ841" s="55"/>
      <c r="CK841" s="55"/>
      <c r="CL841" s="55"/>
      <c r="CM841" s="55"/>
      <c r="CN841" s="55"/>
      <c r="CO841" s="55"/>
      <c r="CP841" s="55"/>
      <c r="CQ841" s="55"/>
      <c r="DJ841" s="55"/>
      <c r="DK841" s="55"/>
      <c r="DL841" s="55"/>
      <c r="DM841" s="55"/>
      <c r="DN841" s="55"/>
      <c r="DO841" s="55"/>
      <c r="DP841" s="55"/>
      <c r="DQ841" s="55"/>
      <c r="DR841" s="55"/>
      <c r="DS841" s="55"/>
      <c r="DT841" s="55"/>
      <c r="DU841" s="55"/>
      <c r="DV841" s="55"/>
    </row>
    <row r="842" spans="1:126" ht="12.75" x14ac:dyDescent="0.2">
      <c r="A842" s="54"/>
      <c r="B842" s="54"/>
      <c r="C842" s="324" t="s">
        <v>645</v>
      </c>
      <c r="D842" s="324"/>
      <c r="E842" s="324"/>
      <c r="F842" s="324"/>
      <c r="G842" s="324"/>
      <c r="H842" s="324"/>
      <c r="I842" s="324"/>
      <c r="J842" s="324"/>
      <c r="K842" s="324"/>
      <c r="L842" s="324"/>
      <c r="M842" s="324"/>
      <c r="N842" s="324"/>
      <c r="O842" s="324"/>
      <c r="P842" s="324"/>
      <c r="Q842" s="324"/>
      <c r="R842" s="324"/>
      <c r="S842" s="324"/>
      <c r="T842" s="324"/>
      <c r="U842" s="324"/>
      <c r="V842" s="324"/>
      <c r="W842" s="324"/>
      <c r="X842" s="324"/>
      <c r="Y842" s="324"/>
      <c r="Z842" s="324"/>
      <c r="AA842" s="324"/>
      <c r="AB842" s="324"/>
      <c r="AC842" s="324"/>
      <c r="AD842" s="324"/>
      <c r="AE842" s="324"/>
      <c r="AF842" s="324"/>
      <c r="AG842" s="324"/>
      <c r="AH842" s="324"/>
      <c r="AI842" s="324"/>
      <c r="AJ842" s="324"/>
      <c r="AK842" s="173"/>
      <c r="AY842" s="55"/>
      <c r="AZ842" s="55"/>
      <c r="BA842" s="55"/>
      <c r="BB842" s="55"/>
      <c r="BC842" s="55"/>
      <c r="BD842" s="55"/>
      <c r="BE842" s="55"/>
      <c r="BF842" s="55"/>
      <c r="BG842" s="55"/>
      <c r="BH842" s="55"/>
      <c r="BI842" s="55"/>
      <c r="BJ842" s="55"/>
      <c r="BK842" s="55"/>
      <c r="BL842" s="55"/>
      <c r="BM842" s="55"/>
      <c r="BN842" s="55"/>
      <c r="BO842" s="55"/>
      <c r="BP842" s="55"/>
      <c r="BQ842" s="55"/>
      <c r="BR842" s="55"/>
      <c r="BS842" s="55"/>
      <c r="BT842" s="55"/>
      <c r="BU842" s="55"/>
      <c r="BV842" s="55"/>
      <c r="BW842" s="55"/>
      <c r="BX842" s="55"/>
      <c r="BY842" s="55"/>
      <c r="BZ842" s="55"/>
      <c r="CI842" s="55"/>
      <c r="CJ842" s="55"/>
      <c r="CK842" s="55"/>
      <c r="CL842" s="55"/>
      <c r="CM842" s="55"/>
      <c r="CN842" s="55"/>
      <c r="CO842" s="55"/>
      <c r="CP842" s="55"/>
      <c r="CQ842" s="55"/>
      <c r="DJ842" s="55"/>
      <c r="DK842" s="55"/>
      <c r="DL842" s="55"/>
      <c r="DM842" s="55"/>
      <c r="DN842" s="55"/>
      <c r="DO842" s="55"/>
      <c r="DP842" s="55"/>
      <c r="DQ842" s="55"/>
      <c r="DR842" s="55"/>
      <c r="DS842" s="55"/>
      <c r="DT842" s="55"/>
      <c r="DU842" s="55"/>
      <c r="DV842" s="55"/>
    </row>
    <row r="843" spans="1:126" ht="12.75" x14ac:dyDescent="0.2">
      <c r="A843" s="54"/>
      <c r="B843" s="54"/>
      <c r="C843" s="54"/>
      <c r="D843" s="54"/>
      <c r="E843" s="54"/>
      <c r="F843" s="54"/>
      <c r="G843" s="54"/>
      <c r="H843" s="54"/>
      <c r="I843" s="54"/>
      <c r="J843" s="54"/>
      <c r="K843" s="54"/>
      <c r="L843" s="54"/>
      <c r="M843" s="54"/>
      <c r="N843" s="54"/>
      <c r="O843" s="54"/>
      <c r="P843" s="54"/>
      <c r="Q843" s="54"/>
      <c r="R843" s="54"/>
      <c r="S843" s="54"/>
      <c r="T843" s="54"/>
      <c r="U843" s="54"/>
      <c r="V843" s="54"/>
      <c r="W843" s="54"/>
      <c r="X843" s="54"/>
      <c r="Y843" s="54"/>
      <c r="Z843" s="54"/>
      <c r="AY843" s="55"/>
      <c r="AZ843" s="55"/>
      <c r="BA843" s="55"/>
      <c r="BB843" s="55"/>
      <c r="BC843" s="55"/>
      <c r="BD843" s="55"/>
      <c r="BE843" s="55"/>
      <c r="BF843" s="55"/>
      <c r="BG843" s="55"/>
      <c r="BH843" s="55"/>
      <c r="BI843" s="55"/>
      <c r="BJ843" s="55"/>
      <c r="BK843" s="55"/>
      <c r="BL843" s="55"/>
      <c r="BM843" s="55"/>
      <c r="BN843" s="55"/>
      <c r="BO843" s="55"/>
      <c r="BP843" s="55"/>
      <c r="BQ843" s="55"/>
      <c r="BR843" s="55"/>
      <c r="BS843" s="55"/>
      <c r="BT843" s="55"/>
      <c r="BU843" s="55"/>
      <c r="BV843" s="55"/>
      <c r="BW843" s="55"/>
      <c r="BX843" s="55"/>
      <c r="BY843" s="55"/>
      <c r="BZ843" s="55"/>
      <c r="CI843" s="55"/>
      <c r="CJ843" s="55"/>
      <c r="CK843" s="55"/>
      <c r="CL843" s="55"/>
      <c r="CM843" s="55"/>
      <c r="CN843" s="55"/>
      <c r="CO843" s="55"/>
      <c r="CP843" s="55"/>
      <c r="CQ843" s="55"/>
      <c r="DJ843" s="55"/>
      <c r="DK843" s="55"/>
      <c r="DL843" s="55"/>
      <c r="DM843" s="55"/>
      <c r="DN843" s="55"/>
      <c r="DO843" s="55"/>
      <c r="DP843" s="55"/>
      <c r="DQ843" s="55"/>
      <c r="DR843" s="55"/>
      <c r="DS843" s="55"/>
      <c r="DT843" s="55"/>
      <c r="DU843" s="55"/>
      <c r="DV843" s="55"/>
    </row>
    <row r="844" spans="1:126" ht="14.25" customHeight="1" x14ac:dyDescent="0.2">
      <c r="A844" s="54"/>
      <c r="B844" s="54"/>
      <c r="C844" s="54"/>
      <c r="D844" s="324" t="s">
        <v>711</v>
      </c>
      <c r="E844" s="324"/>
      <c r="F844" s="324"/>
      <c r="G844" s="324"/>
      <c r="H844" s="324"/>
      <c r="I844" s="324"/>
      <c r="J844" s="324"/>
      <c r="K844" s="324"/>
      <c r="L844" s="324"/>
      <c r="M844" s="324"/>
      <c r="N844" s="324"/>
      <c r="O844" s="324"/>
      <c r="P844" s="324"/>
      <c r="Q844" s="324"/>
      <c r="R844" s="324"/>
      <c r="S844" s="324"/>
      <c r="T844" s="324"/>
      <c r="U844" s="324"/>
      <c r="V844" s="324"/>
      <c r="W844" s="324"/>
      <c r="X844" s="324"/>
      <c r="Y844" s="324"/>
      <c r="Z844" s="324"/>
      <c r="AA844" s="324"/>
      <c r="AB844" s="324"/>
      <c r="AC844" s="324"/>
      <c r="AD844" s="324"/>
      <c r="AE844" s="324"/>
      <c r="AF844" s="324"/>
      <c r="AG844" s="324"/>
      <c r="AH844" s="324"/>
      <c r="AI844" s="324"/>
      <c r="AJ844" s="324"/>
      <c r="AK844" s="173"/>
      <c r="AY844" s="55"/>
      <c r="AZ844" s="55"/>
      <c r="BA844" s="55"/>
      <c r="BB844" s="55"/>
      <c r="BC844" s="55"/>
      <c r="BD844" s="55"/>
      <c r="BE844" s="55"/>
      <c r="BF844" s="55"/>
      <c r="BG844" s="55"/>
      <c r="BH844" s="55"/>
      <c r="BI844" s="55"/>
      <c r="BJ844" s="55"/>
      <c r="BK844" s="55"/>
      <c r="BL844" s="55"/>
      <c r="BM844" s="55"/>
      <c r="BN844" s="55"/>
      <c r="BO844" s="55"/>
      <c r="BP844" s="55"/>
      <c r="BQ844" s="55"/>
      <c r="BR844" s="55"/>
      <c r="BS844" s="55"/>
      <c r="BT844" s="55"/>
      <c r="BU844" s="55"/>
      <c r="BV844" s="55"/>
      <c r="BW844" s="55"/>
      <c r="BX844" s="55"/>
      <c r="BY844" s="55"/>
      <c r="BZ844" s="55"/>
      <c r="CI844" s="55"/>
      <c r="CJ844" s="55"/>
      <c r="CK844" s="55"/>
      <c r="CL844" s="55"/>
      <c r="CM844" s="55"/>
      <c r="CN844" s="55"/>
      <c r="CO844" s="55"/>
      <c r="CP844" s="55"/>
      <c r="CQ844" s="55"/>
      <c r="DJ844" s="55"/>
      <c r="DK844" s="55"/>
      <c r="DL844" s="55"/>
      <c r="DM844" s="55"/>
      <c r="DN844" s="55"/>
      <c r="DO844" s="55"/>
      <c r="DP844" s="55"/>
      <c r="DQ844" s="55"/>
      <c r="DR844" s="55"/>
      <c r="DS844" s="55"/>
      <c r="DT844" s="55"/>
      <c r="DU844" s="55"/>
      <c r="DV844" s="55"/>
    </row>
    <row r="845" spans="1:126" ht="12.75" x14ac:dyDescent="0.2">
      <c r="A845" s="54"/>
      <c r="B845" s="54"/>
      <c r="C845" s="54"/>
      <c r="D845" s="324"/>
      <c r="E845" s="324"/>
      <c r="F845" s="324"/>
      <c r="G845" s="324"/>
      <c r="H845" s="324"/>
      <c r="I845" s="324"/>
      <c r="J845" s="324"/>
      <c r="K845" s="324"/>
      <c r="L845" s="324"/>
      <c r="M845" s="324"/>
      <c r="N845" s="324"/>
      <c r="O845" s="324"/>
      <c r="P845" s="324"/>
      <c r="Q845" s="324"/>
      <c r="R845" s="324"/>
      <c r="S845" s="324"/>
      <c r="T845" s="324"/>
      <c r="U845" s="324"/>
      <c r="V845" s="324"/>
      <c r="W845" s="324"/>
      <c r="X845" s="324"/>
      <c r="Y845" s="324"/>
      <c r="Z845" s="324"/>
      <c r="AA845" s="324"/>
      <c r="AB845" s="324"/>
      <c r="AC845" s="324"/>
      <c r="AD845" s="324"/>
      <c r="AE845" s="324"/>
      <c r="AF845" s="324"/>
      <c r="AG845" s="324"/>
      <c r="AH845" s="324"/>
      <c r="AI845" s="324"/>
      <c r="AJ845" s="324"/>
      <c r="AK845" s="173"/>
      <c r="AY845" s="55"/>
      <c r="AZ845" s="55"/>
      <c r="BA845" s="55"/>
      <c r="BB845" s="55"/>
      <c r="BC845" s="55"/>
      <c r="BD845" s="55"/>
      <c r="BE845" s="55"/>
      <c r="BF845" s="55"/>
      <c r="BG845" s="55"/>
      <c r="BH845" s="55"/>
      <c r="BI845" s="55"/>
      <c r="BJ845" s="55"/>
      <c r="BK845" s="55"/>
      <c r="BL845" s="55"/>
      <c r="BM845" s="55"/>
      <c r="BN845" s="55"/>
      <c r="BO845" s="55"/>
      <c r="BP845" s="55"/>
      <c r="BQ845" s="55"/>
      <c r="BR845" s="55"/>
      <c r="BS845" s="55"/>
      <c r="BT845" s="55"/>
      <c r="BU845" s="55"/>
      <c r="BV845" s="55"/>
      <c r="BW845" s="55"/>
      <c r="BX845" s="55"/>
      <c r="BY845" s="55"/>
      <c r="BZ845" s="55"/>
      <c r="CI845" s="55"/>
      <c r="CJ845" s="55"/>
      <c r="CK845" s="55"/>
      <c r="CL845" s="55"/>
      <c r="CM845" s="55"/>
      <c r="CN845" s="55"/>
      <c r="CO845" s="55"/>
      <c r="CP845" s="55"/>
      <c r="CQ845" s="55"/>
      <c r="DJ845" s="55"/>
      <c r="DK845" s="55"/>
      <c r="DL845" s="55"/>
      <c r="DM845" s="55"/>
      <c r="DN845" s="55"/>
      <c r="DO845" s="55"/>
      <c r="DP845" s="55"/>
      <c r="DQ845" s="55"/>
      <c r="DR845" s="55"/>
      <c r="DS845" s="55"/>
      <c r="DT845" s="55"/>
      <c r="DU845" s="55"/>
      <c r="DV845" s="55"/>
    </row>
    <row r="846" spans="1:126" ht="12.75" x14ac:dyDescent="0.2">
      <c r="A846" s="54"/>
      <c r="B846" s="54"/>
      <c r="C846" s="54"/>
      <c r="D846" s="324"/>
      <c r="E846" s="324"/>
      <c r="F846" s="324"/>
      <c r="G846" s="324"/>
      <c r="H846" s="324"/>
      <c r="I846" s="324"/>
      <c r="J846" s="324"/>
      <c r="K846" s="324"/>
      <c r="L846" s="324"/>
      <c r="M846" s="324"/>
      <c r="N846" s="324"/>
      <c r="O846" s="324"/>
      <c r="P846" s="324"/>
      <c r="Q846" s="324"/>
      <c r="R846" s="324"/>
      <c r="S846" s="324"/>
      <c r="T846" s="324"/>
      <c r="U846" s="324"/>
      <c r="V846" s="324"/>
      <c r="W846" s="324"/>
      <c r="X846" s="324"/>
      <c r="Y846" s="324"/>
      <c r="Z846" s="324"/>
      <c r="AA846" s="324"/>
      <c r="AB846" s="324"/>
      <c r="AC846" s="324"/>
      <c r="AD846" s="324"/>
      <c r="AE846" s="324"/>
      <c r="AF846" s="324"/>
      <c r="AG846" s="324"/>
      <c r="AH846" s="324"/>
      <c r="AI846" s="324"/>
      <c r="AJ846" s="324"/>
      <c r="AK846" s="173"/>
      <c r="AY846" s="55"/>
      <c r="AZ846" s="55"/>
      <c r="BA846" s="55"/>
      <c r="BB846" s="55"/>
      <c r="BC846" s="55"/>
      <c r="BD846" s="55"/>
      <c r="BE846" s="55"/>
      <c r="BF846" s="55"/>
      <c r="BG846" s="55"/>
      <c r="BH846" s="55"/>
      <c r="BI846" s="55"/>
      <c r="BJ846" s="55"/>
      <c r="BK846" s="55"/>
      <c r="BL846" s="55"/>
      <c r="BM846" s="55"/>
      <c r="BN846" s="55"/>
      <c r="BO846" s="55"/>
      <c r="BP846" s="55"/>
      <c r="BQ846" s="55"/>
      <c r="BR846" s="55"/>
      <c r="BS846" s="55"/>
      <c r="BT846" s="55"/>
      <c r="BU846" s="55"/>
      <c r="BV846" s="55"/>
      <c r="BW846" s="55"/>
      <c r="BX846" s="55"/>
      <c r="BY846" s="55"/>
      <c r="BZ846" s="55"/>
      <c r="CI846" s="55"/>
      <c r="CJ846" s="55"/>
      <c r="CK846" s="55"/>
      <c r="CL846" s="55"/>
      <c r="CM846" s="55"/>
      <c r="CN846" s="55"/>
      <c r="CO846" s="55"/>
      <c r="CP846" s="55"/>
      <c r="CQ846" s="55"/>
      <c r="DJ846" s="55"/>
      <c r="DK846" s="55"/>
      <c r="DL846" s="55"/>
      <c r="DM846" s="55"/>
      <c r="DN846" s="55"/>
      <c r="DO846" s="55"/>
      <c r="DP846" s="55"/>
      <c r="DQ846" s="55"/>
      <c r="DR846" s="55"/>
      <c r="DS846" s="55"/>
      <c r="DT846" s="55"/>
      <c r="DU846" s="55"/>
      <c r="DV846" s="55"/>
    </row>
    <row r="847" spans="1:126" ht="12.75" x14ac:dyDescent="0.2">
      <c r="A847" s="54"/>
      <c r="B847" s="54"/>
      <c r="C847" s="54"/>
      <c r="D847" s="54"/>
      <c r="E847" s="54"/>
      <c r="F847" s="54"/>
      <c r="G847" s="54"/>
      <c r="H847" s="54"/>
      <c r="I847" s="54"/>
      <c r="J847" s="54"/>
      <c r="K847" s="54"/>
      <c r="L847" s="54"/>
      <c r="M847" s="54"/>
      <c r="N847" s="54"/>
      <c r="O847" s="54"/>
      <c r="P847" s="54"/>
      <c r="Q847" s="54"/>
      <c r="R847" s="54"/>
      <c r="S847" s="54"/>
      <c r="T847" s="54"/>
      <c r="U847" s="54"/>
      <c r="V847" s="54"/>
      <c r="W847" s="54"/>
      <c r="X847" s="54"/>
      <c r="Y847" s="54"/>
      <c r="Z847" s="54"/>
      <c r="AY847" s="55"/>
      <c r="AZ847" s="55"/>
      <c r="BA847" s="55"/>
      <c r="BB847" s="55"/>
      <c r="BC847" s="55"/>
      <c r="BD847" s="55"/>
      <c r="BE847" s="55"/>
      <c r="BF847" s="55"/>
      <c r="BG847" s="55"/>
      <c r="BH847" s="55"/>
      <c r="BI847" s="55"/>
      <c r="BJ847" s="55"/>
      <c r="BK847" s="55"/>
      <c r="BL847" s="55"/>
      <c r="BM847" s="55"/>
      <c r="BN847" s="55"/>
      <c r="BO847" s="55"/>
      <c r="BP847" s="55"/>
      <c r="BQ847" s="55"/>
      <c r="BR847" s="55"/>
      <c r="BS847" s="55"/>
      <c r="BT847" s="55"/>
      <c r="BU847" s="55"/>
      <c r="BV847" s="55"/>
      <c r="BW847" s="55"/>
      <c r="BX847" s="55"/>
      <c r="BY847" s="55"/>
      <c r="BZ847" s="55"/>
      <c r="CI847" s="55"/>
      <c r="CJ847" s="55"/>
      <c r="CK847" s="55"/>
      <c r="CL847" s="55"/>
      <c r="CM847" s="55"/>
      <c r="CN847" s="55"/>
      <c r="CO847" s="55"/>
      <c r="CP847" s="55"/>
      <c r="CQ847" s="55"/>
      <c r="DJ847" s="55"/>
      <c r="DK847" s="55"/>
      <c r="DL847" s="55"/>
      <c r="DM847" s="55"/>
      <c r="DN847" s="55"/>
      <c r="DO847" s="55"/>
      <c r="DP847" s="55"/>
      <c r="DQ847" s="55"/>
      <c r="DR847" s="55"/>
      <c r="DS847" s="55"/>
      <c r="DT847" s="55"/>
      <c r="DU847" s="55"/>
      <c r="DV847" s="55"/>
    </row>
    <row r="848" spans="1:126" ht="12.75" x14ac:dyDescent="0.2">
      <c r="A848" s="54"/>
      <c r="B848" s="54"/>
      <c r="C848" s="54"/>
      <c r="D848" s="54"/>
      <c r="E848" s="54"/>
      <c r="F848" s="54"/>
      <c r="G848" s="54"/>
      <c r="H848" s="54"/>
      <c r="I848" s="54"/>
      <c r="J848" s="54"/>
      <c r="K848" s="54"/>
      <c r="L848" s="54"/>
      <c r="M848" s="54"/>
      <c r="N848" s="54"/>
      <c r="O848" s="54"/>
      <c r="P848" s="54"/>
      <c r="Q848" s="54"/>
      <c r="R848" s="54"/>
      <c r="S848" s="54"/>
      <c r="T848" s="54"/>
      <c r="U848" s="54"/>
      <c r="V848" s="54"/>
      <c r="W848" s="54"/>
      <c r="X848" s="54"/>
      <c r="Y848" s="54"/>
      <c r="Z848" s="54"/>
      <c r="AY848" s="55"/>
      <c r="AZ848" s="55"/>
      <c r="BA848" s="55"/>
      <c r="BB848" s="55"/>
      <c r="BC848" s="55"/>
      <c r="BD848" s="55"/>
      <c r="BE848" s="55"/>
      <c r="BF848" s="55"/>
      <c r="BG848" s="55"/>
      <c r="BH848" s="55"/>
      <c r="BI848" s="55"/>
      <c r="BJ848" s="55"/>
      <c r="BK848" s="55"/>
      <c r="BL848" s="55"/>
      <c r="BM848" s="55"/>
      <c r="BN848" s="55"/>
      <c r="BO848" s="55"/>
      <c r="BP848" s="55"/>
      <c r="BQ848" s="55"/>
      <c r="BR848" s="55"/>
      <c r="BS848" s="55"/>
      <c r="BT848" s="55"/>
      <c r="BU848" s="55"/>
      <c r="BV848" s="55"/>
      <c r="BW848" s="55"/>
      <c r="BX848" s="55"/>
      <c r="BY848" s="55"/>
      <c r="BZ848" s="55"/>
      <c r="CI848" s="55"/>
      <c r="CJ848" s="55"/>
      <c r="CK848" s="55"/>
      <c r="CL848" s="55"/>
      <c r="CM848" s="55"/>
      <c r="CN848" s="55"/>
      <c r="CO848" s="55"/>
      <c r="CP848" s="55"/>
      <c r="CQ848" s="55"/>
      <c r="DJ848" s="55"/>
      <c r="DK848" s="55"/>
      <c r="DL848" s="55"/>
      <c r="DM848" s="55"/>
      <c r="DN848" s="55"/>
      <c r="DO848" s="55"/>
      <c r="DP848" s="55"/>
      <c r="DQ848" s="55"/>
      <c r="DR848" s="55"/>
      <c r="DS848" s="55"/>
      <c r="DT848" s="55"/>
      <c r="DU848" s="55"/>
      <c r="DV848" s="55"/>
    </row>
    <row r="849" spans="1:126" ht="15" x14ac:dyDescent="0.2">
      <c r="A849" s="54"/>
      <c r="B849" s="248" t="s">
        <v>613</v>
      </c>
      <c r="C849" s="248"/>
      <c r="D849" s="248"/>
      <c r="E849" s="248"/>
      <c r="F849" s="248"/>
      <c r="G849" s="248"/>
      <c r="H849" s="248"/>
      <c r="I849" s="248"/>
      <c r="J849" s="248"/>
      <c r="K849" s="248"/>
      <c r="L849" s="248"/>
      <c r="M849" s="248"/>
      <c r="N849" s="248"/>
      <c r="O849" s="248"/>
      <c r="P849" s="248"/>
      <c r="Q849" s="248"/>
      <c r="R849" s="248"/>
      <c r="S849" s="248"/>
      <c r="T849" s="248"/>
      <c r="U849" s="248"/>
      <c r="V849" s="248"/>
      <c r="W849" s="248"/>
      <c r="X849" s="248"/>
      <c r="Y849" s="248"/>
      <c r="Z849" s="248"/>
      <c r="AA849" s="248"/>
      <c r="AB849" s="248"/>
      <c r="AC849" s="248"/>
      <c r="AD849" s="248"/>
      <c r="AE849" s="248"/>
      <c r="AF849" s="248"/>
      <c r="AG849" s="248"/>
      <c r="AH849" s="248"/>
      <c r="AI849" s="248"/>
      <c r="AJ849" s="248"/>
      <c r="AK849" s="176"/>
      <c r="AY849" s="55"/>
      <c r="AZ849" s="55"/>
      <c r="BA849" s="55"/>
      <c r="BB849" s="55"/>
      <c r="BC849" s="55"/>
      <c r="BD849" s="55"/>
      <c r="BE849" s="55"/>
      <c r="BF849" s="55"/>
      <c r="BG849" s="55"/>
      <c r="BH849" s="55"/>
      <c r="BI849" s="55"/>
      <c r="BJ849" s="55"/>
      <c r="BK849" s="55"/>
      <c r="BL849" s="55"/>
      <c r="BM849" s="55"/>
      <c r="BN849" s="55"/>
      <c r="BO849" s="55"/>
      <c r="BP849" s="55"/>
      <c r="BQ849" s="55"/>
      <c r="BR849" s="55"/>
      <c r="BS849" s="55"/>
      <c r="BT849" s="55"/>
      <c r="BU849" s="55"/>
      <c r="BV849" s="55"/>
      <c r="BW849" s="55"/>
      <c r="BX849" s="55"/>
      <c r="BY849" s="55"/>
      <c r="BZ849" s="55"/>
      <c r="CI849" s="55"/>
      <c r="CJ849" s="55"/>
      <c r="CK849" s="55"/>
      <c r="CL849" s="55"/>
      <c r="CM849" s="55"/>
      <c r="CN849" s="55"/>
      <c r="CO849" s="55"/>
      <c r="CP849" s="55"/>
      <c r="CQ849" s="55"/>
      <c r="DJ849" s="55"/>
      <c r="DK849" s="55"/>
      <c r="DL849" s="55"/>
      <c r="DM849" s="55"/>
      <c r="DN849" s="55"/>
      <c r="DO849" s="55"/>
      <c r="DP849" s="55"/>
      <c r="DQ849" s="55"/>
      <c r="DR849" s="55"/>
      <c r="DS849" s="55"/>
      <c r="DT849" s="55"/>
      <c r="DU849" s="55"/>
      <c r="DV849" s="55"/>
    </row>
    <row r="850" spans="1:126" ht="12.75" x14ac:dyDescent="0.2">
      <c r="A850" s="54"/>
      <c r="B850" s="54"/>
      <c r="C850" s="54"/>
      <c r="D850" s="54"/>
      <c r="E850" s="54"/>
      <c r="F850" s="54"/>
      <c r="G850" s="54"/>
      <c r="H850" s="54"/>
      <c r="I850" s="54"/>
      <c r="J850" s="54"/>
      <c r="K850" s="54"/>
      <c r="L850" s="54"/>
      <c r="M850" s="54"/>
      <c r="N850" s="54"/>
      <c r="O850" s="54"/>
      <c r="P850" s="54"/>
      <c r="Q850" s="54"/>
      <c r="R850" s="54"/>
      <c r="S850" s="54"/>
      <c r="T850" s="54"/>
      <c r="U850" s="54"/>
      <c r="V850" s="54"/>
      <c r="W850" s="54"/>
      <c r="X850" s="54"/>
      <c r="Y850" s="54"/>
      <c r="Z850" s="54"/>
      <c r="AY850" s="55"/>
      <c r="AZ850" s="55"/>
      <c r="BA850" s="55"/>
      <c r="BB850" s="55"/>
      <c r="BC850" s="55"/>
      <c r="BD850" s="55"/>
      <c r="BE850" s="55"/>
      <c r="BF850" s="55"/>
      <c r="BG850" s="55"/>
      <c r="BH850" s="55"/>
      <c r="BI850" s="55"/>
      <c r="BJ850" s="55"/>
      <c r="BK850" s="55"/>
      <c r="BL850" s="55"/>
      <c r="BM850" s="55"/>
      <c r="BN850" s="55"/>
      <c r="BO850" s="55"/>
      <c r="BP850" s="55"/>
      <c r="BQ850" s="55"/>
      <c r="BR850" s="55"/>
      <c r="BS850" s="55"/>
      <c r="BT850" s="55"/>
      <c r="BU850" s="55"/>
      <c r="BV850" s="55"/>
      <c r="BW850" s="55"/>
      <c r="BX850" s="55"/>
      <c r="BY850" s="55"/>
      <c r="BZ850" s="55"/>
      <c r="CI850" s="55"/>
      <c r="CJ850" s="55"/>
      <c r="CK850" s="55"/>
      <c r="CL850" s="55"/>
      <c r="CM850" s="55"/>
      <c r="CN850" s="55"/>
      <c r="CO850" s="55"/>
      <c r="CP850" s="55"/>
      <c r="CQ850" s="55"/>
      <c r="DJ850" s="55"/>
      <c r="DK850" s="55"/>
      <c r="DL850" s="55"/>
      <c r="DM850" s="55"/>
      <c r="DN850" s="55"/>
      <c r="DO850" s="55"/>
      <c r="DP850" s="55"/>
      <c r="DQ850" s="55"/>
      <c r="DR850" s="55"/>
      <c r="DS850" s="55"/>
      <c r="DT850" s="55"/>
      <c r="DU850" s="55"/>
      <c r="DV850" s="55"/>
    </row>
    <row r="851" spans="1:126" ht="12.75" x14ac:dyDescent="0.2">
      <c r="A851" s="54"/>
      <c r="B851" s="54"/>
      <c r="C851" s="324" t="s">
        <v>648</v>
      </c>
      <c r="D851" s="324"/>
      <c r="E851" s="324"/>
      <c r="F851" s="324"/>
      <c r="G851" s="324"/>
      <c r="H851" s="324"/>
      <c r="I851" s="324"/>
      <c r="J851" s="324"/>
      <c r="K851" s="324"/>
      <c r="L851" s="324"/>
      <c r="M851" s="324"/>
      <c r="N851" s="324"/>
      <c r="O851" s="324"/>
      <c r="P851" s="324"/>
      <c r="Q851" s="324"/>
      <c r="R851" s="324"/>
      <c r="S851" s="324"/>
      <c r="T851" s="324"/>
      <c r="U851" s="324"/>
      <c r="V851" s="324"/>
      <c r="W851" s="324"/>
      <c r="X851" s="324"/>
      <c r="Y851" s="324"/>
      <c r="Z851" s="324"/>
      <c r="AA851" s="324"/>
      <c r="AB851" s="324"/>
      <c r="AC851" s="324"/>
      <c r="AD851" s="324"/>
      <c r="AE851" s="324"/>
      <c r="AF851" s="324"/>
      <c r="AG851" s="324"/>
      <c r="AH851" s="324"/>
      <c r="AI851" s="324"/>
      <c r="AJ851" s="324"/>
      <c r="AK851" s="173"/>
      <c r="AY851" s="55"/>
      <c r="AZ851" s="55"/>
      <c r="BA851" s="55"/>
      <c r="BB851" s="55"/>
      <c r="BC851" s="55"/>
      <c r="BD851" s="55"/>
      <c r="BE851" s="55"/>
      <c r="BF851" s="55"/>
      <c r="BG851" s="55"/>
      <c r="BH851" s="55"/>
      <c r="BI851" s="55"/>
      <c r="BJ851" s="55"/>
      <c r="BK851" s="55"/>
      <c r="BL851" s="55"/>
      <c r="BM851" s="55"/>
      <c r="BN851" s="55"/>
      <c r="BO851" s="55"/>
      <c r="BP851" s="55"/>
      <c r="BQ851" s="55"/>
      <c r="BR851" s="55"/>
      <c r="BS851" s="55"/>
      <c r="BT851" s="55"/>
      <c r="BU851" s="55"/>
      <c r="BV851" s="55"/>
      <c r="BW851" s="55"/>
      <c r="BX851" s="55"/>
      <c r="BY851" s="55"/>
      <c r="BZ851" s="55"/>
      <c r="CI851" s="55"/>
      <c r="CJ851" s="55"/>
      <c r="CK851" s="55"/>
      <c r="CL851" s="55"/>
      <c r="CM851" s="55"/>
      <c r="CN851" s="55"/>
      <c r="CO851" s="55"/>
      <c r="CP851" s="55"/>
      <c r="CQ851" s="55"/>
      <c r="DJ851" s="55"/>
      <c r="DK851" s="55"/>
      <c r="DL851" s="55"/>
      <c r="DM851" s="55"/>
      <c r="DN851" s="55"/>
      <c r="DO851" s="55"/>
      <c r="DP851" s="55"/>
      <c r="DQ851" s="55"/>
      <c r="DR851" s="55"/>
      <c r="DS851" s="55"/>
      <c r="DT851" s="55"/>
      <c r="DU851" s="55"/>
      <c r="DV851" s="55"/>
    </row>
    <row r="852" spans="1:126" ht="12.75" x14ac:dyDescent="0.2">
      <c r="A852" s="54"/>
      <c r="B852" s="54"/>
      <c r="C852" s="54"/>
      <c r="D852" s="54"/>
      <c r="E852" s="54"/>
      <c r="F852" s="54"/>
      <c r="G852" s="54"/>
      <c r="H852" s="54"/>
      <c r="I852" s="54"/>
      <c r="J852" s="54"/>
      <c r="K852" s="54"/>
      <c r="L852" s="54"/>
      <c r="M852" s="54"/>
      <c r="N852" s="54"/>
      <c r="O852" s="54"/>
      <c r="P852" s="54"/>
      <c r="Q852" s="54"/>
      <c r="R852" s="54"/>
      <c r="S852" s="54"/>
      <c r="T852" s="54"/>
      <c r="U852" s="54"/>
      <c r="V852" s="54"/>
      <c r="W852" s="54"/>
      <c r="X852" s="54"/>
      <c r="Y852" s="54"/>
      <c r="Z852" s="54"/>
      <c r="AY852" s="55"/>
      <c r="AZ852" s="55"/>
      <c r="BA852" s="55"/>
      <c r="BB852" s="55"/>
      <c r="BC852" s="55"/>
      <c r="BD852" s="55"/>
      <c r="BE852" s="55"/>
      <c r="BF852" s="55"/>
      <c r="BG852" s="55"/>
      <c r="BH852" s="55"/>
      <c r="BI852" s="55"/>
      <c r="BJ852" s="55"/>
      <c r="BK852" s="55"/>
      <c r="BL852" s="55"/>
      <c r="BM852" s="55"/>
      <c r="BN852" s="55"/>
      <c r="BO852" s="55"/>
      <c r="BP852" s="55"/>
      <c r="BQ852" s="55"/>
      <c r="BR852" s="55"/>
      <c r="BS852" s="55"/>
      <c r="BT852" s="55"/>
      <c r="BU852" s="55"/>
      <c r="BV852" s="55"/>
      <c r="BW852" s="55"/>
      <c r="BX852" s="55"/>
      <c r="BY852" s="55"/>
      <c r="BZ852" s="55"/>
      <c r="CI852" s="55"/>
      <c r="CJ852" s="55"/>
      <c r="CK852" s="55"/>
      <c r="CL852" s="55"/>
      <c r="CM852" s="55"/>
      <c r="CN852" s="55"/>
      <c r="CO852" s="55"/>
      <c r="CP852" s="55"/>
      <c r="CQ852" s="55"/>
      <c r="DJ852" s="55"/>
      <c r="DK852" s="55"/>
      <c r="DL852" s="55"/>
      <c r="DM852" s="55"/>
      <c r="DN852" s="55"/>
      <c r="DO852" s="55"/>
      <c r="DP852" s="55"/>
      <c r="DQ852" s="55"/>
      <c r="DR852" s="55"/>
      <c r="DS852" s="55"/>
      <c r="DT852" s="55"/>
      <c r="DU852" s="55"/>
      <c r="DV852" s="55"/>
    </row>
    <row r="853" spans="1:126" ht="14.25" customHeight="1" x14ac:dyDescent="0.2">
      <c r="A853" s="54"/>
      <c r="B853" s="54"/>
      <c r="C853" s="54"/>
      <c r="D853" s="324" t="s">
        <v>647</v>
      </c>
      <c r="E853" s="324"/>
      <c r="F853" s="324"/>
      <c r="G853" s="324"/>
      <c r="H853" s="324"/>
      <c r="I853" s="324"/>
      <c r="J853" s="324"/>
      <c r="K853" s="324"/>
      <c r="L853" s="324"/>
      <c r="M853" s="324"/>
      <c r="N853" s="324"/>
      <c r="O853" s="324"/>
      <c r="P853" s="324"/>
      <c r="Q853" s="324"/>
      <c r="R853" s="324"/>
      <c r="S853" s="324"/>
      <c r="T853" s="324"/>
      <c r="U853" s="324"/>
      <c r="V853" s="324"/>
      <c r="W853" s="324"/>
      <c r="X853" s="324"/>
      <c r="Y853" s="324"/>
      <c r="Z853" s="324"/>
      <c r="AA853" s="324"/>
      <c r="AB853" s="324"/>
      <c r="AC853" s="324"/>
      <c r="AD853" s="324"/>
      <c r="AE853" s="324"/>
      <c r="AF853" s="324"/>
      <c r="AG853" s="324"/>
      <c r="AH853" s="324"/>
      <c r="AI853" s="324"/>
      <c r="AJ853" s="324"/>
      <c r="AK853" s="173"/>
      <c r="AY853" s="55"/>
      <c r="AZ853" s="55"/>
      <c r="BA853" s="55"/>
      <c r="BB853" s="55"/>
      <c r="BC853" s="55"/>
      <c r="BD853" s="55"/>
      <c r="BE853" s="55"/>
      <c r="BF853" s="55"/>
      <c r="BG853" s="55"/>
      <c r="BH853" s="55"/>
      <c r="BI853" s="55"/>
      <c r="BJ853" s="55"/>
      <c r="BK853" s="55"/>
      <c r="BL853" s="55"/>
      <c r="BM853" s="55"/>
      <c r="BN853" s="55"/>
      <c r="BO853" s="55"/>
      <c r="BP853" s="55"/>
      <c r="BQ853" s="55"/>
      <c r="BR853" s="55"/>
      <c r="BS853" s="55"/>
      <c r="BT853" s="55"/>
      <c r="BU853" s="55"/>
      <c r="BV853" s="55"/>
      <c r="BW853" s="55"/>
      <c r="BX853" s="55"/>
      <c r="BY853" s="55"/>
      <c r="BZ853" s="55"/>
      <c r="CI853" s="55"/>
      <c r="CJ853" s="55"/>
      <c r="CK853" s="55"/>
      <c r="CL853" s="55"/>
      <c r="CM853" s="55"/>
      <c r="CN853" s="55"/>
      <c r="CO853" s="55"/>
      <c r="CP853" s="55"/>
      <c r="CQ853" s="55"/>
      <c r="DJ853" s="55"/>
      <c r="DK853" s="55"/>
      <c r="DL853" s="55"/>
      <c r="DM853" s="55"/>
      <c r="DN853" s="55"/>
      <c r="DO853" s="55"/>
      <c r="DP853" s="55"/>
      <c r="DQ853" s="55"/>
      <c r="DR853" s="55"/>
      <c r="DS853" s="55"/>
      <c r="DT853" s="55"/>
      <c r="DU853" s="55"/>
      <c r="DV853" s="55"/>
    </row>
    <row r="854" spans="1:126" ht="12.75" x14ac:dyDescent="0.2">
      <c r="A854" s="54"/>
      <c r="B854" s="54"/>
      <c r="C854" s="54"/>
      <c r="D854" s="324"/>
      <c r="E854" s="324"/>
      <c r="F854" s="324"/>
      <c r="G854" s="324"/>
      <c r="H854" s="324"/>
      <c r="I854" s="324"/>
      <c r="J854" s="324"/>
      <c r="K854" s="324"/>
      <c r="L854" s="324"/>
      <c r="M854" s="324"/>
      <c r="N854" s="324"/>
      <c r="O854" s="324"/>
      <c r="P854" s="324"/>
      <c r="Q854" s="324"/>
      <c r="R854" s="324"/>
      <c r="S854" s="324"/>
      <c r="T854" s="324"/>
      <c r="U854" s="324"/>
      <c r="V854" s="324"/>
      <c r="W854" s="324"/>
      <c r="X854" s="324"/>
      <c r="Y854" s="324"/>
      <c r="Z854" s="324"/>
      <c r="AA854" s="324"/>
      <c r="AB854" s="324"/>
      <c r="AC854" s="324"/>
      <c r="AD854" s="324"/>
      <c r="AE854" s="324"/>
      <c r="AF854" s="324"/>
      <c r="AG854" s="324"/>
      <c r="AH854" s="324"/>
      <c r="AI854" s="324"/>
      <c r="AJ854" s="324"/>
      <c r="AK854" s="173"/>
      <c r="AY854" s="55"/>
      <c r="AZ854" s="55"/>
      <c r="BA854" s="55"/>
      <c r="BB854" s="55"/>
      <c r="BC854" s="55"/>
      <c r="BD854" s="55"/>
      <c r="BE854" s="55"/>
      <c r="BF854" s="55"/>
      <c r="BG854" s="55"/>
      <c r="BH854" s="55"/>
      <c r="BI854" s="55"/>
      <c r="BJ854" s="55"/>
      <c r="BK854" s="55"/>
      <c r="BL854" s="55"/>
      <c r="BM854" s="55"/>
      <c r="BN854" s="55"/>
      <c r="BO854" s="55"/>
      <c r="BP854" s="55"/>
      <c r="BQ854" s="55"/>
      <c r="BR854" s="55"/>
      <c r="BS854" s="55"/>
      <c r="BT854" s="55"/>
      <c r="BU854" s="55"/>
      <c r="BV854" s="55"/>
      <c r="BW854" s="55"/>
      <c r="BX854" s="55"/>
      <c r="BY854" s="55"/>
      <c r="BZ854" s="55"/>
      <c r="CI854" s="55"/>
      <c r="CJ854" s="55"/>
      <c r="CK854" s="55"/>
      <c r="CL854" s="55"/>
      <c r="CM854" s="55"/>
      <c r="CN854" s="55"/>
      <c r="CO854" s="55"/>
      <c r="CP854" s="55"/>
      <c r="CQ854" s="55"/>
      <c r="DJ854" s="55"/>
      <c r="DK854" s="55"/>
      <c r="DL854" s="55"/>
      <c r="DM854" s="55"/>
      <c r="DN854" s="55"/>
      <c r="DO854" s="55"/>
      <c r="DP854" s="55"/>
      <c r="DQ854" s="55"/>
      <c r="DR854" s="55"/>
      <c r="DS854" s="55"/>
      <c r="DT854" s="55"/>
      <c r="DU854" s="55"/>
      <c r="DV854" s="55"/>
    </row>
    <row r="855" spans="1:126" ht="12.75" x14ac:dyDescent="0.2">
      <c r="A855" s="54"/>
      <c r="B855" s="54"/>
      <c r="C855" s="54"/>
      <c r="D855" s="324"/>
      <c r="E855" s="324"/>
      <c r="F855" s="324"/>
      <c r="G855" s="324"/>
      <c r="H855" s="324"/>
      <c r="I855" s="324"/>
      <c r="J855" s="324"/>
      <c r="K855" s="324"/>
      <c r="L855" s="324"/>
      <c r="M855" s="324"/>
      <c r="N855" s="324"/>
      <c r="O855" s="324"/>
      <c r="P855" s="324"/>
      <c r="Q855" s="324"/>
      <c r="R855" s="324"/>
      <c r="S855" s="324"/>
      <c r="T855" s="324"/>
      <c r="U855" s="324"/>
      <c r="V855" s="324"/>
      <c r="W855" s="324"/>
      <c r="X855" s="324"/>
      <c r="Y855" s="324"/>
      <c r="Z855" s="324"/>
      <c r="AA855" s="324"/>
      <c r="AB855" s="324"/>
      <c r="AC855" s="324"/>
      <c r="AD855" s="324"/>
      <c r="AE855" s="324"/>
      <c r="AF855" s="324"/>
      <c r="AG855" s="324"/>
      <c r="AH855" s="324"/>
      <c r="AI855" s="324"/>
      <c r="AJ855" s="324"/>
      <c r="AK855" s="173"/>
      <c r="AY855" s="55"/>
      <c r="AZ855" s="55"/>
      <c r="BA855" s="55"/>
      <c r="BB855" s="55"/>
      <c r="BC855" s="55"/>
      <c r="BD855" s="55"/>
      <c r="BE855" s="55"/>
      <c r="BF855" s="55"/>
      <c r="BG855" s="55"/>
      <c r="BH855" s="55"/>
      <c r="BI855" s="55"/>
      <c r="BJ855" s="55"/>
      <c r="BK855" s="55"/>
      <c r="BL855" s="55"/>
      <c r="BM855" s="55"/>
      <c r="BN855" s="55"/>
      <c r="BO855" s="55"/>
      <c r="BP855" s="55"/>
      <c r="BQ855" s="55"/>
      <c r="BR855" s="55"/>
      <c r="BS855" s="55"/>
      <c r="BT855" s="55"/>
      <c r="BU855" s="55"/>
      <c r="BV855" s="55"/>
      <c r="BW855" s="55"/>
      <c r="BX855" s="55"/>
      <c r="BY855" s="55"/>
      <c r="BZ855" s="55"/>
      <c r="CI855" s="55"/>
      <c r="CJ855" s="55"/>
      <c r="CK855" s="55"/>
      <c r="CL855" s="55"/>
      <c r="CM855" s="55"/>
      <c r="CN855" s="55"/>
      <c r="CO855" s="55"/>
      <c r="CP855" s="55"/>
      <c r="CQ855" s="55"/>
      <c r="DJ855" s="55"/>
      <c r="DK855" s="55"/>
      <c r="DL855" s="55"/>
      <c r="DM855" s="55"/>
      <c r="DN855" s="55"/>
      <c r="DO855" s="55"/>
      <c r="DP855" s="55"/>
      <c r="DQ855" s="55"/>
      <c r="DR855" s="55"/>
      <c r="DS855" s="55"/>
      <c r="DT855" s="55"/>
      <c r="DU855" s="55"/>
      <c r="DV855" s="55"/>
    </row>
    <row r="856" spans="1:126" ht="12.75" x14ac:dyDescent="0.2">
      <c r="A856" s="54"/>
      <c r="B856" s="54"/>
      <c r="C856" s="54"/>
      <c r="D856" s="54"/>
      <c r="E856" s="54"/>
      <c r="F856" s="54"/>
      <c r="G856" s="54"/>
      <c r="H856" s="54"/>
      <c r="I856" s="54"/>
      <c r="J856" s="54"/>
      <c r="K856" s="54"/>
      <c r="L856" s="54"/>
      <c r="M856" s="54"/>
      <c r="N856" s="54"/>
      <c r="O856" s="54"/>
      <c r="P856" s="54"/>
      <c r="Q856" s="54"/>
      <c r="R856" s="54"/>
      <c r="S856" s="54"/>
      <c r="T856" s="54"/>
      <c r="U856" s="54"/>
      <c r="V856" s="54"/>
      <c r="W856" s="54"/>
      <c r="X856" s="54"/>
      <c r="Y856" s="54"/>
      <c r="Z856" s="54"/>
      <c r="AY856" s="55"/>
      <c r="AZ856" s="55"/>
      <c r="BA856" s="55"/>
      <c r="BB856" s="55"/>
      <c r="BC856" s="55"/>
      <c r="BD856" s="55"/>
      <c r="BE856" s="55"/>
      <c r="BF856" s="55"/>
      <c r="BG856" s="55"/>
      <c r="BH856" s="55"/>
      <c r="BI856" s="55"/>
      <c r="BJ856" s="55"/>
      <c r="BK856" s="55"/>
      <c r="BL856" s="55"/>
      <c r="BM856" s="55"/>
      <c r="BN856" s="55"/>
      <c r="BO856" s="55"/>
      <c r="BP856" s="55"/>
      <c r="BQ856" s="55"/>
      <c r="BR856" s="55"/>
      <c r="BS856" s="55"/>
      <c r="BT856" s="55"/>
      <c r="BU856" s="55"/>
      <c r="BV856" s="55"/>
      <c r="BW856" s="55"/>
      <c r="BX856" s="55"/>
      <c r="BY856" s="55"/>
      <c r="BZ856" s="55"/>
      <c r="CI856" s="55"/>
      <c r="CJ856" s="55"/>
      <c r="CK856" s="55"/>
      <c r="CL856" s="55"/>
      <c r="CM856" s="55"/>
      <c r="CN856" s="55"/>
      <c r="CO856" s="55"/>
      <c r="CP856" s="55"/>
      <c r="CQ856" s="55"/>
      <c r="DJ856" s="55"/>
      <c r="DK856" s="55"/>
      <c r="DL856" s="55"/>
      <c r="DM856" s="55"/>
      <c r="DN856" s="55"/>
      <c r="DO856" s="55"/>
      <c r="DP856" s="55"/>
      <c r="DQ856" s="55"/>
      <c r="DR856" s="55"/>
      <c r="DS856" s="55"/>
      <c r="DT856" s="55"/>
      <c r="DU856" s="55"/>
      <c r="DV856" s="55"/>
    </row>
    <row r="857" spans="1:126" ht="14.25" customHeight="1" x14ac:dyDescent="0.2">
      <c r="A857" s="54"/>
      <c r="B857" s="54"/>
      <c r="C857" s="324" t="s">
        <v>712</v>
      </c>
      <c r="D857" s="324"/>
      <c r="E857" s="324"/>
      <c r="F857" s="324"/>
      <c r="G857" s="324"/>
      <c r="H857" s="324"/>
      <c r="I857" s="324"/>
      <c r="J857" s="324"/>
      <c r="K857" s="324"/>
      <c r="L857" s="324"/>
      <c r="M857" s="324"/>
      <c r="N857" s="324"/>
      <c r="O857" s="324"/>
      <c r="P857" s="324"/>
      <c r="Q857" s="324"/>
      <c r="R857" s="324"/>
      <c r="S857" s="324"/>
      <c r="T857" s="324"/>
      <c r="U857" s="324"/>
      <c r="V857" s="324"/>
      <c r="W857" s="324"/>
      <c r="X857" s="324"/>
      <c r="Y857" s="324"/>
      <c r="Z857" s="324"/>
      <c r="AA857" s="324"/>
      <c r="AB857" s="324"/>
      <c r="AC857" s="324"/>
      <c r="AD857" s="324"/>
      <c r="AE857" s="324"/>
      <c r="AF857" s="324"/>
      <c r="AG857" s="324"/>
      <c r="AH857" s="324"/>
      <c r="AI857" s="324"/>
      <c r="AJ857" s="324"/>
      <c r="AK857" s="173"/>
      <c r="AY857" s="55"/>
      <c r="AZ857" s="55"/>
      <c r="BA857" s="55"/>
      <c r="BB857" s="55"/>
      <c r="BC857" s="55"/>
      <c r="BD857" s="55"/>
      <c r="BE857" s="55"/>
      <c r="BF857" s="55"/>
      <c r="BG857" s="55"/>
      <c r="BH857" s="55"/>
      <c r="BI857" s="55"/>
      <c r="BJ857" s="55"/>
      <c r="BK857" s="55"/>
      <c r="BL857" s="55"/>
      <c r="BM857" s="55"/>
      <c r="BN857" s="55"/>
      <c r="BO857" s="55"/>
      <c r="BP857" s="55"/>
      <c r="BQ857" s="55"/>
      <c r="BR857" s="55"/>
      <c r="BS857" s="55"/>
      <c r="BT857" s="55"/>
      <c r="BU857" s="55"/>
      <c r="BV857" s="55"/>
      <c r="BW857" s="55"/>
      <c r="BX857" s="55"/>
      <c r="BY857" s="55"/>
      <c r="BZ857" s="55"/>
      <c r="CI857" s="55"/>
      <c r="CJ857" s="55"/>
      <c r="CK857" s="55"/>
      <c r="CL857" s="55"/>
      <c r="CM857" s="55"/>
      <c r="CN857" s="55"/>
      <c r="CO857" s="55"/>
      <c r="CP857" s="55"/>
      <c r="CQ857" s="55"/>
      <c r="DJ857" s="55"/>
      <c r="DK857" s="55"/>
      <c r="DL857" s="55"/>
      <c r="DM857" s="55"/>
      <c r="DN857" s="55"/>
      <c r="DO857" s="55"/>
      <c r="DP857" s="55"/>
      <c r="DQ857" s="55"/>
      <c r="DR857" s="55"/>
      <c r="DS857" s="55"/>
      <c r="DT857" s="55"/>
      <c r="DU857" s="55"/>
      <c r="DV857" s="55"/>
    </row>
    <row r="858" spans="1:126" ht="12.75" x14ac:dyDescent="0.2">
      <c r="A858" s="54"/>
      <c r="B858" s="54"/>
      <c r="C858" s="324"/>
      <c r="D858" s="324"/>
      <c r="E858" s="324"/>
      <c r="F858" s="324"/>
      <c r="G858" s="324"/>
      <c r="H858" s="324"/>
      <c r="I858" s="324"/>
      <c r="J858" s="324"/>
      <c r="K858" s="324"/>
      <c r="L858" s="324"/>
      <c r="M858" s="324"/>
      <c r="N858" s="324"/>
      <c r="O858" s="324"/>
      <c r="P858" s="324"/>
      <c r="Q858" s="324"/>
      <c r="R858" s="324"/>
      <c r="S858" s="324"/>
      <c r="T858" s="324"/>
      <c r="U858" s="324"/>
      <c r="V858" s="324"/>
      <c r="W858" s="324"/>
      <c r="X858" s="324"/>
      <c r="Y858" s="324"/>
      <c r="Z858" s="324"/>
      <c r="AA858" s="324"/>
      <c r="AB858" s="324"/>
      <c r="AC858" s="324"/>
      <c r="AD858" s="324"/>
      <c r="AE858" s="324"/>
      <c r="AF858" s="324"/>
      <c r="AG858" s="324"/>
      <c r="AH858" s="324"/>
      <c r="AI858" s="324"/>
      <c r="AJ858" s="324"/>
      <c r="AK858" s="173"/>
      <c r="AY858" s="55"/>
      <c r="AZ858" s="55"/>
      <c r="BA858" s="55"/>
      <c r="BB858" s="55"/>
      <c r="BC858" s="55"/>
      <c r="BD858" s="55"/>
      <c r="BE858" s="55"/>
      <c r="BF858" s="55"/>
      <c r="BG858" s="55"/>
      <c r="BH858" s="55"/>
      <c r="BI858" s="55"/>
      <c r="BJ858" s="55"/>
      <c r="BK858" s="55"/>
      <c r="BL858" s="55"/>
      <c r="BM858" s="55"/>
      <c r="BN858" s="55"/>
      <c r="BO858" s="55"/>
      <c r="BP858" s="55"/>
      <c r="BQ858" s="55"/>
      <c r="BR858" s="55"/>
      <c r="BS858" s="55"/>
      <c r="BT858" s="55"/>
      <c r="BU858" s="55"/>
      <c r="BV858" s="55"/>
      <c r="BW858" s="55"/>
      <c r="BX858" s="55"/>
      <c r="BY858" s="55"/>
      <c r="BZ858" s="55"/>
      <c r="CI858" s="55"/>
      <c r="CJ858" s="55"/>
      <c r="CK858" s="55"/>
      <c r="CL858" s="55"/>
      <c r="CM858" s="55"/>
      <c r="CN858" s="55"/>
      <c r="CO858" s="55"/>
      <c r="CP858" s="55"/>
      <c r="CQ858" s="55"/>
      <c r="DJ858" s="55"/>
      <c r="DK858" s="55"/>
      <c r="DL858" s="55"/>
      <c r="DM858" s="55"/>
      <c r="DN858" s="55"/>
      <c r="DO858" s="55"/>
      <c r="DP858" s="55"/>
      <c r="DQ858" s="55"/>
      <c r="DR858" s="55"/>
      <c r="DS858" s="55"/>
      <c r="DT858" s="55"/>
      <c r="DU858" s="55"/>
      <c r="DV858" s="55"/>
    </row>
    <row r="859" spans="1:126" ht="12.75" x14ac:dyDescent="0.2">
      <c r="A859" s="54"/>
      <c r="B859" s="54"/>
      <c r="C859" s="324"/>
      <c r="D859" s="324"/>
      <c r="E859" s="324"/>
      <c r="F859" s="324"/>
      <c r="G859" s="324"/>
      <c r="H859" s="324"/>
      <c r="I859" s="324"/>
      <c r="J859" s="324"/>
      <c r="K859" s="324"/>
      <c r="L859" s="324"/>
      <c r="M859" s="324"/>
      <c r="N859" s="324"/>
      <c r="O859" s="324"/>
      <c r="P859" s="324"/>
      <c r="Q859" s="324"/>
      <c r="R859" s="324"/>
      <c r="S859" s="324"/>
      <c r="T859" s="324"/>
      <c r="U859" s="324"/>
      <c r="V859" s="324"/>
      <c r="W859" s="324"/>
      <c r="X859" s="324"/>
      <c r="Y859" s="324"/>
      <c r="Z859" s="324"/>
      <c r="AA859" s="324"/>
      <c r="AB859" s="324"/>
      <c r="AC859" s="324"/>
      <c r="AD859" s="324"/>
      <c r="AE859" s="324"/>
      <c r="AF859" s="324"/>
      <c r="AG859" s="324"/>
      <c r="AH859" s="324"/>
      <c r="AI859" s="324"/>
      <c r="AJ859" s="324"/>
      <c r="AK859" s="173"/>
      <c r="AY859" s="55"/>
      <c r="AZ859" s="55"/>
      <c r="BA859" s="55"/>
      <c r="BB859" s="55"/>
      <c r="BC859" s="55"/>
      <c r="BD859" s="55"/>
      <c r="BE859" s="55"/>
      <c r="BF859" s="55"/>
      <c r="BG859" s="55"/>
      <c r="BH859" s="55"/>
      <c r="BI859" s="55"/>
      <c r="BJ859" s="55"/>
      <c r="BK859" s="55"/>
      <c r="BL859" s="55"/>
      <c r="BM859" s="55"/>
      <c r="BN859" s="55"/>
      <c r="BO859" s="55"/>
      <c r="BP859" s="55"/>
      <c r="BQ859" s="55"/>
      <c r="BR859" s="55"/>
      <c r="BS859" s="55"/>
      <c r="BT859" s="55"/>
      <c r="BU859" s="55"/>
      <c r="BV859" s="55"/>
      <c r="BW859" s="55"/>
      <c r="BX859" s="55"/>
      <c r="BY859" s="55"/>
      <c r="BZ859" s="55"/>
      <c r="CI859" s="55"/>
      <c r="CJ859" s="55"/>
      <c r="CK859" s="55"/>
      <c r="CL859" s="55"/>
      <c r="CM859" s="55"/>
      <c r="CN859" s="55"/>
      <c r="CO859" s="55"/>
      <c r="CP859" s="55"/>
      <c r="CQ859" s="55"/>
      <c r="DJ859" s="55"/>
      <c r="DK859" s="55"/>
      <c r="DL859" s="55"/>
      <c r="DM859" s="55"/>
      <c r="DN859" s="55"/>
      <c r="DO859" s="55"/>
      <c r="DP859" s="55"/>
      <c r="DQ859" s="55"/>
      <c r="DR859" s="55"/>
      <c r="DS859" s="55"/>
      <c r="DT859" s="55"/>
      <c r="DU859" s="55"/>
      <c r="DV859" s="55"/>
    </row>
    <row r="860" spans="1:126" ht="12.75" x14ac:dyDescent="0.2">
      <c r="A860" s="54"/>
      <c r="B860" s="54"/>
      <c r="C860" s="54"/>
      <c r="D860" s="54"/>
      <c r="E860" s="54"/>
      <c r="F860" s="54"/>
      <c r="G860" s="54"/>
      <c r="H860" s="54"/>
      <c r="I860" s="54"/>
      <c r="J860" s="54"/>
      <c r="K860" s="54"/>
      <c r="L860" s="54"/>
      <c r="M860" s="54"/>
      <c r="N860" s="54"/>
      <c r="O860" s="54"/>
      <c r="P860" s="54"/>
      <c r="Q860" s="54"/>
      <c r="R860" s="54"/>
      <c r="S860" s="54"/>
      <c r="T860" s="54"/>
      <c r="U860" s="54"/>
      <c r="V860" s="54"/>
      <c r="W860" s="54"/>
      <c r="X860" s="54"/>
      <c r="Y860" s="54"/>
      <c r="Z860" s="54"/>
      <c r="AY860" s="55"/>
      <c r="AZ860" s="55"/>
      <c r="BA860" s="55"/>
      <c r="BB860" s="55"/>
      <c r="BC860" s="55"/>
      <c r="BD860" s="55"/>
      <c r="BE860" s="55"/>
      <c r="BF860" s="55"/>
      <c r="BG860" s="55"/>
      <c r="BH860" s="55"/>
      <c r="BI860" s="55"/>
      <c r="BJ860" s="55"/>
      <c r="BK860" s="55"/>
      <c r="BL860" s="55"/>
      <c r="BM860" s="55"/>
      <c r="BN860" s="55"/>
      <c r="BO860" s="55"/>
      <c r="BP860" s="55"/>
      <c r="BQ860" s="55"/>
      <c r="BR860" s="55"/>
      <c r="BS860" s="55"/>
      <c r="BT860" s="55"/>
      <c r="BU860" s="55"/>
      <c r="BV860" s="55"/>
      <c r="BW860" s="55"/>
      <c r="BX860" s="55"/>
      <c r="BY860" s="55"/>
      <c r="BZ860" s="55"/>
      <c r="CI860" s="55"/>
      <c r="CJ860" s="55"/>
      <c r="CK860" s="55"/>
      <c r="CL860" s="55"/>
      <c r="CM860" s="55"/>
      <c r="CN860" s="55"/>
      <c r="CO860" s="55"/>
      <c r="CP860" s="55"/>
      <c r="CQ860" s="55"/>
      <c r="DJ860" s="55"/>
      <c r="DK860" s="55"/>
      <c r="DL860" s="55"/>
      <c r="DM860" s="55"/>
      <c r="DN860" s="55"/>
      <c r="DO860" s="55"/>
      <c r="DP860" s="55"/>
      <c r="DQ860" s="55"/>
      <c r="DR860" s="55"/>
      <c r="DS860" s="55"/>
      <c r="DT860" s="55"/>
      <c r="DU860" s="55"/>
      <c r="DV860" s="55"/>
    </row>
    <row r="861" spans="1:126" ht="12.75" x14ac:dyDescent="0.2">
      <c r="A861" s="54"/>
      <c r="B861" s="54"/>
      <c r="C861" s="54"/>
      <c r="D861" s="324" t="s">
        <v>713</v>
      </c>
      <c r="E861" s="333"/>
      <c r="F861" s="333"/>
      <c r="G861" s="333"/>
      <c r="H861" s="333"/>
      <c r="I861" s="333"/>
      <c r="J861" s="333"/>
      <c r="K861" s="333"/>
      <c r="L861" s="333"/>
      <c r="M861" s="333"/>
      <c r="N861" s="333"/>
      <c r="O861" s="333"/>
      <c r="P861" s="333"/>
      <c r="Q861" s="333"/>
      <c r="R861" s="333"/>
      <c r="S861" s="333"/>
      <c r="T861" s="333"/>
      <c r="U861" s="333"/>
      <c r="V861" s="333"/>
      <c r="W861" s="333"/>
      <c r="X861" s="333"/>
      <c r="Y861" s="333"/>
      <c r="Z861" s="333"/>
      <c r="AA861" s="333"/>
      <c r="AB861" s="333"/>
      <c r="AC861" s="333"/>
      <c r="AD861" s="333"/>
      <c r="AE861" s="333"/>
      <c r="AF861" s="333"/>
      <c r="AG861" s="333"/>
      <c r="AH861" s="333"/>
      <c r="AI861" s="333"/>
      <c r="AJ861" s="333"/>
      <c r="AK861" s="175"/>
      <c r="AY861" s="55"/>
      <c r="AZ861" s="55"/>
      <c r="BA861" s="55"/>
      <c r="BB861" s="55"/>
      <c r="BC861" s="55"/>
      <c r="BD861" s="55"/>
      <c r="BE861" s="55"/>
      <c r="BF861" s="55"/>
      <c r="BG861" s="55"/>
      <c r="BH861" s="55"/>
      <c r="BI861" s="55"/>
      <c r="BJ861" s="55"/>
      <c r="BK861" s="55"/>
      <c r="BL861" s="55"/>
      <c r="BM861" s="55"/>
      <c r="BN861" s="55"/>
      <c r="BO861" s="55"/>
      <c r="BP861" s="55"/>
      <c r="BQ861" s="55"/>
      <c r="BR861" s="55"/>
      <c r="BS861" s="55"/>
      <c r="BT861" s="55"/>
      <c r="BU861" s="55"/>
      <c r="BV861" s="55"/>
      <c r="BW861" s="55"/>
      <c r="BX861" s="55"/>
      <c r="BY861" s="55"/>
      <c r="BZ861" s="55"/>
      <c r="CI861" s="55"/>
      <c r="CJ861" s="55"/>
      <c r="CK861" s="55"/>
      <c r="CL861" s="55"/>
      <c r="CM861" s="55"/>
      <c r="CN861" s="55"/>
      <c r="CO861" s="55"/>
      <c r="CP861" s="55"/>
      <c r="CQ861" s="55"/>
      <c r="DJ861" s="55"/>
      <c r="DK861" s="55"/>
      <c r="DL861" s="55"/>
      <c r="DM861" s="55"/>
      <c r="DN861" s="55"/>
      <c r="DO861" s="55"/>
      <c r="DP861" s="55"/>
      <c r="DQ861" s="55"/>
      <c r="DR861" s="55"/>
      <c r="DS861" s="55"/>
      <c r="DT861" s="55"/>
      <c r="DU861" s="55"/>
      <c r="DV861" s="55"/>
    </row>
    <row r="862" spans="1:126" ht="12.75" x14ac:dyDescent="0.2">
      <c r="A862" s="54"/>
      <c r="B862" s="54"/>
      <c r="C862" s="54"/>
      <c r="D862" s="324" t="s">
        <v>357</v>
      </c>
      <c r="E862" s="333"/>
      <c r="F862" s="333"/>
      <c r="G862" s="333"/>
      <c r="H862" s="333"/>
      <c r="I862" s="333"/>
      <c r="J862" s="333"/>
      <c r="K862" s="333"/>
      <c r="L862" s="333"/>
      <c r="M862" s="333"/>
      <c r="N862" s="333"/>
      <c r="O862" s="333"/>
      <c r="P862" s="333"/>
      <c r="Q862" s="333"/>
      <c r="R862" s="333"/>
      <c r="S862" s="333"/>
      <c r="T862" s="333"/>
      <c r="U862" s="333"/>
      <c r="V862" s="333"/>
      <c r="W862" s="333"/>
      <c r="X862" s="333"/>
      <c r="Y862" s="333"/>
      <c r="Z862" s="333"/>
      <c r="AA862" s="333"/>
      <c r="AB862" s="333"/>
      <c r="AC862" s="333"/>
      <c r="AD862" s="333"/>
      <c r="AE862" s="333"/>
      <c r="AF862" s="333"/>
      <c r="AG862" s="333"/>
      <c r="AH862" s="333"/>
      <c r="AI862" s="333"/>
      <c r="AJ862" s="333"/>
      <c r="AK862" s="175"/>
      <c r="AY862" s="55"/>
      <c r="AZ862" s="55"/>
      <c r="BA862" s="55"/>
      <c r="BB862" s="55"/>
      <c r="BC862" s="55"/>
      <c r="BD862" s="55"/>
      <c r="BE862" s="55"/>
      <c r="BF862" s="55"/>
      <c r="BG862" s="55"/>
      <c r="BH862" s="55"/>
      <c r="BI862" s="55"/>
      <c r="BJ862" s="55"/>
      <c r="BK862" s="55"/>
      <c r="BL862" s="55"/>
      <c r="BM862" s="55"/>
      <c r="BN862" s="55"/>
      <c r="BO862" s="55"/>
      <c r="BP862" s="55"/>
      <c r="BQ862" s="55"/>
      <c r="BR862" s="55"/>
      <c r="BS862" s="55"/>
      <c r="BT862" s="55"/>
      <c r="BU862" s="55"/>
      <c r="BV862" s="55"/>
      <c r="BW862" s="55"/>
      <c r="BX862" s="55"/>
      <c r="BY862" s="55"/>
      <c r="BZ862" s="55"/>
      <c r="CI862" s="55"/>
      <c r="CJ862" s="55"/>
      <c r="CK862" s="55"/>
      <c r="CL862" s="55"/>
      <c r="CM862" s="55"/>
      <c r="CN862" s="55"/>
      <c r="CO862" s="55"/>
      <c r="CP862" s="55"/>
      <c r="CQ862" s="55"/>
      <c r="DJ862" s="55"/>
      <c r="DK862" s="55"/>
      <c r="DL862" s="55"/>
      <c r="DM862" s="55"/>
      <c r="DN862" s="55"/>
      <c r="DO862" s="55"/>
      <c r="DP862" s="55"/>
      <c r="DQ862" s="55"/>
      <c r="DR862" s="55"/>
      <c r="DS862" s="55"/>
      <c r="DT862" s="55"/>
      <c r="DU862" s="55"/>
      <c r="DV862" s="55"/>
    </row>
    <row r="863" spans="1:126" ht="14.25" customHeight="1" x14ac:dyDescent="0.2">
      <c r="A863" s="54"/>
      <c r="B863" s="54"/>
      <c r="C863" s="54"/>
      <c r="D863" s="324" t="s">
        <v>649</v>
      </c>
      <c r="E863" s="324"/>
      <c r="F863" s="324"/>
      <c r="G863" s="324"/>
      <c r="H863" s="324"/>
      <c r="I863" s="324"/>
      <c r="J863" s="324"/>
      <c r="K863" s="324"/>
      <c r="L863" s="324"/>
      <c r="M863" s="324"/>
      <c r="N863" s="324"/>
      <c r="O863" s="324"/>
      <c r="P863" s="324"/>
      <c r="Q863" s="324"/>
      <c r="R863" s="324"/>
      <c r="S863" s="324"/>
      <c r="T863" s="324"/>
      <c r="U863" s="324"/>
      <c r="V863" s="324"/>
      <c r="W863" s="324"/>
      <c r="X863" s="324"/>
      <c r="Y863" s="324"/>
      <c r="Z863" s="324"/>
      <c r="AA863" s="324"/>
      <c r="AB863" s="324"/>
      <c r="AC863" s="324"/>
      <c r="AD863" s="324"/>
      <c r="AE863" s="324"/>
      <c r="AF863" s="324"/>
      <c r="AG863" s="324"/>
      <c r="AH863" s="324"/>
      <c r="AI863" s="324"/>
      <c r="AJ863" s="324"/>
      <c r="AK863" s="173"/>
      <c r="AY863" s="55"/>
      <c r="AZ863" s="55"/>
      <c r="BA863" s="55"/>
      <c r="BB863" s="55"/>
      <c r="BC863" s="55"/>
      <c r="BD863" s="55"/>
      <c r="BE863" s="55"/>
      <c r="BF863" s="55"/>
      <c r="BG863" s="55"/>
      <c r="BH863" s="55"/>
      <c r="BI863" s="55"/>
      <c r="BJ863" s="55"/>
      <c r="BK863" s="55"/>
      <c r="BL863" s="55"/>
      <c r="BM863" s="55"/>
      <c r="BN863" s="55"/>
      <c r="BO863" s="55"/>
      <c r="BP863" s="55"/>
      <c r="BQ863" s="55"/>
      <c r="BR863" s="55"/>
      <c r="BS863" s="55"/>
      <c r="BT863" s="55"/>
      <c r="BU863" s="55"/>
      <c r="BV863" s="55"/>
      <c r="BW863" s="55"/>
      <c r="BX863" s="55"/>
      <c r="BY863" s="55"/>
      <c r="BZ863" s="55"/>
      <c r="CI863" s="55"/>
      <c r="CJ863" s="55"/>
      <c r="CK863" s="55"/>
      <c r="CL863" s="55"/>
      <c r="CM863" s="55"/>
      <c r="CN863" s="55"/>
      <c r="CO863" s="55"/>
      <c r="CP863" s="55"/>
      <c r="CQ863" s="55"/>
      <c r="DJ863" s="55"/>
      <c r="DK863" s="55"/>
      <c r="DL863" s="55"/>
      <c r="DM863" s="55"/>
      <c r="DN863" s="55"/>
      <c r="DO863" s="55"/>
      <c r="DP863" s="55"/>
      <c r="DQ863" s="55"/>
      <c r="DR863" s="55"/>
      <c r="DS863" s="55"/>
      <c r="DT863" s="55"/>
      <c r="DU863" s="55"/>
      <c r="DV863" s="55"/>
    </row>
    <row r="864" spans="1:126" ht="12.75" x14ac:dyDescent="0.2">
      <c r="A864" s="54"/>
      <c r="B864" s="54"/>
      <c r="C864" s="54"/>
      <c r="D864" s="324"/>
      <c r="E864" s="324"/>
      <c r="F864" s="324"/>
      <c r="G864" s="324"/>
      <c r="H864" s="324"/>
      <c r="I864" s="324"/>
      <c r="J864" s="324"/>
      <c r="K864" s="324"/>
      <c r="L864" s="324"/>
      <c r="M864" s="324"/>
      <c r="N864" s="324"/>
      <c r="O864" s="324"/>
      <c r="P864" s="324"/>
      <c r="Q864" s="324"/>
      <c r="R864" s="324"/>
      <c r="S864" s="324"/>
      <c r="T864" s="324"/>
      <c r="U864" s="324"/>
      <c r="V864" s="324"/>
      <c r="W864" s="324"/>
      <c r="X864" s="324"/>
      <c r="Y864" s="324"/>
      <c r="Z864" s="324"/>
      <c r="AA864" s="324"/>
      <c r="AB864" s="324"/>
      <c r="AC864" s="324"/>
      <c r="AD864" s="324"/>
      <c r="AE864" s="324"/>
      <c r="AF864" s="324"/>
      <c r="AG864" s="324"/>
      <c r="AH864" s="324"/>
      <c r="AI864" s="324"/>
      <c r="AJ864" s="324"/>
      <c r="AK864" s="173"/>
      <c r="AY864" s="55"/>
      <c r="AZ864" s="55"/>
      <c r="BA864" s="55"/>
      <c r="BB864" s="55"/>
      <c r="BC864" s="55"/>
      <c r="BD864" s="55"/>
      <c r="BE864" s="55"/>
      <c r="BF864" s="55"/>
      <c r="BG864" s="55"/>
      <c r="BH864" s="55"/>
      <c r="BI864" s="55"/>
      <c r="BJ864" s="55"/>
      <c r="BK864" s="55"/>
      <c r="BL864" s="55"/>
      <c r="BM864" s="55"/>
      <c r="BN864" s="55"/>
      <c r="BO864" s="55"/>
      <c r="BP864" s="55"/>
      <c r="BQ864" s="55"/>
      <c r="BR864" s="55"/>
      <c r="BS864" s="55"/>
      <c r="BT864" s="55"/>
      <c r="BU864" s="55"/>
      <c r="BV864" s="55"/>
      <c r="BW864" s="55"/>
      <c r="BX864" s="55"/>
      <c r="BY864" s="55"/>
      <c r="BZ864" s="55"/>
      <c r="CI864" s="55"/>
      <c r="CJ864" s="55"/>
      <c r="CK864" s="55"/>
      <c r="CL864" s="55"/>
      <c r="CM864" s="55"/>
      <c r="CN864" s="55"/>
      <c r="CO864" s="55"/>
      <c r="CP864" s="55"/>
      <c r="CQ864" s="55"/>
      <c r="DJ864" s="55"/>
      <c r="DK864" s="55"/>
      <c r="DL864" s="55"/>
      <c r="DM864" s="55"/>
      <c r="DN864" s="55"/>
      <c r="DO864" s="55"/>
      <c r="DP864" s="55"/>
      <c r="DQ864" s="55"/>
      <c r="DR864" s="55"/>
      <c r="DS864" s="55"/>
      <c r="DT864" s="55"/>
      <c r="DU864" s="55"/>
      <c r="DV864" s="55"/>
    </row>
    <row r="865" spans="1:126" ht="12.75" x14ac:dyDescent="0.2">
      <c r="A865" s="54"/>
      <c r="B865" s="54"/>
      <c r="C865" s="54"/>
      <c r="D865" s="324"/>
      <c r="E865" s="324"/>
      <c r="F865" s="324"/>
      <c r="G865" s="324"/>
      <c r="H865" s="324"/>
      <c r="I865" s="324"/>
      <c r="J865" s="324"/>
      <c r="K865" s="324"/>
      <c r="L865" s="324"/>
      <c r="M865" s="324"/>
      <c r="N865" s="324"/>
      <c r="O865" s="324"/>
      <c r="P865" s="324"/>
      <c r="Q865" s="324"/>
      <c r="R865" s="324"/>
      <c r="S865" s="324"/>
      <c r="T865" s="324"/>
      <c r="U865" s="324"/>
      <c r="V865" s="324"/>
      <c r="W865" s="324"/>
      <c r="X865" s="324"/>
      <c r="Y865" s="324"/>
      <c r="Z865" s="324"/>
      <c r="AA865" s="324"/>
      <c r="AB865" s="324"/>
      <c r="AC865" s="324"/>
      <c r="AD865" s="324"/>
      <c r="AE865" s="324"/>
      <c r="AF865" s="324"/>
      <c r="AG865" s="324"/>
      <c r="AH865" s="324"/>
      <c r="AI865" s="324"/>
      <c r="AJ865" s="324"/>
      <c r="AK865" s="173"/>
      <c r="AY865" s="55"/>
      <c r="AZ865" s="55"/>
      <c r="BA865" s="55"/>
      <c r="BB865" s="55"/>
      <c r="BC865" s="55"/>
      <c r="BD865" s="55"/>
      <c r="BE865" s="55"/>
      <c r="BF865" s="55"/>
      <c r="BG865" s="55"/>
      <c r="BH865" s="55"/>
      <c r="BI865" s="55"/>
      <c r="BJ865" s="55"/>
      <c r="BK865" s="55"/>
      <c r="BL865" s="55"/>
      <c r="BM865" s="55"/>
      <c r="BN865" s="55"/>
      <c r="BO865" s="55"/>
      <c r="BP865" s="55"/>
      <c r="BQ865" s="55"/>
      <c r="BR865" s="55"/>
      <c r="BS865" s="55"/>
      <c r="BT865" s="55"/>
      <c r="BU865" s="55"/>
      <c r="BV865" s="55"/>
      <c r="BW865" s="55"/>
      <c r="BX865" s="55"/>
      <c r="BY865" s="55"/>
      <c r="BZ865" s="55"/>
      <c r="CI865" s="55"/>
      <c r="CJ865" s="55"/>
      <c r="CK865" s="55"/>
      <c r="CL865" s="55"/>
      <c r="CM865" s="55"/>
      <c r="CN865" s="55"/>
      <c r="CO865" s="55"/>
      <c r="CP865" s="55"/>
      <c r="CQ865" s="55"/>
      <c r="DJ865" s="55"/>
      <c r="DK865" s="55"/>
      <c r="DL865" s="55"/>
      <c r="DM865" s="55"/>
      <c r="DN865" s="55"/>
      <c r="DO865" s="55"/>
      <c r="DP865" s="55"/>
      <c r="DQ865" s="55"/>
      <c r="DR865" s="55"/>
      <c r="DS865" s="55"/>
      <c r="DT865" s="55"/>
      <c r="DU865" s="55"/>
      <c r="DV865" s="55"/>
    </row>
    <row r="866" spans="1:126" ht="12.75" x14ac:dyDescent="0.2">
      <c r="A866" s="54"/>
      <c r="B866" s="54"/>
      <c r="C866" s="54"/>
      <c r="D866" s="324" t="s">
        <v>358</v>
      </c>
      <c r="E866" s="333"/>
      <c r="F866" s="333"/>
      <c r="G866" s="333"/>
      <c r="H866" s="333"/>
      <c r="I866" s="333"/>
      <c r="J866" s="333"/>
      <c r="K866" s="333"/>
      <c r="L866" s="333"/>
      <c r="M866" s="333"/>
      <c r="N866" s="333"/>
      <c r="O866" s="333"/>
      <c r="P866" s="333"/>
      <c r="Q866" s="333"/>
      <c r="R866" s="333"/>
      <c r="S866" s="333"/>
      <c r="T866" s="333"/>
      <c r="U866" s="333"/>
      <c r="V866" s="333"/>
      <c r="W866" s="333"/>
      <c r="X866" s="333"/>
      <c r="Y866" s="333"/>
      <c r="Z866" s="333"/>
      <c r="AA866" s="333"/>
      <c r="AB866" s="333"/>
      <c r="AC866" s="333"/>
      <c r="AD866" s="333"/>
      <c r="AE866" s="333"/>
      <c r="AF866" s="333"/>
      <c r="AG866" s="333"/>
      <c r="AH866" s="333"/>
      <c r="AI866" s="333"/>
      <c r="AJ866" s="333"/>
      <c r="AK866" s="175"/>
      <c r="AY866" s="55"/>
      <c r="AZ866" s="55"/>
      <c r="BA866" s="55"/>
      <c r="BB866" s="55"/>
      <c r="BC866" s="55"/>
      <c r="BD866" s="55"/>
      <c r="BE866" s="55"/>
      <c r="BF866" s="55"/>
      <c r="BG866" s="55"/>
      <c r="BH866" s="55"/>
      <c r="BI866" s="55"/>
      <c r="BJ866" s="55"/>
      <c r="BK866" s="55"/>
      <c r="BL866" s="55"/>
      <c r="BM866" s="55"/>
      <c r="BN866" s="55"/>
      <c r="BO866" s="55"/>
      <c r="BP866" s="55"/>
      <c r="BQ866" s="55"/>
      <c r="BR866" s="55"/>
      <c r="BS866" s="55"/>
      <c r="BT866" s="55"/>
      <c r="BU866" s="55"/>
      <c r="BV866" s="55"/>
      <c r="BW866" s="55"/>
      <c r="BX866" s="55"/>
      <c r="BY866" s="55"/>
      <c r="BZ866" s="55"/>
      <c r="CI866" s="55"/>
      <c r="CJ866" s="55"/>
      <c r="CK866" s="55"/>
      <c r="CL866" s="55"/>
      <c r="CM866" s="55"/>
      <c r="CN866" s="55"/>
      <c r="CO866" s="55"/>
      <c r="CP866" s="55"/>
      <c r="CQ866" s="55"/>
      <c r="DJ866" s="55"/>
      <c r="DK866" s="55"/>
      <c r="DL866" s="55"/>
      <c r="DM866" s="55"/>
      <c r="DN866" s="55"/>
      <c r="DO866" s="55"/>
      <c r="DP866" s="55"/>
      <c r="DQ866" s="55"/>
      <c r="DR866" s="55"/>
      <c r="DS866" s="55"/>
      <c r="DT866" s="55"/>
      <c r="DU866" s="55"/>
      <c r="DV866" s="55"/>
    </row>
    <row r="867" spans="1:126" ht="12.75" x14ac:dyDescent="0.2">
      <c r="A867" s="54"/>
      <c r="B867" s="54"/>
      <c r="C867" s="54"/>
      <c r="D867" s="324" t="s">
        <v>714</v>
      </c>
      <c r="E867" s="333"/>
      <c r="F867" s="333"/>
      <c r="G867" s="333"/>
      <c r="H867" s="333"/>
      <c r="I867" s="333"/>
      <c r="J867" s="333"/>
      <c r="K867" s="333"/>
      <c r="L867" s="333"/>
      <c r="M867" s="333"/>
      <c r="N867" s="333"/>
      <c r="O867" s="333"/>
      <c r="P867" s="333"/>
      <c r="Q867" s="333"/>
      <c r="R867" s="333"/>
      <c r="S867" s="333"/>
      <c r="T867" s="333"/>
      <c r="U867" s="333"/>
      <c r="V867" s="333"/>
      <c r="W867" s="333"/>
      <c r="X867" s="333"/>
      <c r="Y867" s="333"/>
      <c r="Z867" s="333"/>
      <c r="AA867" s="333"/>
      <c r="AB867" s="333"/>
      <c r="AC867" s="333"/>
      <c r="AD867" s="333"/>
      <c r="AE867" s="333"/>
      <c r="AF867" s="333"/>
      <c r="AG867" s="333"/>
      <c r="AH867" s="333"/>
      <c r="AI867" s="333"/>
      <c r="AJ867" s="333"/>
      <c r="AK867" s="175"/>
      <c r="AY867" s="55"/>
      <c r="AZ867" s="55"/>
      <c r="BA867" s="55"/>
      <c r="BB867" s="55"/>
      <c r="BC867" s="55"/>
      <c r="BD867" s="55"/>
      <c r="BE867" s="55"/>
      <c r="BF867" s="55"/>
      <c r="BG867" s="55"/>
      <c r="BH867" s="55"/>
      <c r="BI867" s="55"/>
      <c r="BJ867" s="55"/>
      <c r="BK867" s="55"/>
      <c r="BL867" s="55"/>
      <c r="BM867" s="55"/>
      <c r="BN867" s="55"/>
      <c r="BO867" s="55"/>
      <c r="BP867" s="55"/>
      <c r="BQ867" s="55"/>
      <c r="BR867" s="55"/>
      <c r="BS867" s="55"/>
      <c r="BT867" s="55"/>
      <c r="BU867" s="55"/>
      <c r="BV867" s="55"/>
      <c r="BW867" s="55"/>
      <c r="BX867" s="55"/>
      <c r="BY867" s="55"/>
      <c r="BZ867" s="55"/>
      <c r="CI867" s="55"/>
      <c r="CJ867" s="55"/>
      <c r="CK867" s="55"/>
      <c r="CL867" s="55"/>
      <c r="CM867" s="55"/>
      <c r="CN867" s="55"/>
      <c r="CO867" s="55"/>
      <c r="CP867" s="55"/>
      <c r="CQ867" s="55"/>
      <c r="DJ867" s="55"/>
      <c r="DK867" s="55"/>
      <c r="DL867" s="55"/>
      <c r="DM867" s="55"/>
      <c r="DN867" s="55"/>
      <c r="DO867" s="55"/>
      <c r="DP867" s="55"/>
      <c r="DQ867" s="55"/>
      <c r="DR867" s="55"/>
      <c r="DS867" s="55"/>
      <c r="DT867" s="55"/>
      <c r="DU867" s="55"/>
      <c r="DV867" s="55"/>
    </row>
    <row r="868" spans="1:126" ht="12.75" x14ac:dyDescent="0.2">
      <c r="A868" s="54"/>
      <c r="B868" s="54"/>
      <c r="C868" s="54"/>
      <c r="D868" s="54"/>
      <c r="E868" s="54"/>
      <c r="F868" s="54"/>
      <c r="G868" s="54"/>
      <c r="H868" s="54"/>
      <c r="I868" s="54"/>
      <c r="J868" s="54"/>
      <c r="K868" s="54"/>
      <c r="L868" s="54"/>
      <c r="M868" s="54"/>
      <c r="N868" s="54"/>
      <c r="O868" s="54"/>
      <c r="P868" s="54"/>
      <c r="Q868" s="54"/>
      <c r="R868" s="54"/>
      <c r="S868" s="54"/>
      <c r="T868" s="54"/>
      <c r="U868" s="54"/>
      <c r="V868" s="54"/>
      <c r="W868" s="54"/>
      <c r="X868" s="54"/>
      <c r="Y868" s="54"/>
      <c r="Z868" s="54"/>
      <c r="AY868" s="55"/>
      <c r="AZ868" s="55"/>
      <c r="BA868" s="55"/>
      <c r="BB868" s="55"/>
      <c r="BC868" s="55"/>
      <c r="BD868" s="55"/>
      <c r="BE868" s="55"/>
      <c r="BF868" s="55"/>
      <c r="BG868" s="55"/>
      <c r="BH868" s="55"/>
      <c r="BI868" s="55"/>
      <c r="BJ868" s="55"/>
      <c r="BK868" s="55"/>
      <c r="BL868" s="55"/>
      <c r="BM868" s="55"/>
      <c r="BN868" s="55"/>
      <c r="BO868" s="55"/>
      <c r="BP868" s="55"/>
      <c r="BQ868" s="55"/>
      <c r="BR868" s="55"/>
      <c r="BS868" s="55"/>
      <c r="BT868" s="55"/>
      <c r="BU868" s="55"/>
      <c r="BV868" s="55"/>
      <c r="BW868" s="55"/>
      <c r="BX868" s="55"/>
      <c r="BY868" s="55"/>
      <c r="BZ868" s="55"/>
      <c r="CI868" s="55"/>
      <c r="CJ868" s="55"/>
      <c r="CK868" s="55"/>
      <c r="CL868" s="55"/>
      <c r="CM868" s="55"/>
      <c r="CN868" s="55"/>
      <c r="CO868" s="55"/>
      <c r="CP868" s="55"/>
      <c r="CQ868" s="55"/>
      <c r="DJ868" s="55"/>
      <c r="DK868" s="55"/>
      <c r="DL868" s="55"/>
      <c r="DM868" s="55"/>
      <c r="DN868" s="55"/>
      <c r="DO868" s="55"/>
      <c r="DP868" s="55"/>
      <c r="DQ868" s="55"/>
      <c r="DR868" s="55"/>
      <c r="DS868" s="55"/>
      <c r="DT868" s="55"/>
      <c r="DU868" s="55"/>
      <c r="DV868" s="55"/>
    </row>
    <row r="869" spans="1:126" ht="14.25" customHeight="1" x14ac:dyDescent="0.2">
      <c r="A869" s="54"/>
      <c r="B869" s="54"/>
      <c r="C869" s="324" t="s">
        <v>715</v>
      </c>
      <c r="D869" s="324"/>
      <c r="E869" s="324"/>
      <c r="F869" s="324"/>
      <c r="G869" s="324"/>
      <c r="H869" s="324"/>
      <c r="I869" s="324"/>
      <c r="J869" s="324"/>
      <c r="K869" s="324"/>
      <c r="L869" s="324"/>
      <c r="M869" s="324"/>
      <c r="N869" s="324"/>
      <c r="O869" s="324"/>
      <c r="P869" s="324"/>
      <c r="Q869" s="324"/>
      <c r="R869" s="324"/>
      <c r="S869" s="324"/>
      <c r="T869" s="324"/>
      <c r="U869" s="324"/>
      <c r="V869" s="324"/>
      <c r="W869" s="324"/>
      <c r="X869" s="324"/>
      <c r="Y869" s="324"/>
      <c r="Z869" s="324"/>
      <c r="AA869" s="324"/>
      <c r="AB869" s="324"/>
      <c r="AC869" s="324"/>
      <c r="AD869" s="324"/>
      <c r="AE869" s="324"/>
      <c r="AF869" s="324"/>
      <c r="AG869" s="324"/>
      <c r="AH869" s="324"/>
      <c r="AI869" s="324"/>
      <c r="AJ869" s="324"/>
      <c r="AK869" s="173"/>
      <c r="AY869" s="55"/>
      <c r="AZ869" s="55"/>
      <c r="BA869" s="55"/>
      <c r="BB869" s="55"/>
      <c r="BC869" s="55"/>
      <c r="BD869" s="55"/>
      <c r="BE869" s="55"/>
      <c r="BF869" s="55"/>
      <c r="BG869" s="55"/>
      <c r="BH869" s="55"/>
      <c r="BI869" s="55"/>
      <c r="BJ869" s="55"/>
      <c r="BK869" s="55"/>
      <c r="BL869" s="55"/>
      <c r="BM869" s="55"/>
      <c r="BN869" s="55"/>
      <c r="BO869" s="55"/>
      <c r="BP869" s="55"/>
      <c r="BQ869" s="55"/>
      <c r="BR869" s="55"/>
      <c r="BS869" s="55"/>
      <c r="BT869" s="55"/>
      <c r="BU869" s="55"/>
      <c r="BV869" s="55"/>
      <c r="BW869" s="55"/>
      <c r="BX869" s="55"/>
      <c r="BY869" s="55"/>
      <c r="BZ869" s="55"/>
      <c r="CI869" s="55"/>
      <c r="CJ869" s="55"/>
      <c r="CK869" s="55"/>
      <c r="CL869" s="55"/>
      <c r="CM869" s="55"/>
      <c r="CN869" s="55"/>
      <c r="CO869" s="55"/>
      <c r="CP869" s="55"/>
      <c r="CQ869" s="55"/>
      <c r="DJ869" s="55"/>
      <c r="DK869" s="55"/>
      <c r="DL869" s="55"/>
      <c r="DM869" s="55"/>
      <c r="DN869" s="55"/>
      <c r="DO869" s="55"/>
      <c r="DP869" s="55"/>
      <c r="DQ869" s="55"/>
      <c r="DR869" s="55"/>
      <c r="DS869" s="55"/>
      <c r="DT869" s="55"/>
      <c r="DU869" s="55"/>
      <c r="DV869" s="55"/>
    </row>
    <row r="870" spans="1:126" ht="12.75" x14ac:dyDescent="0.2">
      <c r="A870" s="54"/>
      <c r="B870" s="54"/>
      <c r="C870" s="324"/>
      <c r="D870" s="324"/>
      <c r="E870" s="324"/>
      <c r="F870" s="324"/>
      <c r="G870" s="324"/>
      <c r="H870" s="324"/>
      <c r="I870" s="324"/>
      <c r="J870" s="324"/>
      <c r="K870" s="324"/>
      <c r="L870" s="324"/>
      <c r="M870" s="324"/>
      <c r="N870" s="324"/>
      <c r="O870" s="324"/>
      <c r="P870" s="324"/>
      <c r="Q870" s="324"/>
      <c r="R870" s="324"/>
      <c r="S870" s="324"/>
      <c r="T870" s="324"/>
      <c r="U870" s="324"/>
      <c r="V870" s="324"/>
      <c r="W870" s="324"/>
      <c r="X870" s="324"/>
      <c r="Y870" s="324"/>
      <c r="Z870" s="324"/>
      <c r="AA870" s="324"/>
      <c r="AB870" s="324"/>
      <c r="AC870" s="324"/>
      <c r="AD870" s="324"/>
      <c r="AE870" s="324"/>
      <c r="AF870" s="324"/>
      <c r="AG870" s="324"/>
      <c r="AH870" s="324"/>
      <c r="AI870" s="324"/>
      <c r="AJ870" s="324"/>
      <c r="AK870" s="173"/>
      <c r="AY870" s="55"/>
      <c r="AZ870" s="55"/>
      <c r="BA870" s="55"/>
      <c r="BB870" s="55"/>
      <c r="BC870" s="55"/>
      <c r="BD870" s="55"/>
      <c r="BE870" s="55"/>
      <c r="BF870" s="55"/>
      <c r="BG870" s="55"/>
      <c r="BH870" s="55"/>
      <c r="BI870" s="55"/>
      <c r="BJ870" s="55"/>
      <c r="BK870" s="55"/>
      <c r="BL870" s="55"/>
      <c r="BM870" s="55"/>
      <c r="BN870" s="55"/>
      <c r="BO870" s="55"/>
      <c r="BP870" s="55"/>
      <c r="BQ870" s="55"/>
      <c r="BR870" s="55"/>
      <c r="BS870" s="55"/>
      <c r="BT870" s="55"/>
      <c r="BU870" s="55"/>
      <c r="BV870" s="55"/>
      <c r="BW870" s="55"/>
      <c r="BX870" s="55"/>
      <c r="BY870" s="55"/>
      <c r="BZ870" s="55"/>
      <c r="CI870" s="55"/>
      <c r="CJ870" s="55"/>
      <c r="CK870" s="55"/>
      <c r="CL870" s="55"/>
      <c r="CM870" s="55"/>
      <c r="CN870" s="55"/>
      <c r="CO870" s="55"/>
      <c r="CP870" s="55"/>
      <c r="CQ870" s="55"/>
      <c r="DJ870" s="55"/>
      <c r="DK870" s="55"/>
      <c r="DL870" s="55"/>
      <c r="DM870" s="55"/>
      <c r="DN870" s="55"/>
      <c r="DO870" s="55"/>
      <c r="DP870" s="55"/>
      <c r="DQ870" s="55"/>
      <c r="DR870" s="55"/>
      <c r="DS870" s="55"/>
      <c r="DT870" s="55"/>
      <c r="DU870" s="55"/>
      <c r="DV870" s="55"/>
    </row>
    <row r="871" spans="1:126" ht="12.75" x14ac:dyDescent="0.2">
      <c r="A871" s="54"/>
      <c r="B871" s="54"/>
      <c r="C871" s="54"/>
      <c r="D871" s="54"/>
      <c r="E871" s="54"/>
      <c r="F871" s="54"/>
      <c r="G871" s="54"/>
      <c r="H871" s="54"/>
      <c r="I871" s="54"/>
      <c r="J871" s="54"/>
      <c r="K871" s="54"/>
      <c r="L871" s="54"/>
      <c r="M871" s="54"/>
      <c r="N871" s="54"/>
      <c r="O871" s="54"/>
      <c r="P871" s="54"/>
      <c r="Q871" s="54"/>
      <c r="R871" s="54"/>
      <c r="S871" s="54"/>
      <c r="T871" s="54"/>
      <c r="U871" s="54"/>
      <c r="V871" s="54"/>
      <c r="W871" s="54"/>
      <c r="X871" s="54"/>
      <c r="Y871" s="54"/>
      <c r="Z871" s="54"/>
      <c r="AY871" s="55"/>
      <c r="AZ871" s="55"/>
      <c r="BA871" s="55"/>
      <c r="BB871" s="55"/>
      <c r="BC871" s="55"/>
      <c r="BD871" s="55"/>
      <c r="BE871" s="55"/>
      <c r="BF871" s="55"/>
      <c r="BG871" s="55"/>
      <c r="BH871" s="55"/>
      <c r="BI871" s="55"/>
      <c r="BJ871" s="55"/>
      <c r="BK871" s="55"/>
      <c r="BL871" s="55"/>
      <c r="BM871" s="55"/>
      <c r="BN871" s="55"/>
      <c r="BO871" s="55"/>
      <c r="BP871" s="55"/>
      <c r="BQ871" s="55"/>
      <c r="BR871" s="55"/>
      <c r="BS871" s="55"/>
      <c r="BT871" s="55"/>
      <c r="BU871" s="55"/>
      <c r="BV871" s="55"/>
      <c r="BW871" s="55"/>
      <c r="BX871" s="55"/>
      <c r="BY871" s="55"/>
      <c r="BZ871" s="55"/>
      <c r="CI871" s="55"/>
      <c r="CJ871" s="55"/>
      <c r="CK871" s="55"/>
      <c r="CL871" s="55"/>
      <c r="CM871" s="55"/>
      <c r="CN871" s="55"/>
      <c r="CO871" s="55"/>
      <c r="CP871" s="55"/>
      <c r="CQ871" s="55"/>
      <c r="DJ871" s="55"/>
      <c r="DK871" s="55"/>
      <c r="DL871" s="55"/>
      <c r="DM871" s="55"/>
      <c r="DN871" s="55"/>
      <c r="DO871" s="55"/>
      <c r="DP871" s="55"/>
      <c r="DQ871" s="55"/>
      <c r="DR871" s="55"/>
      <c r="DS871" s="55"/>
      <c r="DT871" s="55"/>
      <c r="DU871" s="55"/>
      <c r="DV871" s="55"/>
    </row>
    <row r="872" spans="1:126" ht="12.75" x14ac:dyDescent="0.2">
      <c r="A872" s="54"/>
      <c r="B872" s="54"/>
      <c r="D872" s="324" t="s">
        <v>716</v>
      </c>
      <c r="E872" s="333"/>
      <c r="F872" s="333"/>
      <c r="G872" s="333"/>
      <c r="H872" s="333"/>
      <c r="I872" s="333"/>
      <c r="J872" s="333"/>
      <c r="K872" s="333"/>
      <c r="L872" s="333"/>
      <c r="M872" s="333"/>
      <c r="N872" s="333"/>
      <c r="O872" s="333"/>
      <c r="P872" s="333"/>
      <c r="Q872" s="333"/>
      <c r="R872" s="333"/>
      <c r="S872" s="333"/>
      <c r="T872" s="333"/>
      <c r="U872" s="333"/>
      <c r="V872" s="333"/>
      <c r="W872" s="333"/>
      <c r="X872" s="333"/>
      <c r="Y872" s="333"/>
      <c r="Z872" s="333"/>
      <c r="AA872" s="333"/>
      <c r="AB872" s="333"/>
      <c r="AC872" s="333"/>
      <c r="AD872" s="333"/>
      <c r="AE872" s="333"/>
      <c r="AF872" s="333"/>
      <c r="AG872" s="333"/>
      <c r="AH872" s="333"/>
      <c r="AI872" s="333"/>
      <c r="AJ872" s="333"/>
      <c r="AK872" s="175"/>
      <c r="AY872" s="55"/>
      <c r="AZ872" s="55"/>
      <c r="BA872" s="55"/>
      <c r="BB872" s="55"/>
      <c r="BC872" s="55"/>
      <c r="BD872" s="55"/>
      <c r="BE872" s="55"/>
      <c r="BF872" s="55"/>
      <c r="BG872" s="55"/>
      <c r="BH872" s="55"/>
      <c r="BI872" s="55"/>
      <c r="BJ872" s="55"/>
      <c r="BK872" s="55"/>
      <c r="BL872" s="55"/>
      <c r="BM872" s="55"/>
      <c r="BN872" s="55"/>
      <c r="BO872" s="55"/>
      <c r="BP872" s="55"/>
      <c r="BQ872" s="55"/>
      <c r="BR872" s="55"/>
      <c r="BS872" s="55"/>
      <c r="BT872" s="55"/>
      <c r="BU872" s="55"/>
      <c r="BV872" s="55"/>
      <c r="BW872" s="55"/>
      <c r="BX872" s="55"/>
      <c r="BY872" s="55"/>
      <c r="BZ872" s="55"/>
      <c r="CI872" s="55"/>
      <c r="CJ872" s="55"/>
      <c r="CK872" s="55"/>
      <c r="CL872" s="55"/>
      <c r="CM872" s="55"/>
      <c r="CN872" s="55"/>
      <c r="CO872" s="55"/>
      <c r="CP872" s="55"/>
      <c r="CQ872" s="55"/>
      <c r="DJ872" s="55"/>
      <c r="DK872" s="55"/>
      <c r="DL872" s="55"/>
      <c r="DM872" s="55"/>
      <c r="DN872" s="55"/>
      <c r="DO872" s="55"/>
      <c r="DP872" s="55"/>
      <c r="DQ872" s="55"/>
      <c r="DR872" s="55"/>
      <c r="DS872" s="55"/>
      <c r="DT872" s="55"/>
      <c r="DU872" s="55"/>
      <c r="DV872" s="55"/>
    </row>
    <row r="873" spans="1:126" ht="12.75" x14ac:dyDescent="0.2">
      <c r="A873" s="54"/>
      <c r="B873" s="54"/>
      <c r="D873" s="324" t="s">
        <v>717</v>
      </c>
      <c r="E873" s="333"/>
      <c r="F873" s="333"/>
      <c r="G873" s="333"/>
      <c r="H873" s="333"/>
      <c r="I873" s="333"/>
      <c r="J873" s="333"/>
      <c r="K873" s="333"/>
      <c r="L873" s="333"/>
      <c r="M873" s="333"/>
      <c r="N873" s="333"/>
      <c r="O873" s="333"/>
      <c r="P873" s="333"/>
      <c r="Q873" s="333"/>
      <c r="R873" s="333"/>
      <c r="S873" s="333"/>
      <c r="T873" s="333"/>
      <c r="U873" s="333"/>
      <c r="V873" s="333"/>
      <c r="W873" s="333"/>
      <c r="X873" s="333"/>
      <c r="Y873" s="333"/>
      <c r="Z873" s="333"/>
      <c r="AA873" s="333"/>
      <c r="AB873" s="333"/>
      <c r="AC873" s="333"/>
      <c r="AD873" s="333"/>
      <c r="AE873" s="333"/>
      <c r="AF873" s="333"/>
      <c r="AG873" s="333"/>
      <c r="AH873" s="333"/>
      <c r="AI873" s="333"/>
      <c r="AJ873" s="333"/>
      <c r="AK873" s="175"/>
      <c r="AY873" s="55"/>
      <c r="AZ873" s="55"/>
      <c r="BA873" s="55"/>
      <c r="BB873" s="55"/>
      <c r="BC873" s="55"/>
      <c r="BD873" s="55"/>
      <c r="BE873" s="55"/>
      <c r="BF873" s="55"/>
      <c r="BG873" s="55"/>
      <c r="BH873" s="55"/>
      <c r="BI873" s="55"/>
      <c r="BJ873" s="55"/>
      <c r="BK873" s="55"/>
      <c r="BL873" s="55"/>
      <c r="BM873" s="55"/>
      <c r="BN873" s="55"/>
      <c r="BO873" s="55"/>
      <c r="BP873" s="55"/>
      <c r="BQ873" s="55"/>
      <c r="BR873" s="55"/>
      <c r="BS873" s="55"/>
      <c r="BT873" s="55"/>
      <c r="BU873" s="55"/>
      <c r="BV873" s="55"/>
      <c r="BW873" s="55"/>
      <c r="BX873" s="55"/>
      <c r="BY873" s="55"/>
      <c r="BZ873" s="55"/>
      <c r="CI873" s="55"/>
      <c r="CJ873" s="55"/>
      <c r="CK873" s="55"/>
      <c r="CL873" s="55"/>
      <c r="CM873" s="55"/>
      <c r="CN873" s="55"/>
      <c r="CO873" s="55"/>
      <c r="CP873" s="55"/>
      <c r="CQ873" s="55"/>
      <c r="DJ873" s="55"/>
      <c r="DK873" s="55"/>
      <c r="DL873" s="55"/>
      <c r="DM873" s="55"/>
      <c r="DN873" s="55"/>
      <c r="DO873" s="55"/>
      <c r="DP873" s="55"/>
      <c r="DQ873" s="55"/>
      <c r="DR873" s="55"/>
      <c r="DS873" s="55"/>
      <c r="DT873" s="55"/>
      <c r="DU873" s="55"/>
      <c r="DV873" s="55"/>
    </row>
    <row r="874" spans="1:126" ht="12.75" x14ac:dyDescent="0.2">
      <c r="A874" s="54"/>
      <c r="B874" s="54"/>
      <c r="D874" s="324" t="s">
        <v>718</v>
      </c>
      <c r="E874" s="333"/>
      <c r="F874" s="333"/>
      <c r="G874" s="333"/>
      <c r="H874" s="333"/>
      <c r="I874" s="333"/>
      <c r="J874" s="333"/>
      <c r="K874" s="333"/>
      <c r="L874" s="333"/>
      <c r="M874" s="333"/>
      <c r="N874" s="333"/>
      <c r="O874" s="333"/>
      <c r="P874" s="333"/>
      <c r="Q874" s="333"/>
      <c r="R874" s="333"/>
      <c r="S874" s="333"/>
      <c r="T874" s="333"/>
      <c r="U874" s="333"/>
      <c r="V874" s="333"/>
      <c r="W874" s="333"/>
      <c r="X874" s="333"/>
      <c r="Y874" s="333"/>
      <c r="Z874" s="333"/>
      <c r="AA874" s="333"/>
      <c r="AB874" s="333"/>
      <c r="AC874" s="333"/>
      <c r="AD874" s="333"/>
      <c r="AE874" s="333"/>
      <c r="AF874" s="333"/>
      <c r="AG874" s="333"/>
      <c r="AH874" s="333"/>
      <c r="AI874" s="333"/>
      <c r="AJ874" s="333"/>
      <c r="AK874" s="175"/>
      <c r="AY874" s="55"/>
      <c r="AZ874" s="55"/>
      <c r="BA874" s="55"/>
      <c r="BB874" s="55"/>
      <c r="BC874" s="55"/>
      <c r="BD874" s="55"/>
      <c r="BE874" s="55"/>
      <c r="BF874" s="55"/>
      <c r="BG874" s="55"/>
      <c r="BH874" s="55"/>
      <c r="BI874" s="55"/>
      <c r="BJ874" s="55"/>
      <c r="BK874" s="55"/>
      <c r="BL874" s="55"/>
      <c r="BM874" s="55"/>
      <c r="BN874" s="55"/>
      <c r="BO874" s="55"/>
      <c r="BP874" s="55"/>
      <c r="BQ874" s="55"/>
      <c r="BR874" s="55"/>
      <c r="BS874" s="55"/>
      <c r="BT874" s="55"/>
      <c r="BU874" s="55"/>
      <c r="BV874" s="55"/>
      <c r="BW874" s="55"/>
      <c r="BX874" s="55"/>
      <c r="BY874" s="55"/>
      <c r="BZ874" s="55"/>
      <c r="CI874" s="55"/>
      <c r="CJ874" s="55"/>
      <c r="CK874" s="55"/>
      <c r="CL874" s="55"/>
      <c r="CM874" s="55"/>
      <c r="CN874" s="55"/>
      <c r="CO874" s="55"/>
      <c r="CP874" s="55"/>
      <c r="CQ874" s="55"/>
      <c r="DJ874" s="55"/>
      <c r="DK874" s="55"/>
      <c r="DL874" s="55"/>
      <c r="DM874" s="55"/>
      <c r="DN874" s="55"/>
      <c r="DO874" s="55"/>
      <c r="DP874" s="55"/>
      <c r="DQ874" s="55"/>
      <c r="DR874" s="55"/>
      <c r="DS874" s="55"/>
      <c r="DT874" s="55"/>
      <c r="DU874" s="55"/>
      <c r="DV874" s="55"/>
    </row>
    <row r="875" spans="1:126" ht="12.75" x14ac:dyDescent="0.2">
      <c r="A875" s="54"/>
      <c r="B875" s="54"/>
      <c r="D875" s="324" t="s">
        <v>719</v>
      </c>
      <c r="E875" s="333"/>
      <c r="F875" s="333"/>
      <c r="G875" s="333"/>
      <c r="H875" s="333"/>
      <c r="I875" s="333"/>
      <c r="J875" s="333"/>
      <c r="K875" s="333"/>
      <c r="L875" s="333"/>
      <c r="M875" s="333"/>
      <c r="N875" s="333"/>
      <c r="O875" s="333"/>
      <c r="P875" s="333"/>
      <c r="Q875" s="333"/>
      <c r="R875" s="333"/>
      <c r="S875" s="333"/>
      <c r="T875" s="333"/>
      <c r="U875" s="333"/>
      <c r="V875" s="333"/>
      <c r="W875" s="333"/>
      <c r="X875" s="333"/>
      <c r="Y875" s="333"/>
      <c r="Z875" s="333"/>
      <c r="AA875" s="333"/>
      <c r="AB875" s="333"/>
      <c r="AC875" s="333"/>
      <c r="AD875" s="333"/>
      <c r="AE875" s="333"/>
      <c r="AF875" s="333"/>
      <c r="AG875" s="333"/>
      <c r="AH875" s="333"/>
      <c r="AI875" s="333"/>
      <c r="AJ875" s="333"/>
      <c r="AK875" s="175"/>
      <c r="AY875" s="55"/>
      <c r="AZ875" s="55"/>
      <c r="BA875" s="55"/>
      <c r="BB875" s="55"/>
      <c r="BC875" s="55"/>
      <c r="BD875" s="55"/>
      <c r="BE875" s="55"/>
      <c r="BF875" s="55"/>
      <c r="BG875" s="55"/>
      <c r="BH875" s="55"/>
      <c r="BI875" s="55"/>
      <c r="BJ875" s="55"/>
      <c r="BK875" s="55"/>
      <c r="BL875" s="55"/>
      <c r="BM875" s="55"/>
      <c r="BN875" s="55"/>
      <c r="BO875" s="55"/>
      <c r="BP875" s="55"/>
      <c r="BQ875" s="55"/>
      <c r="BR875" s="55"/>
      <c r="BS875" s="55"/>
      <c r="BT875" s="55"/>
      <c r="BU875" s="55"/>
      <c r="BV875" s="55"/>
      <c r="BW875" s="55"/>
      <c r="BX875" s="55"/>
      <c r="BY875" s="55"/>
      <c r="BZ875" s="55"/>
      <c r="CI875" s="55"/>
      <c r="CJ875" s="55"/>
      <c r="CK875" s="55"/>
      <c r="CL875" s="55"/>
      <c r="CM875" s="55"/>
      <c r="CN875" s="55"/>
      <c r="CO875" s="55"/>
      <c r="CP875" s="55"/>
      <c r="CQ875" s="55"/>
      <c r="DJ875" s="55"/>
      <c r="DK875" s="55"/>
      <c r="DL875" s="55"/>
      <c r="DM875" s="55"/>
      <c r="DN875" s="55"/>
      <c r="DO875" s="55"/>
      <c r="DP875" s="55"/>
      <c r="DQ875" s="55"/>
      <c r="DR875" s="55"/>
      <c r="DS875" s="55"/>
      <c r="DT875" s="55"/>
      <c r="DU875" s="55"/>
      <c r="DV875" s="55"/>
    </row>
    <row r="876" spans="1:126" ht="12.75" x14ac:dyDescent="0.2">
      <c r="A876" s="54"/>
      <c r="B876" s="54"/>
      <c r="D876" s="324" t="s">
        <v>720</v>
      </c>
      <c r="E876" s="333"/>
      <c r="F876" s="333"/>
      <c r="G876" s="333"/>
      <c r="H876" s="333"/>
      <c r="I876" s="333"/>
      <c r="J876" s="333"/>
      <c r="K876" s="333"/>
      <c r="L876" s="333"/>
      <c r="M876" s="333"/>
      <c r="N876" s="333"/>
      <c r="O876" s="333"/>
      <c r="P876" s="333"/>
      <c r="Q876" s="333"/>
      <c r="R876" s="333"/>
      <c r="S876" s="333"/>
      <c r="T876" s="333"/>
      <c r="U876" s="333"/>
      <c r="V876" s="333"/>
      <c r="W876" s="333"/>
      <c r="X876" s="333"/>
      <c r="Y876" s="333"/>
      <c r="Z876" s="333"/>
      <c r="AA876" s="333"/>
      <c r="AB876" s="333"/>
      <c r="AC876" s="333"/>
      <c r="AD876" s="333"/>
      <c r="AE876" s="333"/>
      <c r="AF876" s="333"/>
      <c r="AG876" s="333"/>
      <c r="AH876" s="333"/>
      <c r="AI876" s="333"/>
      <c r="AJ876" s="333"/>
      <c r="AK876" s="175"/>
      <c r="AY876" s="55"/>
      <c r="AZ876" s="55"/>
      <c r="BA876" s="55"/>
      <c r="BB876" s="55"/>
      <c r="BC876" s="55"/>
      <c r="BD876" s="55"/>
      <c r="BE876" s="55"/>
      <c r="BF876" s="55"/>
      <c r="BG876" s="55"/>
      <c r="BH876" s="55"/>
      <c r="BI876" s="55"/>
      <c r="BJ876" s="55"/>
      <c r="BK876" s="55"/>
      <c r="BL876" s="55"/>
      <c r="BM876" s="55"/>
      <c r="BN876" s="55"/>
      <c r="BO876" s="55"/>
      <c r="BP876" s="55"/>
      <c r="BQ876" s="55"/>
      <c r="BR876" s="55"/>
      <c r="BS876" s="55"/>
      <c r="BT876" s="55"/>
      <c r="BU876" s="55"/>
      <c r="BV876" s="55"/>
      <c r="BW876" s="55"/>
      <c r="BX876" s="55"/>
      <c r="BY876" s="55"/>
      <c r="BZ876" s="55"/>
      <c r="CI876" s="55"/>
      <c r="CJ876" s="55"/>
      <c r="CK876" s="55"/>
      <c r="CL876" s="55"/>
      <c r="CM876" s="55"/>
      <c r="CN876" s="55"/>
      <c r="CO876" s="55"/>
      <c r="CP876" s="55"/>
      <c r="CQ876" s="55"/>
      <c r="DJ876" s="55"/>
      <c r="DK876" s="55"/>
      <c r="DL876" s="55"/>
      <c r="DM876" s="55"/>
      <c r="DN876" s="55"/>
      <c r="DO876" s="55"/>
      <c r="DP876" s="55"/>
      <c r="DQ876" s="55"/>
      <c r="DR876" s="55"/>
      <c r="DS876" s="55"/>
      <c r="DT876" s="55"/>
      <c r="DU876" s="55"/>
      <c r="DV876" s="55"/>
    </row>
    <row r="877" spans="1:126" ht="12.75" x14ac:dyDescent="0.2">
      <c r="A877" s="54"/>
      <c r="B877" s="54"/>
      <c r="D877" s="324" t="s">
        <v>721</v>
      </c>
      <c r="E877" s="333"/>
      <c r="F877" s="333"/>
      <c r="G877" s="333"/>
      <c r="H877" s="333"/>
      <c r="I877" s="333"/>
      <c r="J877" s="333"/>
      <c r="K877" s="333"/>
      <c r="L877" s="333"/>
      <c r="M877" s="333"/>
      <c r="N877" s="333"/>
      <c r="O877" s="333"/>
      <c r="P877" s="333"/>
      <c r="Q877" s="333"/>
      <c r="R877" s="333"/>
      <c r="S877" s="333"/>
      <c r="T877" s="333"/>
      <c r="U877" s="333"/>
      <c r="V877" s="333"/>
      <c r="W877" s="333"/>
      <c r="X877" s="333"/>
      <c r="Y877" s="333"/>
      <c r="Z877" s="333"/>
      <c r="AA877" s="333"/>
      <c r="AB877" s="333"/>
      <c r="AC877" s="333"/>
      <c r="AD877" s="333"/>
      <c r="AE877" s="333"/>
      <c r="AF877" s="333"/>
      <c r="AG877" s="333"/>
      <c r="AH877" s="333"/>
      <c r="AI877" s="333"/>
      <c r="AJ877" s="333"/>
      <c r="AK877" s="175"/>
      <c r="AY877" s="55"/>
      <c r="AZ877" s="55"/>
      <c r="BA877" s="55"/>
      <c r="BB877" s="55"/>
      <c r="BC877" s="55"/>
      <c r="BD877" s="55"/>
      <c r="BE877" s="55"/>
      <c r="BF877" s="55"/>
      <c r="BG877" s="55"/>
      <c r="BH877" s="55"/>
      <c r="BI877" s="55"/>
      <c r="BJ877" s="55"/>
      <c r="BK877" s="55"/>
      <c r="BL877" s="55"/>
      <c r="BM877" s="55"/>
      <c r="BN877" s="55"/>
      <c r="BO877" s="55"/>
      <c r="BP877" s="55"/>
      <c r="BQ877" s="55"/>
      <c r="BR877" s="55"/>
      <c r="BS877" s="55"/>
      <c r="BT877" s="55"/>
      <c r="BU877" s="55"/>
      <c r="BV877" s="55"/>
      <c r="BW877" s="55"/>
      <c r="BX877" s="55"/>
      <c r="BY877" s="55"/>
      <c r="BZ877" s="55"/>
      <c r="CI877" s="55"/>
      <c r="CJ877" s="55"/>
      <c r="CK877" s="55"/>
      <c r="CL877" s="55"/>
      <c r="CM877" s="55"/>
      <c r="CN877" s="55"/>
      <c r="CO877" s="55"/>
      <c r="CP877" s="55"/>
      <c r="CQ877" s="55"/>
      <c r="DJ877" s="55"/>
      <c r="DK877" s="55"/>
      <c r="DL877" s="55"/>
      <c r="DM877" s="55"/>
      <c r="DN877" s="55"/>
      <c r="DO877" s="55"/>
      <c r="DP877" s="55"/>
      <c r="DQ877" s="55"/>
      <c r="DR877" s="55"/>
      <c r="DS877" s="55"/>
      <c r="DT877" s="55"/>
      <c r="DU877" s="55"/>
      <c r="DV877" s="55"/>
    </row>
    <row r="878" spans="1:126" ht="12.75" x14ac:dyDescent="0.2">
      <c r="A878" s="54"/>
      <c r="B878" s="54"/>
      <c r="D878" s="324" t="s">
        <v>722</v>
      </c>
      <c r="E878" s="333"/>
      <c r="F878" s="333"/>
      <c r="G878" s="333"/>
      <c r="H878" s="333"/>
      <c r="I878" s="333"/>
      <c r="J878" s="333"/>
      <c r="K878" s="333"/>
      <c r="L878" s="333"/>
      <c r="M878" s="333"/>
      <c r="N878" s="333"/>
      <c r="O878" s="333"/>
      <c r="P878" s="333"/>
      <c r="Q878" s="333"/>
      <c r="R878" s="333"/>
      <c r="S878" s="333"/>
      <c r="T878" s="333"/>
      <c r="U878" s="333"/>
      <c r="V878" s="333"/>
      <c r="W878" s="333"/>
      <c r="X878" s="333"/>
      <c r="Y878" s="333"/>
      <c r="Z878" s="333"/>
      <c r="AA878" s="333"/>
      <c r="AB878" s="333"/>
      <c r="AC878" s="333"/>
      <c r="AD878" s="333"/>
      <c r="AE878" s="333"/>
      <c r="AF878" s="333"/>
      <c r="AG878" s="333"/>
      <c r="AH878" s="333"/>
      <c r="AI878" s="333"/>
      <c r="AJ878" s="333"/>
      <c r="AK878" s="175"/>
      <c r="AY878" s="55"/>
      <c r="AZ878" s="55"/>
      <c r="BA878" s="55"/>
      <c r="BB878" s="55"/>
      <c r="BC878" s="55"/>
      <c r="BD878" s="55"/>
      <c r="BE878" s="55"/>
      <c r="BF878" s="55"/>
      <c r="BG878" s="55"/>
      <c r="BH878" s="55"/>
      <c r="BI878" s="55"/>
      <c r="BJ878" s="55"/>
      <c r="BK878" s="55"/>
      <c r="BL878" s="55"/>
      <c r="BM878" s="55"/>
      <c r="BN878" s="55"/>
      <c r="BO878" s="55"/>
      <c r="BP878" s="55"/>
      <c r="BQ878" s="55"/>
      <c r="BR878" s="55"/>
      <c r="BS878" s="55"/>
      <c r="BT878" s="55"/>
      <c r="BU878" s="55"/>
      <c r="BV878" s="55"/>
      <c r="BW878" s="55"/>
      <c r="BX878" s="55"/>
      <c r="BY878" s="55"/>
      <c r="BZ878" s="55"/>
      <c r="CI878" s="55"/>
      <c r="CJ878" s="55"/>
      <c r="CK878" s="55"/>
      <c r="CL878" s="55"/>
      <c r="CM878" s="55"/>
      <c r="CN878" s="55"/>
      <c r="CO878" s="55"/>
      <c r="CP878" s="55"/>
      <c r="CQ878" s="55"/>
      <c r="DJ878" s="55"/>
      <c r="DK878" s="55"/>
      <c r="DL878" s="55"/>
      <c r="DM878" s="55"/>
      <c r="DN878" s="55"/>
      <c r="DO878" s="55"/>
      <c r="DP878" s="55"/>
      <c r="DQ878" s="55"/>
      <c r="DR878" s="55"/>
      <c r="DS878" s="55"/>
      <c r="DT878" s="55"/>
      <c r="DU878" s="55"/>
      <c r="DV878" s="55"/>
    </row>
    <row r="879" spans="1:126" ht="12.75" x14ac:dyDescent="0.2">
      <c r="A879" s="54"/>
      <c r="B879" s="54"/>
      <c r="D879" s="324" t="s">
        <v>723</v>
      </c>
      <c r="E879" s="333"/>
      <c r="F879" s="333"/>
      <c r="G879" s="333"/>
      <c r="H879" s="333"/>
      <c r="I879" s="333"/>
      <c r="J879" s="333"/>
      <c r="K879" s="333"/>
      <c r="L879" s="333"/>
      <c r="M879" s="333"/>
      <c r="N879" s="333"/>
      <c r="O879" s="333"/>
      <c r="P879" s="333"/>
      <c r="Q879" s="333"/>
      <c r="R879" s="333"/>
      <c r="S879" s="333"/>
      <c r="T879" s="333"/>
      <c r="U879" s="333"/>
      <c r="V879" s="333"/>
      <c r="W879" s="333"/>
      <c r="X879" s="333"/>
      <c r="Y879" s="333"/>
      <c r="Z879" s="333"/>
      <c r="AA879" s="333"/>
      <c r="AB879" s="333"/>
      <c r="AC879" s="333"/>
      <c r="AD879" s="333"/>
      <c r="AE879" s="333"/>
      <c r="AF879" s="333"/>
      <c r="AG879" s="333"/>
      <c r="AH879" s="333"/>
      <c r="AI879" s="333"/>
      <c r="AJ879" s="333"/>
      <c r="AK879" s="175"/>
      <c r="AY879" s="55"/>
      <c r="AZ879" s="55"/>
      <c r="BA879" s="55"/>
      <c r="BB879" s="55"/>
      <c r="BC879" s="55"/>
      <c r="BD879" s="55"/>
      <c r="BE879" s="55"/>
      <c r="BF879" s="55"/>
      <c r="BG879" s="55"/>
      <c r="BH879" s="55"/>
      <c r="BI879" s="55"/>
      <c r="BJ879" s="55"/>
      <c r="BK879" s="55"/>
      <c r="BL879" s="55"/>
      <c r="BM879" s="55"/>
      <c r="BN879" s="55"/>
      <c r="BO879" s="55"/>
      <c r="BP879" s="55"/>
      <c r="BQ879" s="55"/>
      <c r="BR879" s="55"/>
      <c r="BS879" s="55"/>
      <c r="BT879" s="55"/>
      <c r="BU879" s="55"/>
      <c r="BV879" s="55"/>
      <c r="BW879" s="55"/>
      <c r="BX879" s="55"/>
      <c r="BY879" s="55"/>
      <c r="BZ879" s="55"/>
      <c r="CI879" s="55"/>
      <c r="CJ879" s="55"/>
      <c r="CK879" s="55"/>
      <c r="CL879" s="55"/>
      <c r="CM879" s="55"/>
      <c r="CN879" s="55"/>
      <c r="CO879" s="55"/>
      <c r="CP879" s="55"/>
      <c r="CQ879" s="55"/>
      <c r="DJ879" s="55"/>
      <c r="DK879" s="55"/>
      <c r="DL879" s="55"/>
      <c r="DM879" s="55"/>
      <c r="DN879" s="55"/>
      <c r="DO879" s="55"/>
      <c r="DP879" s="55"/>
      <c r="DQ879" s="55"/>
      <c r="DR879" s="55"/>
      <c r="DS879" s="55"/>
      <c r="DT879" s="55"/>
      <c r="DU879" s="55"/>
      <c r="DV879" s="55"/>
    </row>
    <row r="880" spans="1:126" ht="12.75" x14ac:dyDescent="0.2">
      <c r="A880" s="54"/>
      <c r="B880" s="54"/>
      <c r="D880" s="324" t="s">
        <v>724</v>
      </c>
      <c r="E880" s="333"/>
      <c r="F880" s="333"/>
      <c r="G880" s="333"/>
      <c r="H880" s="333"/>
      <c r="I880" s="333"/>
      <c r="J880" s="333"/>
      <c r="K880" s="333"/>
      <c r="L880" s="333"/>
      <c r="M880" s="333"/>
      <c r="N880" s="333"/>
      <c r="O880" s="333"/>
      <c r="P880" s="333"/>
      <c r="Q880" s="333"/>
      <c r="R880" s="333"/>
      <c r="S880" s="333"/>
      <c r="T880" s="333"/>
      <c r="U880" s="333"/>
      <c r="V880" s="333"/>
      <c r="W880" s="333"/>
      <c r="X880" s="333"/>
      <c r="Y880" s="333"/>
      <c r="Z880" s="333"/>
      <c r="AA880" s="333"/>
      <c r="AB880" s="333"/>
      <c r="AC880" s="333"/>
      <c r="AD880" s="333"/>
      <c r="AE880" s="333"/>
      <c r="AF880" s="333"/>
      <c r="AG880" s="333"/>
      <c r="AH880" s="333"/>
      <c r="AI880" s="333"/>
      <c r="AJ880" s="333"/>
      <c r="AK880" s="175"/>
      <c r="AY880" s="55"/>
      <c r="AZ880" s="55"/>
      <c r="BA880" s="55"/>
      <c r="BB880" s="55"/>
      <c r="BC880" s="55"/>
      <c r="BD880" s="55"/>
      <c r="BE880" s="55"/>
      <c r="BF880" s="55"/>
      <c r="BG880" s="55"/>
      <c r="BH880" s="55"/>
      <c r="BI880" s="55"/>
      <c r="BJ880" s="55"/>
      <c r="BK880" s="55"/>
      <c r="BL880" s="55"/>
      <c r="BM880" s="55"/>
      <c r="BN880" s="55"/>
      <c r="BO880" s="55"/>
      <c r="BP880" s="55"/>
      <c r="BQ880" s="55"/>
      <c r="BR880" s="55"/>
      <c r="BS880" s="55"/>
      <c r="BT880" s="55"/>
      <c r="BU880" s="55"/>
      <c r="BV880" s="55"/>
      <c r="BW880" s="55"/>
      <c r="BX880" s="55"/>
      <c r="BY880" s="55"/>
      <c r="BZ880" s="55"/>
      <c r="CI880" s="55"/>
      <c r="CJ880" s="55"/>
      <c r="CK880" s="55"/>
      <c r="CL880" s="55"/>
      <c r="CM880" s="55"/>
      <c r="CN880" s="55"/>
      <c r="CO880" s="55"/>
      <c r="CP880" s="55"/>
      <c r="CQ880" s="55"/>
      <c r="DJ880" s="55"/>
      <c r="DK880" s="55"/>
      <c r="DL880" s="55"/>
      <c r="DM880" s="55"/>
      <c r="DN880" s="55"/>
      <c r="DO880" s="55"/>
      <c r="DP880" s="55"/>
      <c r="DQ880" s="55"/>
      <c r="DR880" s="55"/>
      <c r="DS880" s="55"/>
      <c r="DT880" s="55"/>
      <c r="DU880" s="55"/>
      <c r="DV880" s="55"/>
    </row>
    <row r="881" spans="1:126" ht="12.75" customHeight="1" x14ac:dyDescent="0.2">
      <c r="A881" s="54"/>
      <c r="B881" s="54"/>
      <c r="C881" s="54"/>
      <c r="D881" s="333"/>
      <c r="E881" s="333"/>
      <c r="F881" s="333"/>
      <c r="G881" s="333"/>
      <c r="H881" s="333"/>
      <c r="I881" s="333"/>
      <c r="J881" s="333"/>
      <c r="K881" s="333"/>
      <c r="L881" s="333"/>
      <c r="M881" s="333"/>
      <c r="N881" s="333"/>
      <c r="O881" s="333"/>
      <c r="P881" s="333"/>
      <c r="Q881" s="333"/>
      <c r="R881" s="333"/>
      <c r="S881" s="333"/>
      <c r="T881" s="333"/>
      <c r="U881" s="333"/>
      <c r="V881" s="333"/>
      <c r="W881" s="333"/>
      <c r="X881" s="333"/>
      <c r="Y881" s="333"/>
      <c r="Z881" s="333"/>
      <c r="AA881" s="333"/>
      <c r="AB881" s="333"/>
      <c r="AC881" s="333"/>
      <c r="AD881" s="333"/>
      <c r="AE881" s="333"/>
      <c r="AF881" s="333"/>
      <c r="AG881" s="333"/>
      <c r="AH881" s="333"/>
      <c r="AI881" s="333"/>
      <c r="AJ881" s="333"/>
      <c r="AK881" s="175"/>
      <c r="AY881" s="55"/>
      <c r="AZ881" s="55"/>
      <c r="BA881" s="55"/>
      <c r="BB881" s="55"/>
      <c r="BC881" s="55"/>
      <c r="BD881" s="55"/>
      <c r="BE881" s="55"/>
      <c r="BF881" s="55"/>
      <c r="BG881" s="55"/>
      <c r="BH881" s="55"/>
      <c r="BI881" s="55"/>
      <c r="BJ881" s="55"/>
      <c r="BK881" s="55"/>
      <c r="BL881" s="55"/>
      <c r="BM881" s="55"/>
      <c r="BN881" s="55"/>
      <c r="BO881" s="55"/>
      <c r="BP881" s="55"/>
      <c r="BQ881" s="55"/>
      <c r="BR881" s="55"/>
      <c r="BS881" s="55"/>
      <c r="BT881" s="55"/>
      <c r="BU881" s="55"/>
      <c r="BV881" s="55"/>
      <c r="BW881" s="55"/>
      <c r="BX881" s="55"/>
      <c r="BY881" s="55"/>
      <c r="BZ881" s="55"/>
      <c r="CI881" s="55"/>
      <c r="CJ881" s="55"/>
      <c r="CK881" s="55"/>
      <c r="CL881" s="55"/>
      <c r="CM881" s="55"/>
      <c r="CN881" s="55"/>
      <c r="CO881" s="55"/>
      <c r="CP881" s="55"/>
      <c r="CQ881" s="55"/>
      <c r="DJ881" s="55"/>
      <c r="DK881" s="55"/>
      <c r="DL881" s="55"/>
      <c r="DM881" s="55"/>
      <c r="DN881" s="55"/>
      <c r="DO881" s="55"/>
      <c r="DP881" s="55"/>
      <c r="DQ881" s="55"/>
      <c r="DR881" s="55"/>
      <c r="DS881" s="55"/>
      <c r="DT881" s="55"/>
      <c r="DU881" s="55"/>
      <c r="DV881" s="55"/>
    </row>
    <row r="882" spans="1:126" ht="12.75" x14ac:dyDescent="0.2">
      <c r="A882" s="54"/>
      <c r="B882" s="54"/>
      <c r="C882" s="54"/>
      <c r="D882" s="54"/>
      <c r="E882" s="54"/>
      <c r="F882" s="54"/>
      <c r="G882" s="54"/>
      <c r="H882" s="54"/>
      <c r="I882" s="54"/>
      <c r="J882" s="54"/>
      <c r="K882" s="54"/>
      <c r="L882" s="54"/>
      <c r="M882" s="54"/>
      <c r="N882" s="54"/>
      <c r="O882" s="54"/>
      <c r="P882" s="54"/>
      <c r="Q882" s="54"/>
      <c r="R882" s="54"/>
      <c r="S882" s="54"/>
      <c r="T882" s="54"/>
      <c r="U882" s="54"/>
      <c r="V882" s="54"/>
      <c r="W882" s="54"/>
      <c r="X882" s="54"/>
      <c r="Y882" s="54"/>
      <c r="Z882" s="54"/>
      <c r="AY882" s="55"/>
      <c r="AZ882" s="55"/>
      <c r="BA882" s="55"/>
      <c r="BB882" s="55"/>
      <c r="BC882" s="55"/>
      <c r="BD882" s="55"/>
      <c r="BE882" s="55"/>
      <c r="BF882" s="55"/>
      <c r="BG882" s="55"/>
      <c r="BH882" s="55"/>
      <c r="BI882" s="55"/>
      <c r="BJ882" s="55"/>
      <c r="BK882" s="55"/>
      <c r="BL882" s="55"/>
      <c r="BM882" s="55"/>
      <c r="BN882" s="55"/>
      <c r="BO882" s="55"/>
      <c r="BP882" s="55"/>
      <c r="BQ882" s="55"/>
      <c r="BR882" s="55"/>
      <c r="BS882" s="55"/>
      <c r="BT882" s="55"/>
      <c r="BU882" s="55"/>
      <c r="BV882" s="55"/>
      <c r="BW882" s="55"/>
      <c r="BX882" s="55"/>
      <c r="BY882" s="55"/>
      <c r="BZ882" s="55"/>
      <c r="CI882" s="55"/>
      <c r="CJ882" s="55"/>
      <c r="CK882" s="55"/>
      <c r="CL882" s="55"/>
      <c r="CM882" s="55"/>
      <c r="CN882" s="55"/>
      <c r="CO882" s="55"/>
      <c r="CP882" s="55"/>
      <c r="CQ882" s="55"/>
      <c r="DJ882" s="55"/>
      <c r="DK882" s="55"/>
      <c r="DL882" s="55"/>
      <c r="DM882" s="55"/>
      <c r="DN882" s="55"/>
      <c r="DO882" s="55"/>
      <c r="DP882" s="55"/>
      <c r="DQ882" s="55"/>
      <c r="DR882" s="55"/>
      <c r="DS882" s="55"/>
      <c r="DT882" s="55"/>
      <c r="DU882" s="55"/>
      <c r="DV882" s="55"/>
    </row>
    <row r="883" spans="1:126" ht="12.75" x14ac:dyDescent="0.2">
      <c r="A883" s="54"/>
      <c r="B883" s="54"/>
      <c r="C883" s="54"/>
      <c r="D883" s="54"/>
      <c r="E883" s="54"/>
      <c r="F883" s="54"/>
      <c r="G883" s="54"/>
      <c r="H883" s="54"/>
      <c r="I883" s="54"/>
      <c r="J883" s="54"/>
      <c r="K883" s="54"/>
      <c r="L883" s="54"/>
      <c r="M883" s="54"/>
      <c r="N883" s="54"/>
      <c r="O883" s="54"/>
      <c r="P883" s="54"/>
      <c r="Q883" s="54"/>
      <c r="R883" s="54"/>
      <c r="S883" s="54"/>
      <c r="T883" s="54"/>
      <c r="U883" s="54"/>
      <c r="V883" s="54"/>
      <c r="W883" s="54"/>
      <c r="X883" s="54"/>
      <c r="Y883" s="54"/>
      <c r="Z883" s="54"/>
      <c r="AY883" s="55"/>
      <c r="AZ883" s="55"/>
      <c r="BA883" s="55"/>
      <c r="BB883" s="55"/>
      <c r="BC883" s="55"/>
      <c r="BD883" s="55"/>
      <c r="BE883" s="55"/>
      <c r="BF883" s="55"/>
      <c r="BG883" s="55"/>
      <c r="BH883" s="55"/>
      <c r="BI883" s="55"/>
      <c r="BJ883" s="55"/>
      <c r="BK883" s="55"/>
      <c r="BL883" s="55"/>
      <c r="BM883" s="55"/>
      <c r="BN883" s="55"/>
      <c r="BO883" s="55"/>
      <c r="BP883" s="55"/>
      <c r="BQ883" s="55"/>
      <c r="BR883" s="55"/>
      <c r="BS883" s="55"/>
      <c r="BT883" s="55"/>
      <c r="BU883" s="55"/>
      <c r="BV883" s="55"/>
      <c r="BW883" s="55"/>
      <c r="BX883" s="55"/>
      <c r="BY883" s="55"/>
      <c r="BZ883" s="55"/>
      <c r="CI883" s="55"/>
      <c r="CJ883" s="55"/>
      <c r="CK883" s="55"/>
      <c r="CL883" s="55"/>
      <c r="CM883" s="55"/>
      <c r="CN883" s="55"/>
      <c r="CO883" s="55"/>
      <c r="CP883" s="55"/>
      <c r="CQ883" s="55"/>
      <c r="DJ883" s="55"/>
      <c r="DK883" s="55"/>
      <c r="DL883" s="55"/>
      <c r="DM883" s="55"/>
      <c r="DN883" s="55"/>
      <c r="DO883" s="55"/>
      <c r="DP883" s="55"/>
      <c r="DQ883" s="55"/>
      <c r="DR883" s="55"/>
      <c r="DS883" s="55"/>
      <c r="DT883" s="55"/>
      <c r="DU883" s="55"/>
      <c r="DV883" s="55"/>
    </row>
    <row r="884" spans="1:126" ht="15" x14ac:dyDescent="0.2">
      <c r="A884" s="54"/>
      <c r="B884" s="248" t="s">
        <v>339</v>
      </c>
      <c r="C884" s="248"/>
      <c r="D884" s="248"/>
      <c r="E884" s="248"/>
      <c r="F884" s="248"/>
      <c r="G884" s="248"/>
      <c r="H884" s="248"/>
      <c r="I884" s="248"/>
      <c r="J884" s="248"/>
      <c r="K884" s="248"/>
      <c r="L884" s="248"/>
      <c r="M884" s="248"/>
      <c r="N884" s="248"/>
      <c r="O884" s="248"/>
      <c r="P884" s="248"/>
      <c r="Q884" s="248"/>
      <c r="R884" s="248"/>
      <c r="S884" s="248"/>
      <c r="T884" s="248"/>
      <c r="U884" s="248"/>
      <c r="V884" s="248"/>
      <c r="W884" s="248"/>
      <c r="X884" s="248"/>
      <c r="Y884" s="248"/>
      <c r="Z884" s="248"/>
      <c r="AA884" s="248"/>
      <c r="AB884" s="248"/>
      <c r="AC884" s="248"/>
      <c r="AD884" s="248"/>
      <c r="AE884" s="248"/>
      <c r="AF884" s="248"/>
      <c r="AG884" s="248"/>
      <c r="AH884" s="248"/>
      <c r="AI884" s="248"/>
      <c r="AJ884" s="248"/>
      <c r="AK884" s="176"/>
      <c r="AY884" s="55"/>
      <c r="AZ884" s="55"/>
      <c r="BA884" s="55"/>
      <c r="BB884" s="55"/>
      <c r="BC884" s="55"/>
      <c r="BD884" s="55"/>
      <c r="BE884" s="55"/>
      <c r="BF884" s="55"/>
      <c r="BG884" s="55"/>
      <c r="BH884" s="55"/>
      <c r="BI884" s="55"/>
      <c r="BJ884" s="55"/>
      <c r="BK884" s="55"/>
      <c r="BL884" s="55"/>
      <c r="BM884" s="55"/>
      <c r="BN884" s="55"/>
      <c r="BO884" s="55"/>
      <c r="BP884" s="55"/>
      <c r="BQ884" s="55"/>
      <c r="BR884" s="55"/>
      <c r="BS884" s="55"/>
      <c r="BT884" s="55"/>
      <c r="BU884" s="55"/>
      <c r="BV884" s="55"/>
      <c r="BW884" s="55"/>
      <c r="BX884" s="55"/>
      <c r="BY884" s="55"/>
      <c r="BZ884" s="55"/>
      <c r="CI884" s="55"/>
      <c r="CJ884" s="55"/>
      <c r="CK884" s="55"/>
      <c r="CL884" s="55"/>
      <c r="CM884" s="55"/>
      <c r="CN884" s="55"/>
      <c r="CO884" s="55"/>
      <c r="CP884" s="55"/>
      <c r="CQ884" s="55"/>
      <c r="DJ884" s="55"/>
      <c r="DK884" s="55"/>
      <c r="DL884" s="55"/>
      <c r="DM884" s="55"/>
      <c r="DN884" s="55"/>
      <c r="DO884" s="55"/>
      <c r="DP884" s="55"/>
      <c r="DQ884" s="55"/>
      <c r="DR884" s="55"/>
      <c r="DS884" s="55"/>
      <c r="DT884" s="55"/>
      <c r="DU884" s="55"/>
      <c r="DV884" s="55"/>
    </row>
    <row r="885" spans="1:126" ht="12.75" x14ac:dyDescent="0.2">
      <c r="A885" s="54"/>
      <c r="B885" s="54"/>
      <c r="C885" s="54"/>
      <c r="E885" s="54"/>
      <c r="F885" s="54"/>
      <c r="G885" s="54"/>
      <c r="H885" s="54"/>
      <c r="I885" s="54"/>
      <c r="J885" s="54"/>
      <c r="K885" s="54"/>
      <c r="L885" s="54"/>
      <c r="M885" s="54"/>
      <c r="N885" s="54"/>
      <c r="O885" s="54"/>
      <c r="P885" s="54"/>
      <c r="Q885" s="54"/>
      <c r="R885" s="54"/>
      <c r="S885" s="54"/>
      <c r="T885" s="54"/>
      <c r="U885" s="54"/>
      <c r="V885" s="54"/>
      <c r="W885" s="54"/>
      <c r="X885" s="54"/>
      <c r="Y885" s="54"/>
      <c r="Z885" s="54"/>
      <c r="AY885" s="55"/>
      <c r="AZ885" s="55"/>
      <c r="BA885" s="55"/>
      <c r="BB885" s="55"/>
      <c r="BC885" s="55"/>
      <c r="BD885" s="55"/>
      <c r="BE885" s="55"/>
      <c r="BF885" s="55"/>
      <c r="BG885" s="55"/>
      <c r="BH885" s="55"/>
      <c r="BI885" s="55"/>
      <c r="BJ885" s="55"/>
      <c r="BK885" s="55"/>
      <c r="BL885" s="55"/>
      <c r="BM885" s="55"/>
      <c r="BN885" s="55"/>
      <c r="BO885" s="55"/>
      <c r="BP885" s="55"/>
      <c r="BQ885" s="55"/>
      <c r="BR885" s="55"/>
      <c r="BS885" s="55"/>
      <c r="BT885" s="55"/>
      <c r="BU885" s="55"/>
      <c r="BV885" s="55"/>
      <c r="BW885" s="55"/>
      <c r="BX885" s="55"/>
      <c r="BY885" s="55"/>
      <c r="BZ885" s="55"/>
      <c r="CI885" s="55"/>
      <c r="CJ885" s="55"/>
      <c r="CK885" s="55"/>
      <c r="CL885" s="55"/>
      <c r="CM885" s="55"/>
      <c r="CN885" s="55"/>
      <c r="CO885" s="55"/>
      <c r="CP885" s="55"/>
      <c r="CQ885" s="55"/>
      <c r="DJ885" s="55"/>
      <c r="DK885" s="55"/>
      <c r="DL885" s="55"/>
      <c r="DM885" s="55"/>
      <c r="DN885" s="55"/>
      <c r="DO885" s="55"/>
      <c r="DP885" s="55"/>
      <c r="DQ885" s="55"/>
      <c r="DR885" s="55"/>
      <c r="DS885" s="55"/>
      <c r="DT885" s="55"/>
      <c r="DU885" s="55"/>
      <c r="DV885" s="55"/>
    </row>
    <row r="886" spans="1:126" ht="14.25" customHeight="1" x14ac:dyDescent="0.2">
      <c r="A886" s="54"/>
      <c r="B886" s="54"/>
      <c r="C886" s="324" t="s">
        <v>650</v>
      </c>
      <c r="D886" s="324"/>
      <c r="E886" s="324"/>
      <c r="F886" s="324"/>
      <c r="G886" s="324"/>
      <c r="H886" s="324"/>
      <c r="I886" s="324"/>
      <c r="J886" s="324"/>
      <c r="K886" s="324"/>
      <c r="L886" s="324"/>
      <c r="M886" s="324"/>
      <c r="N886" s="324"/>
      <c r="O886" s="324"/>
      <c r="P886" s="324"/>
      <c r="Q886" s="324"/>
      <c r="R886" s="324"/>
      <c r="S886" s="324"/>
      <c r="T886" s="324"/>
      <c r="U886" s="324"/>
      <c r="V886" s="324"/>
      <c r="W886" s="324"/>
      <c r="X886" s="324"/>
      <c r="Y886" s="324"/>
      <c r="Z886" s="324"/>
      <c r="AA886" s="324"/>
      <c r="AB886" s="324"/>
      <c r="AC886" s="324"/>
      <c r="AD886" s="324"/>
      <c r="AE886" s="324"/>
      <c r="AF886" s="324"/>
      <c r="AG886" s="324"/>
      <c r="AH886" s="324"/>
      <c r="AI886" s="324"/>
      <c r="AJ886" s="324"/>
      <c r="AK886" s="173"/>
      <c r="AY886" s="55"/>
      <c r="AZ886" s="55"/>
      <c r="BA886" s="55"/>
      <c r="BB886" s="55"/>
      <c r="BC886" s="55"/>
      <c r="BD886" s="55"/>
      <c r="BE886" s="55"/>
      <c r="BF886" s="55"/>
      <c r="BG886" s="55"/>
      <c r="BH886" s="55"/>
      <c r="BI886" s="55"/>
      <c r="BJ886" s="55"/>
      <c r="BK886" s="55"/>
      <c r="BL886" s="55"/>
      <c r="BM886" s="55"/>
      <c r="BN886" s="55"/>
      <c r="BO886" s="55"/>
      <c r="BP886" s="55"/>
      <c r="BQ886" s="55"/>
      <c r="BR886" s="55"/>
      <c r="BS886" s="55"/>
      <c r="BT886" s="55"/>
      <c r="BU886" s="55"/>
      <c r="BV886" s="55"/>
      <c r="BW886" s="55"/>
      <c r="BX886" s="55"/>
      <c r="BY886" s="55"/>
      <c r="BZ886" s="55"/>
      <c r="CI886" s="55"/>
      <c r="CJ886" s="55"/>
      <c r="CK886" s="55"/>
      <c r="CL886" s="55"/>
      <c r="CM886" s="55"/>
      <c r="CN886" s="55"/>
      <c r="CO886" s="55"/>
      <c r="CP886" s="55"/>
      <c r="CQ886" s="55"/>
      <c r="DJ886" s="55"/>
      <c r="DK886" s="55"/>
      <c r="DL886" s="55"/>
      <c r="DM886" s="55"/>
      <c r="DN886" s="55"/>
      <c r="DO886" s="55"/>
      <c r="DP886" s="55"/>
      <c r="DQ886" s="55"/>
      <c r="DR886" s="55"/>
      <c r="DS886" s="55"/>
      <c r="DT886" s="55"/>
      <c r="DU886" s="55"/>
      <c r="DV886" s="55"/>
    </row>
    <row r="887" spans="1:126" ht="12.75" x14ac:dyDescent="0.2">
      <c r="A887" s="54"/>
      <c r="B887" s="54"/>
      <c r="C887" s="324"/>
      <c r="D887" s="324"/>
      <c r="E887" s="324"/>
      <c r="F887" s="324"/>
      <c r="G887" s="324"/>
      <c r="H887" s="324"/>
      <c r="I887" s="324"/>
      <c r="J887" s="324"/>
      <c r="K887" s="324"/>
      <c r="L887" s="324"/>
      <c r="M887" s="324"/>
      <c r="N887" s="324"/>
      <c r="O887" s="324"/>
      <c r="P887" s="324"/>
      <c r="Q887" s="324"/>
      <c r="R887" s="324"/>
      <c r="S887" s="324"/>
      <c r="T887" s="324"/>
      <c r="U887" s="324"/>
      <c r="V887" s="324"/>
      <c r="W887" s="324"/>
      <c r="X887" s="324"/>
      <c r="Y887" s="324"/>
      <c r="Z887" s="324"/>
      <c r="AA887" s="324"/>
      <c r="AB887" s="324"/>
      <c r="AC887" s="324"/>
      <c r="AD887" s="324"/>
      <c r="AE887" s="324"/>
      <c r="AF887" s="324"/>
      <c r="AG887" s="324"/>
      <c r="AH887" s="324"/>
      <c r="AI887" s="324"/>
      <c r="AJ887" s="324"/>
      <c r="AK887" s="173"/>
      <c r="AY887" s="55"/>
      <c r="AZ887" s="55"/>
      <c r="BA887" s="55"/>
      <c r="BB887" s="55"/>
      <c r="BC887" s="55"/>
      <c r="BD887" s="55"/>
      <c r="BE887" s="55"/>
      <c r="BF887" s="55"/>
      <c r="BG887" s="55"/>
      <c r="BH887" s="55"/>
      <c r="BI887" s="55"/>
      <c r="BJ887" s="55"/>
      <c r="BK887" s="55"/>
      <c r="BL887" s="55"/>
      <c r="BM887" s="55"/>
      <c r="BN887" s="55"/>
      <c r="BO887" s="55"/>
      <c r="BP887" s="55"/>
      <c r="BQ887" s="55"/>
      <c r="BR887" s="55"/>
      <c r="BS887" s="55"/>
      <c r="BT887" s="55"/>
      <c r="BU887" s="55"/>
      <c r="BV887" s="55"/>
      <c r="BW887" s="55"/>
      <c r="BX887" s="55"/>
      <c r="BY887" s="55"/>
      <c r="BZ887" s="55"/>
      <c r="CI887" s="55"/>
      <c r="CJ887" s="55"/>
      <c r="CK887" s="55"/>
      <c r="CL887" s="55"/>
      <c r="CM887" s="55"/>
      <c r="CN887" s="55"/>
      <c r="CO887" s="55"/>
      <c r="CP887" s="55"/>
      <c r="CQ887" s="55"/>
      <c r="DJ887" s="55"/>
      <c r="DK887" s="55"/>
      <c r="DL887" s="55"/>
      <c r="DM887" s="55"/>
      <c r="DN887" s="55"/>
      <c r="DO887" s="55"/>
      <c r="DP887" s="55"/>
      <c r="DQ887" s="55"/>
      <c r="DR887" s="55"/>
      <c r="DS887" s="55"/>
      <c r="DT887" s="55"/>
      <c r="DU887" s="55"/>
      <c r="DV887" s="55"/>
    </row>
    <row r="888" spans="1:126" ht="12.75" x14ac:dyDescent="0.2">
      <c r="A888" s="54"/>
      <c r="B888" s="54"/>
      <c r="C888" s="54"/>
      <c r="E888" s="54"/>
      <c r="F888" s="54"/>
      <c r="G888" s="54"/>
      <c r="H888" s="54"/>
      <c r="I888" s="54"/>
      <c r="J888" s="54"/>
      <c r="K888" s="54"/>
      <c r="L888" s="54"/>
      <c r="M888" s="54"/>
      <c r="N888" s="54"/>
      <c r="O888" s="54"/>
      <c r="P888" s="54"/>
      <c r="Q888" s="54"/>
      <c r="R888" s="54"/>
      <c r="S888" s="54"/>
      <c r="T888" s="54"/>
      <c r="U888" s="54"/>
      <c r="V888" s="54"/>
      <c r="W888" s="54"/>
      <c r="X888" s="54"/>
      <c r="Y888" s="54"/>
      <c r="Z888" s="54"/>
      <c r="AY888" s="55"/>
      <c r="AZ888" s="55"/>
      <c r="BA888" s="55"/>
      <c r="BB888" s="55"/>
      <c r="BC888" s="55"/>
      <c r="BD888" s="55"/>
      <c r="BE888" s="55"/>
      <c r="BF888" s="55"/>
      <c r="BG888" s="55"/>
      <c r="BH888" s="55"/>
      <c r="BI888" s="55"/>
      <c r="BJ888" s="55"/>
      <c r="BK888" s="55"/>
      <c r="BL888" s="55"/>
      <c r="BM888" s="55"/>
      <c r="BN888" s="55"/>
      <c r="BO888" s="55"/>
      <c r="BP888" s="55"/>
      <c r="BQ888" s="55"/>
      <c r="BR888" s="55"/>
      <c r="BS888" s="55"/>
      <c r="BT888" s="55"/>
      <c r="BU888" s="55"/>
      <c r="BV888" s="55"/>
      <c r="BW888" s="55"/>
      <c r="BX888" s="55"/>
      <c r="BY888" s="55"/>
      <c r="BZ888" s="55"/>
      <c r="CI888" s="55"/>
      <c r="CJ888" s="55"/>
      <c r="CK888" s="55"/>
      <c r="CL888" s="55"/>
      <c r="CM888" s="55"/>
      <c r="CN888" s="55"/>
      <c r="CO888" s="55"/>
      <c r="CP888" s="55"/>
      <c r="CQ888" s="55"/>
      <c r="DJ888" s="55"/>
      <c r="DK888" s="55"/>
      <c r="DL888" s="55"/>
      <c r="DM888" s="55"/>
      <c r="DN888" s="55"/>
      <c r="DO888" s="55"/>
      <c r="DP888" s="55"/>
      <c r="DQ888" s="55"/>
      <c r="DR888" s="55"/>
      <c r="DS888" s="55"/>
      <c r="DT888" s="55"/>
      <c r="DU888" s="55"/>
      <c r="DV888" s="55"/>
    </row>
    <row r="889" spans="1:126" ht="14.25" customHeight="1" x14ac:dyDescent="0.2">
      <c r="A889" s="54"/>
      <c r="B889" s="54"/>
      <c r="C889" s="54"/>
      <c r="D889" s="324" t="s">
        <v>359</v>
      </c>
      <c r="E889" s="324"/>
      <c r="F889" s="324"/>
      <c r="G889" s="324"/>
      <c r="H889" s="324"/>
      <c r="I889" s="324"/>
      <c r="J889" s="324"/>
      <c r="K889" s="324"/>
      <c r="L889" s="324"/>
      <c r="M889" s="324"/>
      <c r="N889" s="324"/>
      <c r="O889" s="324"/>
      <c r="P889" s="324"/>
      <c r="Q889" s="324"/>
      <c r="R889" s="324"/>
      <c r="S889" s="324"/>
      <c r="T889" s="324"/>
      <c r="U889" s="324"/>
      <c r="V889" s="324"/>
      <c r="W889" s="324"/>
      <c r="X889" s="324"/>
      <c r="Y889" s="324"/>
      <c r="Z889" s="324"/>
      <c r="AA889" s="324"/>
      <c r="AB889" s="324"/>
      <c r="AC889" s="324"/>
      <c r="AD889" s="324"/>
      <c r="AE889" s="324"/>
      <c r="AF889" s="324"/>
      <c r="AG889" s="324"/>
      <c r="AH889" s="324"/>
      <c r="AI889" s="324"/>
      <c r="AJ889" s="324"/>
      <c r="AK889" s="173"/>
      <c r="AY889" s="55"/>
      <c r="AZ889" s="55"/>
      <c r="BA889" s="55"/>
      <c r="BB889" s="55"/>
      <c r="BC889" s="55"/>
      <c r="BD889" s="55"/>
      <c r="BE889" s="55"/>
      <c r="BF889" s="55"/>
      <c r="BG889" s="55"/>
      <c r="BH889" s="55"/>
      <c r="BI889" s="55"/>
      <c r="BJ889" s="55"/>
      <c r="BK889" s="55"/>
      <c r="BL889" s="55"/>
      <c r="BM889" s="55"/>
      <c r="BN889" s="55"/>
      <c r="BO889" s="55"/>
      <c r="BP889" s="55"/>
      <c r="BQ889" s="55"/>
      <c r="BR889" s="55"/>
      <c r="BS889" s="55"/>
      <c r="BT889" s="55"/>
      <c r="BU889" s="55"/>
      <c r="BV889" s="55"/>
      <c r="BW889" s="55"/>
      <c r="BX889" s="55"/>
      <c r="BY889" s="55"/>
      <c r="BZ889" s="55"/>
      <c r="CI889" s="55"/>
      <c r="CJ889" s="55"/>
      <c r="CK889" s="55"/>
      <c r="CL889" s="55"/>
      <c r="CM889" s="55"/>
      <c r="CN889" s="55"/>
      <c r="CO889" s="55"/>
      <c r="CP889" s="55"/>
      <c r="CQ889" s="55"/>
      <c r="DJ889" s="55"/>
      <c r="DK889" s="55"/>
      <c r="DL889" s="55"/>
      <c r="DM889" s="55"/>
      <c r="DN889" s="55"/>
      <c r="DO889" s="55"/>
      <c r="DP889" s="55"/>
      <c r="DQ889" s="55"/>
      <c r="DR889" s="55"/>
      <c r="DS889" s="55"/>
      <c r="DT889" s="55"/>
      <c r="DU889" s="55"/>
      <c r="DV889" s="55"/>
    </row>
    <row r="890" spans="1:126" ht="12.75" x14ac:dyDescent="0.2">
      <c r="A890" s="54"/>
      <c r="B890" s="54"/>
      <c r="C890" s="54"/>
      <c r="D890" s="324"/>
      <c r="E890" s="324"/>
      <c r="F890" s="324"/>
      <c r="G890" s="324"/>
      <c r="H890" s="324"/>
      <c r="I890" s="324"/>
      <c r="J890" s="324"/>
      <c r="K890" s="324"/>
      <c r="L890" s="324"/>
      <c r="M890" s="324"/>
      <c r="N890" s="324"/>
      <c r="O890" s="324"/>
      <c r="P890" s="324"/>
      <c r="Q890" s="324"/>
      <c r="R890" s="324"/>
      <c r="S890" s="324"/>
      <c r="T890" s="324"/>
      <c r="U890" s="324"/>
      <c r="V890" s="324"/>
      <c r="W890" s="324"/>
      <c r="X890" s="324"/>
      <c r="Y890" s="324"/>
      <c r="Z890" s="324"/>
      <c r="AA890" s="324"/>
      <c r="AB890" s="324"/>
      <c r="AC890" s="324"/>
      <c r="AD890" s="324"/>
      <c r="AE890" s="324"/>
      <c r="AF890" s="324"/>
      <c r="AG890" s="324"/>
      <c r="AH890" s="324"/>
      <c r="AI890" s="324"/>
      <c r="AJ890" s="324"/>
      <c r="AK890" s="173"/>
      <c r="AY890" s="55"/>
      <c r="AZ890" s="55"/>
      <c r="BA890" s="55"/>
      <c r="BB890" s="55"/>
      <c r="BC890" s="55"/>
      <c r="BD890" s="55"/>
      <c r="BE890" s="55"/>
      <c r="BF890" s="55"/>
      <c r="BG890" s="55"/>
      <c r="BH890" s="55"/>
      <c r="BI890" s="55"/>
      <c r="BJ890" s="55"/>
      <c r="BK890" s="55"/>
      <c r="BL890" s="55"/>
      <c r="BM890" s="55"/>
      <c r="BN890" s="55"/>
      <c r="BO890" s="55"/>
      <c r="BP890" s="55"/>
      <c r="BQ890" s="55"/>
      <c r="BR890" s="55"/>
      <c r="BS890" s="55"/>
      <c r="BT890" s="55"/>
      <c r="BU890" s="55"/>
      <c r="BV890" s="55"/>
      <c r="BW890" s="55"/>
      <c r="BX890" s="55"/>
      <c r="BY890" s="55"/>
      <c r="BZ890" s="55"/>
      <c r="CI890" s="55"/>
      <c r="CJ890" s="55"/>
      <c r="CK890" s="55"/>
      <c r="CL890" s="55"/>
      <c r="CM890" s="55"/>
      <c r="CN890" s="55"/>
      <c r="CO890" s="55"/>
      <c r="CP890" s="55"/>
      <c r="CQ890" s="55"/>
      <c r="DJ890" s="55"/>
      <c r="DK890" s="55"/>
      <c r="DL890" s="55"/>
      <c r="DM890" s="55"/>
      <c r="DN890" s="55"/>
      <c r="DO890" s="55"/>
      <c r="DP890" s="55"/>
      <c r="DQ890" s="55"/>
      <c r="DR890" s="55"/>
      <c r="DS890" s="55"/>
      <c r="DT890" s="55"/>
      <c r="DU890" s="55"/>
      <c r="DV890" s="55"/>
    </row>
    <row r="891" spans="1:126" ht="12.75" x14ac:dyDescent="0.2">
      <c r="A891" s="54"/>
      <c r="B891" s="54"/>
      <c r="C891" s="54"/>
      <c r="D891" s="54"/>
      <c r="E891" s="54"/>
      <c r="F891" s="54"/>
      <c r="G891" s="54"/>
      <c r="H891" s="54"/>
      <c r="I891" s="54"/>
      <c r="J891" s="54"/>
      <c r="K891" s="54"/>
      <c r="L891" s="54"/>
      <c r="M891" s="54"/>
      <c r="N891" s="54"/>
      <c r="O891" s="54"/>
      <c r="P891" s="54"/>
      <c r="Q891" s="54"/>
      <c r="R891" s="54"/>
      <c r="S891" s="54"/>
      <c r="T891" s="54"/>
      <c r="U891" s="54"/>
      <c r="V891" s="54"/>
      <c r="W891" s="54"/>
      <c r="X891" s="54"/>
      <c r="Y891" s="54"/>
      <c r="Z891" s="54"/>
      <c r="AY891" s="55"/>
      <c r="AZ891" s="55"/>
      <c r="BA891" s="55"/>
      <c r="BB891" s="55"/>
      <c r="BC891" s="55"/>
      <c r="BD891" s="55"/>
      <c r="BE891" s="55"/>
      <c r="BF891" s="55"/>
      <c r="BG891" s="55"/>
      <c r="BH891" s="55"/>
      <c r="BI891" s="55"/>
      <c r="BJ891" s="55"/>
      <c r="BK891" s="55"/>
      <c r="BL891" s="55"/>
      <c r="BM891" s="55"/>
      <c r="BN891" s="55"/>
      <c r="BO891" s="55"/>
      <c r="BP891" s="55"/>
      <c r="BQ891" s="55"/>
      <c r="BR891" s="55"/>
      <c r="BS891" s="55"/>
      <c r="BT891" s="55"/>
      <c r="BU891" s="55"/>
      <c r="BV891" s="55"/>
      <c r="BW891" s="55"/>
      <c r="BX891" s="55"/>
      <c r="BY891" s="55"/>
      <c r="BZ891" s="55"/>
      <c r="CI891" s="55"/>
      <c r="CJ891" s="55"/>
      <c r="CK891" s="55"/>
      <c r="CL891" s="55"/>
      <c r="CM891" s="55"/>
      <c r="CN891" s="55"/>
      <c r="CO891" s="55"/>
      <c r="CP891" s="55"/>
      <c r="CQ891" s="55"/>
      <c r="DJ891" s="55"/>
      <c r="DK891" s="55"/>
      <c r="DL891" s="55"/>
      <c r="DM891" s="55"/>
      <c r="DN891" s="55"/>
      <c r="DO891" s="55"/>
      <c r="DP891" s="55"/>
      <c r="DQ891" s="55"/>
      <c r="DR891" s="55"/>
      <c r="DS891" s="55"/>
      <c r="DT891" s="55"/>
      <c r="DU891" s="55"/>
      <c r="DV891" s="55"/>
    </row>
    <row r="892" spans="1:126" ht="12.75" x14ac:dyDescent="0.2">
      <c r="A892" s="54"/>
      <c r="B892" s="54"/>
      <c r="C892" s="54"/>
      <c r="D892" s="54"/>
      <c r="E892" s="54"/>
      <c r="F892" s="54"/>
      <c r="G892" s="54"/>
      <c r="H892" s="54"/>
      <c r="I892" s="54"/>
      <c r="J892" s="54"/>
      <c r="K892" s="54"/>
      <c r="L892" s="54"/>
      <c r="M892" s="54"/>
      <c r="N892" s="54"/>
      <c r="O892" s="54"/>
      <c r="P892" s="54"/>
      <c r="Q892" s="54"/>
      <c r="R892" s="54"/>
      <c r="S892" s="54"/>
      <c r="T892" s="54"/>
      <c r="U892" s="54"/>
      <c r="V892" s="54"/>
      <c r="W892" s="54"/>
      <c r="X892" s="54"/>
      <c r="Y892" s="54"/>
      <c r="Z892" s="54"/>
      <c r="AY892" s="55"/>
      <c r="AZ892" s="55"/>
      <c r="BA892" s="55"/>
      <c r="BB892" s="55"/>
      <c r="BC892" s="55"/>
      <c r="BD892" s="55"/>
      <c r="BE892" s="55"/>
      <c r="BF892" s="55"/>
      <c r="BG892" s="55"/>
      <c r="BH892" s="55"/>
      <c r="BI892" s="55"/>
      <c r="BJ892" s="55"/>
      <c r="BK892" s="55"/>
      <c r="BL892" s="55"/>
      <c r="BM892" s="55"/>
      <c r="BN892" s="55"/>
      <c r="BO892" s="55"/>
      <c r="BP892" s="55"/>
      <c r="BQ892" s="55"/>
      <c r="BR892" s="55"/>
      <c r="BS892" s="55"/>
      <c r="BT892" s="55"/>
      <c r="BU892" s="55"/>
      <c r="BV892" s="55"/>
      <c r="BW892" s="55"/>
      <c r="BX892" s="55"/>
      <c r="BY892" s="55"/>
      <c r="BZ892" s="55"/>
      <c r="CI892" s="55"/>
      <c r="CJ892" s="55"/>
      <c r="CK892" s="55"/>
      <c r="CL892" s="55"/>
      <c r="CM892" s="55"/>
      <c r="CN892" s="55"/>
      <c r="CO892" s="55"/>
      <c r="CP892" s="55"/>
      <c r="CQ892" s="55"/>
      <c r="DJ892" s="55"/>
      <c r="DK892" s="55"/>
      <c r="DL892" s="55"/>
      <c r="DM892" s="55"/>
      <c r="DN892" s="55"/>
      <c r="DO892" s="55"/>
      <c r="DP892" s="55"/>
      <c r="DQ892" s="55"/>
      <c r="DR892" s="55"/>
      <c r="DS892" s="55"/>
      <c r="DT892" s="55"/>
      <c r="DU892" s="55"/>
      <c r="DV892" s="55"/>
    </row>
    <row r="893" spans="1:126" ht="18.75" x14ac:dyDescent="0.2">
      <c r="A893" s="334" t="s">
        <v>584</v>
      </c>
      <c r="B893" s="334"/>
      <c r="C893" s="334"/>
      <c r="D893" s="334"/>
      <c r="E893" s="334"/>
      <c r="F893" s="334"/>
      <c r="G893" s="334"/>
      <c r="H893" s="334"/>
      <c r="I893" s="334"/>
      <c r="J893" s="334"/>
      <c r="K893" s="334"/>
      <c r="L893" s="334"/>
      <c r="M893" s="334"/>
      <c r="N893" s="334"/>
      <c r="O893" s="334"/>
      <c r="P893" s="334"/>
      <c r="Q893" s="334"/>
      <c r="R893" s="334"/>
      <c r="S893" s="334"/>
      <c r="T893" s="334"/>
      <c r="U893" s="334"/>
      <c r="V893" s="334"/>
      <c r="W893" s="334"/>
      <c r="X893" s="334"/>
      <c r="Y893" s="334"/>
      <c r="Z893" s="334"/>
      <c r="AA893" s="334"/>
      <c r="AB893" s="334"/>
      <c r="AC893" s="334"/>
      <c r="AD893" s="334"/>
      <c r="AE893" s="334"/>
      <c r="AF893" s="334"/>
      <c r="AG893" s="334"/>
      <c r="AH893" s="334"/>
      <c r="AI893" s="334"/>
      <c r="AJ893" s="334"/>
      <c r="AK893" s="178"/>
      <c r="AY893" s="55"/>
      <c r="AZ893" s="55"/>
      <c r="BA893" s="55"/>
      <c r="BB893" s="55"/>
      <c r="BC893" s="55"/>
      <c r="BD893" s="55"/>
      <c r="BE893" s="55"/>
      <c r="BF893" s="55"/>
      <c r="BG893" s="55"/>
      <c r="BH893" s="55"/>
      <c r="BI893" s="55"/>
      <c r="BJ893" s="55"/>
      <c r="BK893" s="55"/>
      <c r="BL893" s="55"/>
      <c r="BM893" s="55"/>
      <c r="BN893" s="55"/>
      <c r="BO893" s="55"/>
      <c r="BP893" s="55"/>
      <c r="BQ893" s="55"/>
      <c r="BR893" s="55"/>
      <c r="BS893" s="55"/>
      <c r="BT893" s="55"/>
      <c r="BU893" s="55"/>
      <c r="BV893" s="55"/>
      <c r="BW893" s="55"/>
      <c r="BX893" s="55"/>
      <c r="BY893" s="55"/>
      <c r="BZ893" s="55"/>
      <c r="CI893" s="55"/>
      <c r="CJ893" s="55"/>
      <c r="CK893" s="55"/>
      <c r="CL893" s="55"/>
      <c r="CM893" s="55"/>
      <c r="CN893" s="55"/>
      <c r="CO893" s="55"/>
      <c r="CP893" s="55"/>
      <c r="CQ893" s="55"/>
      <c r="DJ893" s="55"/>
      <c r="DK893" s="55"/>
      <c r="DL893" s="55"/>
      <c r="DM893" s="55"/>
      <c r="DN893" s="55"/>
      <c r="DO893" s="55"/>
      <c r="DP893" s="55"/>
      <c r="DQ893" s="55"/>
      <c r="DR893" s="55"/>
      <c r="DS893" s="55"/>
      <c r="DT893" s="55"/>
      <c r="DU893" s="55"/>
      <c r="DV893" s="55"/>
    </row>
    <row r="894" spans="1:126" ht="12.75" x14ac:dyDescent="0.2">
      <c r="A894" s="54"/>
      <c r="B894" s="54"/>
      <c r="C894" s="54"/>
      <c r="D894" s="54"/>
      <c r="E894" s="54"/>
      <c r="F894" s="54"/>
      <c r="G894" s="54"/>
      <c r="H894" s="54"/>
      <c r="I894" s="54"/>
      <c r="J894" s="54"/>
      <c r="K894" s="54"/>
      <c r="L894" s="54"/>
      <c r="M894" s="54"/>
      <c r="N894" s="54"/>
      <c r="O894" s="54"/>
      <c r="P894" s="54"/>
      <c r="Q894" s="54"/>
      <c r="R894" s="54"/>
      <c r="S894" s="54"/>
      <c r="T894" s="54"/>
      <c r="U894" s="54"/>
      <c r="V894" s="54"/>
      <c r="W894" s="54"/>
      <c r="X894" s="54"/>
      <c r="Y894" s="54"/>
      <c r="Z894" s="54"/>
      <c r="AY894" s="55"/>
      <c r="AZ894" s="55"/>
      <c r="BA894" s="55"/>
      <c r="BB894" s="55"/>
      <c r="BC894" s="55"/>
      <c r="BD894" s="55"/>
      <c r="BE894" s="55"/>
      <c r="BF894" s="55"/>
      <c r="BG894" s="55"/>
      <c r="BH894" s="55"/>
      <c r="BI894" s="55"/>
      <c r="BJ894" s="55"/>
      <c r="BK894" s="55"/>
      <c r="BL894" s="55"/>
      <c r="BM894" s="55"/>
      <c r="BN894" s="55"/>
      <c r="BO894" s="55"/>
      <c r="BP894" s="55"/>
      <c r="BQ894" s="55"/>
      <c r="BR894" s="55"/>
      <c r="BS894" s="55"/>
      <c r="BT894" s="55"/>
      <c r="BU894" s="55"/>
      <c r="BV894" s="55"/>
      <c r="BW894" s="55"/>
      <c r="BX894" s="55"/>
      <c r="BY894" s="55"/>
      <c r="BZ894" s="55"/>
      <c r="CI894" s="55"/>
      <c r="CJ894" s="55"/>
      <c r="CK894" s="55"/>
      <c r="CL894" s="55"/>
      <c r="CM894" s="55"/>
      <c r="CN894" s="55"/>
      <c r="CO894" s="55"/>
      <c r="CP894" s="55"/>
      <c r="CQ894" s="55"/>
      <c r="DJ894" s="55"/>
      <c r="DK894" s="55"/>
      <c r="DL894" s="55"/>
      <c r="DM894" s="55"/>
      <c r="DN894" s="55"/>
      <c r="DO894" s="55"/>
      <c r="DP894" s="55"/>
      <c r="DQ894" s="55"/>
      <c r="DR894" s="55"/>
      <c r="DS894" s="55"/>
      <c r="DT894" s="55"/>
      <c r="DU894" s="55"/>
      <c r="DV894" s="55"/>
    </row>
    <row r="895" spans="1:126" ht="15" x14ac:dyDescent="0.2">
      <c r="A895" s="54"/>
      <c r="B895" s="248" t="s">
        <v>609</v>
      </c>
      <c r="C895" s="248"/>
      <c r="D895" s="248"/>
      <c r="E895" s="248"/>
      <c r="F895" s="248"/>
      <c r="G895" s="248"/>
      <c r="H895" s="248"/>
      <c r="I895" s="248"/>
      <c r="J895" s="248"/>
      <c r="K895" s="248"/>
      <c r="L895" s="248"/>
      <c r="M895" s="248"/>
      <c r="N895" s="248"/>
      <c r="O895" s="248"/>
      <c r="P895" s="248"/>
      <c r="Q895" s="248"/>
      <c r="R895" s="248"/>
      <c r="S895" s="248"/>
      <c r="T895" s="248"/>
      <c r="U895" s="248"/>
      <c r="V895" s="248"/>
      <c r="W895" s="248"/>
      <c r="X895" s="248"/>
      <c r="Y895" s="248"/>
      <c r="Z895" s="248"/>
      <c r="AA895" s="248"/>
      <c r="AB895" s="248"/>
      <c r="AC895" s="248"/>
      <c r="AD895" s="248"/>
      <c r="AE895" s="248"/>
      <c r="AF895" s="248"/>
      <c r="AG895" s="248"/>
      <c r="AH895" s="248"/>
      <c r="AI895" s="248"/>
      <c r="AJ895" s="248"/>
      <c r="AK895" s="176"/>
      <c r="AY895" s="55"/>
      <c r="AZ895" s="55"/>
      <c r="BA895" s="55"/>
      <c r="BB895" s="55"/>
      <c r="BC895" s="55"/>
      <c r="BD895" s="55"/>
      <c r="BE895" s="55"/>
      <c r="BF895" s="55"/>
      <c r="BG895" s="55"/>
      <c r="BH895" s="55"/>
      <c r="BI895" s="55"/>
      <c r="BJ895" s="55"/>
      <c r="BK895" s="55"/>
      <c r="BL895" s="55"/>
      <c r="BM895" s="55"/>
      <c r="BN895" s="55"/>
      <c r="BO895" s="55"/>
      <c r="BP895" s="55"/>
      <c r="BQ895" s="55"/>
      <c r="BR895" s="55"/>
      <c r="BS895" s="55"/>
      <c r="BT895" s="55"/>
      <c r="BU895" s="55"/>
      <c r="BV895" s="55"/>
      <c r="BW895" s="55"/>
      <c r="BX895" s="55"/>
      <c r="BY895" s="55"/>
      <c r="BZ895" s="55"/>
      <c r="CI895" s="55"/>
      <c r="CJ895" s="55"/>
      <c r="CK895" s="55"/>
      <c r="CL895" s="55"/>
      <c r="CM895" s="55"/>
      <c r="CN895" s="55"/>
      <c r="CO895" s="55"/>
      <c r="CP895" s="55"/>
      <c r="CQ895" s="55"/>
      <c r="DJ895" s="55"/>
      <c r="DK895" s="55"/>
      <c r="DL895" s="55"/>
      <c r="DM895" s="55"/>
      <c r="DN895" s="55"/>
      <c r="DO895" s="55"/>
      <c r="DP895" s="55"/>
      <c r="DQ895" s="55"/>
      <c r="DR895" s="55"/>
      <c r="DS895" s="55"/>
      <c r="DT895" s="55"/>
      <c r="DU895" s="55"/>
      <c r="DV895" s="55"/>
    </row>
    <row r="896" spans="1:126" ht="12.75" x14ac:dyDescent="0.2">
      <c r="A896" s="54"/>
      <c r="B896" s="54"/>
      <c r="C896" s="54"/>
      <c r="D896" s="54"/>
      <c r="E896" s="54"/>
      <c r="F896" s="54"/>
      <c r="G896" s="54"/>
      <c r="H896" s="54"/>
      <c r="I896" s="54"/>
      <c r="J896" s="54"/>
      <c r="K896" s="54"/>
      <c r="L896" s="54"/>
      <c r="M896" s="54"/>
      <c r="N896" s="54"/>
      <c r="O896" s="54"/>
      <c r="P896" s="54"/>
      <c r="Q896" s="54"/>
      <c r="R896" s="54"/>
      <c r="S896" s="54"/>
      <c r="T896" s="54"/>
      <c r="U896" s="54"/>
      <c r="V896" s="54"/>
      <c r="W896" s="54"/>
      <c r="X896" s="54"/>
      <c r="Y896" s="54"/>
      <c r="Z896" s="54"/>
      <c r="AY896" s="55"/>
      <c r="AZ896" s="55"/>
      <c r="BA896" s="55"/>
      <c r="BB896" s="55"/>
      <c r="BC896" s="55"/>
      <c r="BD896" s="55"/>
      <c r="BE896" s="55"/>
      <c r="BF896" s="55"/>
      <c r="BG896" s="55"/>
      <c r="BH896" s="55"/>
      <c r="BI896" s="55"/>
      <c r="BJ896" s="55"/>
      <c r="BK896" s="55"/>
      <c r="BL896" s="55"/>
      <c r="BM896" s="55"/>
      <c r="BN896" s="55"/>
      <c r="BO896" s="55"/>
      <c r="BP896" s="55"/>
      <c r="BQ896" s="55"/>
      <c r="BR896" s="55"/>
      <c r="BS896" s="55"/>
      <c r="BT896" s="55"/>
      <c r="BU896" s="55"/>
      <c r="BV896" s="55"/>
      <c r="BW896" s="55"/>
      <c r="BX896" s="55"/>
      <c r="BY896" s="55"/>
      <c r="BZ896" s="55"/>
      <c r="CI896" s="55"/>
      <c r="CJ896" s="55"/>
      <c r="CK896" s="55"/>
      <c r="CL896" s="55"/>
      <c r="CM896" s="55"/>
      <c r="CN896" s="55"/>
      <c r="CO896" s="55"/>
      <c r="CP896" s="55"/>
      <c r="CQ896" s="55"/>
      <c r="DJ896" s="55"/>
      <c r="DK896" s="55"/>
      <c r="DL896" s="55"/>
      <c r="DM896" s="55"/>
      <c r="DN896" s="55"/>
      <c r="DO896" s="55"/>
      <c r="DP896" s="55"/>
      <c r="DQ896" s="55"/>
      <c r="DR896" s="55"/>
      <c r="DS896" s="55"/>
      <c r="DT896" s="55"/>
      <c r="DU896" s="55"/>
      <c r="DV896" s="55"/>
    </row>
    <row r="897" spans="1:126" ht="12.75" x14ac:dyDescent="0.2">
      <c r="A897" s="54"/>
      <c r="B897" s="54"/>
      <c r="C897" s="288" t="s">
        <v>630</v>
      </c>
      <c r="D897" s="288"/>
      <c r="E897" s="288"/>
      <c r="F897" s="288"/>
      <c r="G897" s="288"/>
      <c r="H897" s="288"/>
      <c r="I897" s="288"/>
      <c r="J897" s="288"/>
      <c r="K897" s="288"/>
      <c r="L897" s="288"/>
      <c r="M897" s="288"/>
      <c r="N897" s="288"/>
      <c r="O897" s="288"/>
      <c r="P897" s="288"/>
      <c r="Q897" s="288"/>
      <c r="R897" s="288"/>
      <c r="S897" s="288"/>
      <c r="T897" s="288"/>
      <c r="U897" s="288"/>
      <c r="V897" s="288"/>
      <c r="W897" s="288"/>
      <c r="X897" s="288"/>
      <c r="Y897" s="288"/>
      <c r="Z897" s="288"/>
      <c r="AA897" s="288"/>
      <c r="AB897" s="288"/>
      <c r="AC897" s="288"/>
      <c r="AD897" s="288"/>
      <c r="AE897" s="288"/>
      <c r="AF897" s="288"/>
      <c r="AG897" s="288"/>
      <c r="AH897" s="288"/>
      <c r="AI897" s="288"/>
      <c r="AJ897" s="288"/>
      <c r="AK897" s="179"/>
      <c r="AY897" s="55"/>
      <c r="AZ897" s="55"/>
      <c r="BA897" s="55"/>
      <c r="BB897" s="55"/>
      <c r="BC897" s="55"/>
      <c r="BD897" s="55"/>
      <c r="BE897" s="55"/>
      <c r="BF897" s="55"/>
      <c r="BG897" s="55"/>
      <c r="BH897" s="55"/>
      <c r="BI897" s="55"/>
      <c r="BJ897" s="55"/>
      <c r="BK897" s="55"/>
      <c r="BL897" s="55"/>
      <c r="BM897" s="55"/>
      <c r="BN897" s="55"/>
      <c r="BO897" s="55"/>
      <c r="BP897" s="55"/>
      <c r="BQ897" s="55"/>
      <c r="BR897" s="55"/>
      <c r="BS897" s="55"/>
      <c r="BT897" s="55"/>
      <c r="BU897" s="55"/>
      <c r="BV897" s="55"/>
      <c r="BW897" s="55"/>
      <c r="BX897" s="55"/>
      <c r="BY897" s="55"/>
      <c r="BZ897" s="55"/>
      <c r="CI897" s="55"/>
      <c r="CJ897" s="55"/>
      <c r="CK897" s="55"/>
      <c r="CL897" s="55"/>
      <c r="CM897" s="55"/>
      <c r="CN897" s="55"/>
      <c r="CO897" s="55"/>
      <c r="CP897" s="55"/>
      <c r="CQ897" s="55"/>
      <c r="DJ897" s="55"/>
      <c r="DK897" s="55"/>
      <c r="DL897" s="55"/>
      <c r="DM897" s="55"/>
      <c r="DN897" s="55"/>
      <c r="DO897" s="55"/>
      <c r="DP897" s="55"/>
      <c r="DQ897" s="55"/>
      <c r="DR897" s="55"/>
      <c r="DS897" s="55"/>
      <c r="DT897" s="55"/>
      <c r="DU897" s="55"/>
      <c r="DV897" s="55"/>
    </row>
    <row r="898" spans="1:126" ht="12.75" x14ac:dyDescent="0.2">
      <c r="A898" s="56"/>
      <c r="B898" s="54"/>
      <c r="C898" s="54"/>
      <c r="D898" s="54"/>
      <c r="F898" s="54"/>
      <c r="G898" s="54"/>
      <c r="H898" s="54"/>
      <c r="I898" s="54"/>
      <c r="J898" s="54"/>
      <c r="K898" s="54"/>
      <c r="L898" s="54"/>
      <c r="M898" s="54"/>
      <c r="N898" s="54"/>
      <c r="O898" s="54"/>
      <c r="P898" s="54"/>
      <c r="Q898" s="54"/>
      <c r="R898" s="54"/>
      <c r="S898" s="54"/>
      <c r="T898" s="54"/>
      <c r="U898" s="54"/>
      <c r="V898" s="54"/>
      <c r="W898" s="54"/>
      <c r="X898" s="54"/>
      <c r="Y898" s="54"/>
      <c r="Z898" s="54"/>
      <c r="AY898" s="55"/>
      <c r="AZ898" s="55"/>
      <c r="BA898" s="55"/>
      <c r="BB898" s="55"/>
      <c r="BC898" s="55"/>
      <c r="BD898" s="55"/>
      <c r="BE898" s="55"/>
      <c r="BF898" s="55"/>
      <c r="BG898" s="55"/>
      <c r="BH898" s="55"/>
      <c r="BI898" s="55"/>
      <c r="BJ898" s="55"/>
      <c r="BK898" s="55"/>
      <c r="BL898" s="55"/>
      <c r="BM898" s="55"/>
      <c r="BN898" s="55"/>
      <c r="BO898" s="55"/>
      <c r="BP898" s="55"/>
      <c r="BQ898" s="55"/>
      <c r="BR898" s="55"/>
      <c r="BS898" s="55"/>
      <c r="BT898" s="55"/>
      <c r="BU898" s="55"/>
      <c r="BV898" s="55"/>
      <c r="BW898" s="55"/>
      <c r="BX898" s="55"/>
      <c r="BY898" s="55"/>
      <c r="BZ898" s="55"/>
      <c r="CI898" s="55"/>
      <c r="CJ898" s="55"/>
      <c r="CK898" s="55"/>
      <c r="CL898" s="55"/>
      <c r="CM898" s="55"/>
      <c r="CN898" s="55"/>
      <c r="CO898" s="55"/>
      <c r="CP898" s="55"/>
      <c r="CQ898" s="55"/>
      <c r="DJ898" s="55"/>
      <c r="DK898" s="55"/>
      <c r="DL898" s="55"/>
      <c r="DM898" s="55"/>
      <c r="DN898" s="55"/>
      <c r="DO898" s="55"/>
      <c r="DP898" s="55"/>
      <c r="DQ898" s="55"/>
      <c r="DR898" s="55"/>
      <c r="DS898" s="55"/>
      <c r="DT898" s="55"/>
      <c r="DU898" s="55"/>
      <c r="DV898" s="55"/>
    </row>
    <row r="899" spans="1:126" ht="12.75" customHeight="1" x14ac:dyDescent="0.2">
      <c r="A899" s="54"/>
      <c r="B899" s="54"/>
      <c r="C899" s="54"/>
      <c r="D899" s="333" t="s">
        <v>313</v>
      </c>
      <c r="E899" s="333"/>
      <c r="F899" s="333"/>
      <c r="G899" s="333"/>
      <c r="H899" s="333"/>
      <c r="I899" s="333"/>
      <c r="J899" s="333"/>
      <c r="K899" s="333"/>
      <c r="L899" s="333"/>
      <c r="M899" s="333"/>
      <c r="N899" s="333"/>
      <c r="O899" s="333"/>
      <c r="P899" s="333"/>
      <c r="Q899" s="333"/>
      <c r="R899" s="333"/>
      <c r="S899" s="333"/>
      <c r="T899" s="333"/>
      <c r="U899" s="333"/>
      <c r="V899" s="333"/>
      <c r="W899" s="333"/>
      <c r="X899" s="333"/>
      <c r="Y899" s="333"/>
      <c r="Z899" s="333"/>
      <c r="AA899" s="333"/>
      <c r="AB899" s="333"/>
      <c r="AC899" s="333"/>
      <c r="AD899" s="333"/>
      <c r="AE899" s="333"/>
      <c r="AF899" s="333"/>
      <c r="AG899" s="333"/>
      <c r="AH899" s="333"/>
      <c r="AI899" s="333"/>
      <c r="AJ899" s="333"/>
      <c r="AK899" s="175"/>
      <c r="AY899" s="55"/>
      <c r="AZ899" s="55"/>
      <c r="BA899" s="55"/>
      <c r="BB899" s="55"/>
      <c r="BC899" s="55"/>
      <c r="BD899" s="55"/>
      <c r="BE899" s="55"/>
      <c r="BF899" s="55"/>
      <c r="BG899" s="55"/>
      <c r="BH899" s="55"/>
      <c r="BI899" s="55"/>
      <c r="BJ899" s="55"/>
      <c r="BK899" s="55"/>
      <c r="BL899" s="55"/>
      <c r="BM899" s="55"/>
      <c r="BN899" s="55"/>
      <c r="BO899" s="55"/>
      <c r="BP899" s="55"/>
      <c r="BQ899" s="55"/>
      <c r="BR899" s="55"/>
      <c r="BS899" s="55"/>
      <c r="BT899" s="55"/>
      <c r="BU899" s="55"/>
      <c r="BV899" s="55"/>
      <c r="BW899" s="55"/>
      <c r="BX899" s="55"/>
      <c r="BY899" s="55"/>
      <c r="BZ899" s="55"/>
      <c r="CI899" s="55"/>
      <c r="CJ899" s="55"/>
      <c r="CK899" s="55"/>
      <c r="CL899" s="55"/>
      <c r="CM899" s="55"/>
      <c r="CN899" s="55"/>
      <c r="CO899" s="55"/>
      <c r="CP899" s="55"/>
      <c r="CQ899" s="55"/>
      <c r="DJ899" s="55"/>
      <c r="DK899" s="55"/>
      <c r="DL899" s="55"/>
      <c r="DM899" s="55"/>
      <c r="DN899" s="55"/>
      <c r="DO899" s="55"/>
      <c r="DP899" s="55"/>
      <c r="DQ899" s="55"/>
      <c r="DR899" s="55"/>
      <c r="DS899" s="55"/>
      <c r="DT899" s="55"/>
      <c r="DU899" s="55"/>
      <c r="DV899" s="55"/>
    </row>
    <row r="900" spans="1:126" ht="12.75" customHeight="1" x14ac:dyDescent="0.2">
      <c r="A900" s="54"/>
      <c r="B900" s="54"/>
      <c r="C900" s="54"/>
      <c r="D900" s="333" t="s">
        <v>314</v>
      </c>
      <c r="E900" s="333"/>
      <c r="F900" s="333"/>
      <c r="G900" s="333"/>
      <c r="H900" s="333"/>
      <c r="I900" s="333"/>
      <c r="J900" s="333"/>
      <c r="K900" s="333"/>
      <c r="L900" s="333"/>
      <c r="M900" s="333"/>
      <c r="N900" s="333"/>
      <c r="O900" s="333"/>
      <c r="P900" s="333"/>
      <c r="Q900" s="333"/>
      <c r="R900" s="333"/>
      <c r="S900" s="333"/>
      <c r="T900" s="333"/>
      <c r="U900" s="333"/>
      <c r="V900" s="333"/>
      <c r="W900" s="333"/>
      <c r="X900" s="333"/>
      <c r="Y900" s="333"/>
      <c r="Z900" s="333"/>
      <c r="AA900" s="333"/>
      <c r="AB900" s="333"/>
      <c r="AC900" s="333"/>
      <c r="AD900" s="333"/>
      <c r="AE900" s="333"/>
      <c r="AF900" s="333"/>
      <c r="AG900" s="333"/>
      <c r="AH900" s="333"/>
      <c r="AI900" s="333"/>
      <c r="AJ900" s="333"/>
      <c r="AK900" s="175"/>
      <c r="AY900" s="55"/>
      <c r="AZ900" s="55"/>
      <c r="BA900" s="55"/>
      <c r="BB900" s="55"/>
      <c r="BC900" s="55"/>
      <c r="BD900" s="55"/>
      <c r="BE900" s="55"/>
      <c r="BF900" s="55"/>
      <c r="BG900" s="55"/>
      <c r="BH900" s="55"/>
      <c r="BI900" s="55"/>
      <c r="BJ900" s="55"/>
      <c r="BK900" s="55"/>
      <c r="BL900" s="55"/>
      <c r="BM900" s="55"/>
      <c r="BN900" s="55"/>
      <c r="BO900" s="55"/>
      <c r="BP900" s="55"/>
      <c r="BQ900" s="55"/>
      <c r="BR900" s="55"/>
      <c r="BS900" s="55"/>
      <c r="BT900" s="55"/>
      <c r="BU900" s="55"/>
      <c r="BV900" s="55"/>
      <c r="BW900" s="55"/>
      <c r="BX900" s="55"/>
      <c r="BY900" s="55"/>
      <c r="BZ900" s="55"/>
      <c r="CI900" s="55"/>
      <c r="CJ900" s="55"/>
      <c r="CK900" s="55"/>
      <c r="CL900" s="55"/>
      <c r="CM900" s="55"/>
      <c r="CN900" s="55"/>
      <c r="CO900" s="55"/>
      <c r="CP900" s="55"/>
      <c r="CQ900" s="55"/>
      <c r="DJ900" s="55"/>
      <c r="DK900" s="55"/>
      <c r="DL900" s="55"/>
      <c r="DM900" s="55"/>
      <c r="DN900" s="55"/>
      <c r="DO900" s="55"/>
      <c r="DP900" s="55"/>
      <c r="DQ900" s="55"/>
      <c r="DR900" s="55"/>
      <c r="DS900" s="55"/>
      <c r="DT900" s="55"/>
      <c r="DU900" s="55"/>
      <c r="DV900" s="55"/>
    </row>
    <row r="901" spans="1:126" ht="12.75" customHeight="1" x14ac:dyDescent="0.2">
      <c r="A901" s="54"/>
      <c r="B901" s="54"/>
      <c r="C901" s="54"/>
      <c r="D901" s="333" t="s">
        <v>315</v>
      </c>
      <c r="E901" s="333"/>
      <c r="F901" s="333"/>
      <c r="G901" s="333"/>
      <c r="H901" s="333"/>
      <c r="I901" s="333"/>
      <c r="J901" s="333"/>
      <c r="K901" s="333"/>
      <c r="L901" s="333"/>
      <c r="M901" s="333"/>
      <c r="N901" s="333"/>
      <c r="O901" s="333"/>
      <c r="P901" s="333"/>
      <c r="Q901" s="333"/>
      <c r="R901" s="333"/>
      <c r="S901" s="333"/>
      <c r="T901" s="333"/>
      <c r="U901" s="333"/>
      <c r="V901" s="333"/>
      <c r="W901" s="333"/>
      <c r="X901" s="333"/>
      <c r="Y901" s="333"/>
      <c r="Z901" s="333"/>
      <c r="AA901" s="333"/>
      <c r="AB901" s="333"/>
      <c r="AC901" s="333"/>
      <c r="AD901" s="333"/>
      <c r="AE901" s="333"/>
      <c r="AF901" s="333"/>
      <c r="AG901" s="333"/>
      <c r="AH901" s="333"/>
      <c r="AI901" s="333"/>
      <c r="AJ901" s="333"/>
      <c r="AK901" s="175"/>
      <c r="AY901" s="55"/>
      <c r="AZ901" s="55"/>
      <c r="BA901" s="55"/>
      <c r="BB901" s="55"/>
      <c r="BC901" s="55"/>
      <c r="BD901" s="55"/>
      <c r="BE901" s="55"/>
      <c r="BF901" s="55"/>
      <c r="BG901" s="55"/>
      <c r="BH901" s="55"/>
      <c r="BI901" s="55"/>
      <c r="BJ901" s="55"/>
      <c r="BK901" s="55"/>
      <c r="BL901" s="55"/>
      <c r="BM901" s="55"/>
      <c r="BN901" s="55"/>
      <c r="BO901" s="55"/>
      <c r="BP901" s="55"/>
      <c r="BQ901" s="55"/>
      <c r="BR901" s="55"/>
      <c r="BS901" s="55"/>
      <c r="BT901" s="55"/>
      <c r="BU901" s="55"/>
      <c r="BV901" s="55"/>
      <c r="BW901" s="55"/>
      <c r="BX901" s="55"/>
      <c r="BY901" s="55"/>
      <c r="BZ901" s="55"/>
      <c r="CI901" s="55"/>
      <c r="CJ901" s="55"/>
      <c r="CK901" s="55"/>
      <c r="CL901" s="55"/>
      <c r="CM901" s="55"/>
      <c r="CN901" s="55"/>
      <c r="CO901" s="55"/>
      <c r="CP901" s="55"/>
      <c r="CQ901" s="55"/>
      <c r="DJ901" s="55"/>
      <c r="DK901" s="55"/>
      <c r="DL901" s="55"/>
      <c r="DM901" s="55"/>
      <c r="DN901" s="55"/>
      <c r="DO901" s="55"/>
      <c r="DP901" s="55"/>
      <c r="DQ901" s="55"/>
      <c r="DR901" s="55"/>
      <c r="DS901" s="55"/>
      <c r="DT901" s="55"/>
      <c r="DU901" s="55"/>
      <c r="DV901" s="55"/>
    </row>
    <row r="902" spans="1:126" ht="12.75" customHeight="1" x14ac:dyDescent="0.2">
      <c r="A902" s="54"/>
      <c r="B902" s="54"/>
      <c r="C902" s="54"/>
      <c r="D902" s="333" t="s">
        <v>316</v>
      </c>
      <c r="E902" s="333"/>
      <c r="F902" s="333"/>
      <c r="G902" s="333"/>
      <c r="H902" s="333"/>
      <c r="I902" s="333"/>
      <c r="J902" s="333"/>
      <c r="K902" s="333"/>
      <c r="L902" s="333"/>
      <c r="M902" s="333"/>
      <c r="N902" s="333"/>
      <c r="O902" s="333"/>
      <c r="P902" s="333"/>
      <c r="Q902" s="333"/>
      <c r="R902" s="333"/>
      <c r="S902" s="333"/>
      <c r="T902" s="333"/>
      <c r="U902" s="333"/>
      <c r="V902" s="333"/>
      <c r="W902" s="333"/>
      <c r="X902" s="333"/>
      <c r="Y902" s="333"/>
      <c r="Z902" s="333"/>
      <c r="AA902" s="333"/>
      <c r="AB902" s="333"/>
      <c r="AC902" s="333"/>
      <c r="AD902" s="333"/>
      <c r="AE902" s="333"/>
      <c r="AF902" s="333"/>
      <c r="AG902" s="333"/>
      <c r="AH902" s="333"/>
      <c r="AI902" s="333"/>
      <c r="AJ902" s="333"/>
      <c r="AK902" s="175"/>
      <c r="AY902" s="55"/>
      <c r="AZ902" s="55"/>
      <c r="BA902" s="55"/>
      <c r="BB902" s="55"/>
      <c r="BC902" s="55"/>
      <c r="BD902" s="55"/>
      <c r="BE902" s="55"/>
      <c r="BF902" s="55"/>
      <c r="BG902" s="55"/>
      <c r="BH902" s="55"/>
      <c r="BI902" s="55"/>
      <c r="BJ902" s="55"/>
      <c r="BK902" s="55"/>
      <c r="BL902" s="55"/>
      <c r="BM902" s="55"/>
      <c r="BN902" s="55"/>
      <c r="BO902" s="55"/>
      <c r="BP902" s="55"/>
      <c r="BQ902" s="55"/>
      <c r="BR902" s="55"/>
      <c r="BS902" s="55"/>
      <c r="BT902" s="55"/>
      <c r="BU902" s="55"/>
      <c r="BV902" s="55"/>
      <c r="BW902" s="55"/>
      <c r="BX902" s="55"/>
      <c r="BY902" s="55"/>
      <c r="BZ902" s="55"/>
      <c r="CI902" s="55"/>
      <c r="CJ902" s="55"/>
      <c r="CK902" s="55"/>
      <c r="CL902" s="55"/>
      <c r="CM902" s="55"/>
      <c r="CN902" s="55"/>
      <c r="CO902" s="55"/>
      <c r="CP902" s="55"/>
      <c r="CQ902" s="55"/>
      <c r="DJ902" s="55"/>
      <c r="DK902" s="55"/>
      <c r="DL902" s="55"/>
      <c r="DM902" s="55"/>
      <c r="DN902" s="55"/>
      <c r="DO902" s="55"/>
      <c r="DP902" s="55"/>
      <c r="DQ902" s="55"/>
      <c r="DR902" s="55"/>
      <c r="DS902" s="55"/>
      <c r="DT902" s="55"/>
      <c r="DU902" s="55"/>
      <c r="DV902" s="55"/>
    </row>
    <row r="903" spans="1:126" ht="12.75" customHeight="1" x14ac:dyDescent="0.2">
      <c r="A903" s="54"/>
      <c r="B903" s="54"/>
      <c r="C903" s="54"/>
      <c r="D903" s="333" t="s">
        <v>317</v>
      </c>
      <c r="E903" s="333"/>
      <c r="F903" s="333"/>
      <c r="G903" s="333"/>
      <c r="H903" s="333"/>
      <c r="I903" s="333"/>
      <c r="J903" s="333"/>
      <c r="K903" s="333"/>
      <c r="L903" s="333"/>
      <c r="M903" s="333"/>
      <c r="N903" s="333"/>
      <c r="O903" s="333"/>
      <c r="P903" s="333"/>
      <c r="Q903" s="333"/>
      <c r="R903" s="333"/>
      <c r="S903" s="333"/>
      <c r="T903" s="333"/>
      <c r="U903" s="333"/>
      <c r="V903" s="333"/>
      <c r="W903" s="333"/>
      <c r="X903" s="333"/>
      <c r="Y903" s="333"/>
      <c r="Z903" s="333"/>
      <c r="AA903" s="333"/>
      <c r="AB903" s="333"/>
      <c r="AC903" s="333"/>
      <c r="AD903" s="333"/>
      <c r="AE903" s="333"/>
      <c r="AF903" s="333"/>
      <c r="AG903" s="333"/>
      <c r="AH903" s="333"/>
      <c r="AI903" s="333"/>
      <c r="AJ903" s="333"/>
      <c r="AK903" s="175"/>
      <c r="AY903" s="55"/>
      <c r="AZ903" s="55"/>
      <c r="BA903" s="55"/>
      <c r="BB903" s="55"/>
      <c r="BC903" s="55"/>
      <c r="BD903" s="55"/>
      <c r="BE903" s="55"/>
      <c r="BF903" s="55"/>
      <c r="BG903" s="55"/>
      <c r="BH903" s="55"/>
      <c r="BI903" s="55"/>
      <c r="BJ903" s="55"/>
      <c r="BK903" s="55"/>
      <c r="BL903" s="55"/>
      <c r="BM903" s="55"/>
      <c r="BN903" s="55"/>
      <c r="BO903" s="55"/>
      <c r="BP903" s="55"/>
      <c r="BQ903" s="55"/>
      <c r="BR903" s="55"/>
      <c r="BS903" s="55"/>
      <c r="BT903" s="55"/>
      <c r="BU903" s="55"/>
      <c r="BV903" s="55"/>
      <c r="BW903" s="55"/>
      <c r="BX903" s="55"/>
      <c r="BY903" s="55"/>
      <c r="BZ903" s="55"/>
      <c r="CI903" s="55"/>
      <c r="CJ903" s="55"/>
      <c r="CK903" s="55"/>
      <c r="CL903" s="55"/>
      <c r="CM903" s="55"/>
      <c r="CN903" s="55"/>
      <c r="CO903" s="55"/>
      <c r="CP903" s="55"/>
      <c r="CQ903" s="55"/>
      <c r="DJ903" s="55"/>
      <c r="DK903" s="55"/>
      <c r="DL903" s="55"/>
      <c r="DM903" s="55"/>
      <c r="DN903" s="55"/>
      <c r="DO903" s="55"/>
      <c r="DP903" s="55"/>
      <c r="DQ903" s="55"/>
      <c r="DR903" s="55"/>
      <c r="DS903" s="55"/>
      <c r="DT903" s="55"/>
      <c r="DU903" s="55"/>
      <c r="DV903" s="55"/>
    </row>
    <row r="904" spans="1:126" ht="12.75" customHeight="1" x14ac:dyDescent="0.2">
      <c r="A904" s="54"/>
      <c r="B904" s="54"/>
      <c r="C904" s="54"/>
      <c r="D904" s="333" t="s">
        <v>318</v>
      </c>
      <c r="E904" s="333"/>
      <c r="F904" s="333"/>
      <c r="G904" s="333"/>
      <c r="H904" s="333"/>
      <c r="I904" s="333"/>
      <c r="J904" s="333"/>
      <c r="K904" s="333"/>
      <c r="L904" s="333"/>
      <c r="M904" s="333"/>
      <c r="N904" s="333"/>
      <c r="O904" s="333"/>
      <c r="P904" s="333"/>
      <c r="Q904" s="333"/>
      <c r="R904" s="333"/>
      <c r="S904" s="333"/>
      <c r="T904" s="333"/>
      <c r="U904" s="333"/>
      <c r="V904" s="333"/>
      <c r="W904" s="333"/>
      <c r="X904" s="333"/>
      <c r="Y904" s="333"/>
      <c r="Z904" s="333"/>
      <c r="AA904" s="333"/>
      <c r="AB904" s="333"/>
      <c r="AC904" s="333"/>
      <c r="AD904" s="333"/>
      <c r="AE904" s="333"/>
      <c r="AF904" s="333"/>
      <c r="AG904" s="333"/>
      <c r="AH904" s="333"/>
      <c r="AI904" s="333"/>
      <c r="AJ904" s="333"/>
      <c r="AK904" s="175"/>
      <c r="AY904" s="55"/>
      <c r="AZ904" s="55"/>
      <c r="BA904" s="55"/>
      <c r="BB904" s="55"/>
      <c r="BC904" s="55"/>
      <c r="BD904" s="55"/>
      <c r="BE904" s="55"/>
      <c r="BF904" s="55"/>
      <c r="BG904" s="55"/>
      <c r="BH904" s="55"/>
      <c r="BI904" s="55"/>
      <c r="BJ904" s="55"/>
      <c r="BK904" s="55"/>
      <c r="BL904" s="55"/>
      <c r="BM904" s="55"/>
      <c r="BN904" s="55"/>
      <c r="BO904" s="55"/>
      <c r="BP904" s="55"/>
      <c r="BQ904" s="55"/>
      <c r="BR904" s="55"/>
      <c r="BS904" s="55"/>
      <c r="BT904" s="55"/>
      <c r="BU904" s="55"/>
      <c r="BV904" s="55"/>
      <c r="BW904" s="55"/>
      <c r="BX904" s="55"/>
      <c r="BY904" s="55"/>
      <c r="BZ904" s="55"/>
      <c r="CI904" s="55"/>
      <c r="CJ904" s="55"/>
      <c r="CK904" s="55"/>
      <c r="CL904" s="55"/>
      <c r="CM904" s="55"/>
      <c r="CN904" s="55"/>
      <c r="CO904" s="55"/>
      <c r="CP904" s="55"/>
      <c r="CQ904" s="55"/>
      <c r="DJ904" s="55"/>
      <c r="DK904" s="55"/>
      <c r="DL904" s="55"/>
      <c r="DM904" s="55"/>
      <c r="DN904" s="55"/>
      <c r="DO904" s="55"/>
      <c r="DP904" s="55"/>
      <c r="DQ904" s="55"/>
      <c r="DR904" s="55"/>
      <c r="DS904" s="55"/>
      <c r="DT904" s="55"/>
      <c r="DU904" s="55"/>
      <c r="DV904" s="55"/>
    </row>
    <row r="905" spans="1:126" ht="12.75" customHeight="1" x14ac:dyDescent="0.2">
      <c r="A905" s="54"/>
      <c r="B905" s="54"/>
      <c r="C905" s="54"/>
      <c r="D905" s="333" t="s">
        <v>319</v>
      </c>
      <c r="E905" s="333"/>
      <c r="F905" s="333"/>
      <c r="G905" s="333"/>
      <c r="H905" s="333"/>
      <c r="I905" s="333"/>
      <c r="J905" s="333"/>
      <c r="K905" s="333"/>
      <c r="L905" s="333"/>
      <c r="M905" s="333"/>
      <c r="N905" s="333"/>
      <c r="O905" s="333"/>
      <c r="P905" s="333"/>
      <c r="Q905" s="333"/>
      <c r="R905" s="333"/>
      <c r="S905" s="333"/>
      <c r="T905" s="333"/>
      <c r="U905" s="333"/>
      <c r="V905" s="333"/>
      <c r="W905" s="333"/>
      <c r="X905" s="333"/>
      <c r="Y905" s="333"/>
      <c r="Z905" s="333"/>
      <c r="AA905" s="333"/>
      <c r="AB905" s="333"/>
      <c r="AC905" s="333"/>
      <c r="AD905" s="333"/>
      <c r="AE905" s="333"/>
      <c r="AF905" s="333"/>
      <c r="AG905" s="333"/>
      <c r="AH905" s="333"/>
      <c r="AI905" s="333"/>
      <c r="AJ905" s="333"/>
      <c r="AK905" s="175"/>
      <c r="AY905" s="55"/>
      <c r="AZ905" s="55"/>
      <c r="BA905" s="55"/>
      <c r="BB905" s="55"/>
      <c r="BC905" s="55"/>
      <c r="BD905" s="55"/>
      <c r="BE905" s="55"/>
      <c r="BF905" s="55"/>
      <c r="BG905" s="55"/>
      <c r="BH905" s="55"/>
      <c r="BI905" s="55"/>
      <c r="BJ905" s="55"/>
      <c r="BK905" s="55"/>
      <c r="BL905" s="55"/>
      <c r="BM905" s="55"/>
      <c r="BN905" s="55"/>
      <c r="BO905" s="55"/>
      <c r="BP905" s="55"/>
      <c r="BQ905" s="55"/>
      <c r="BR905" s="55"/>
      <c r="BS905" s="55"/>
      <c r="BT905" s="55"/>
      <c r="BU905" s="55"/>
      <c r="BV905" s="55"/>
      <c r="BW905" s="55"/>
      <c r="BX905" s="55"/>
      <c r="BY905" s="55"/>
      <c r="BZ905" s="55"/>
      <c r="CI905" s="55"/>
      <c r="CJ905" s="55"/>
      <c r="CK905" s="55"/>
      <c r="CL905" s="55"/>
      <c r="CM905" s="55"/>
      <c r="CN905" s="55"/>
      <c r="CO905" s="55"/>
      <c r="CP905" s="55"/>
      <c r="CQ905" s="55"/>
      <c r="DJ905" s="55"/>
      <c r="DK905" s="55"/>
      <c r="DL905" s="55"/>
      <c r="DM905" s="55"/>
      <c r="DN905" s="55"/>
      <c r="DO905" s="55"/>
      <c r="DP905" s="55"/>
      <c r="DQ905" s="55"/>
      <c r="DR905" s="55"/>
      <c r="DS905" s="55"/>
      <c r="DT905" s="55"/>
      <c r="DU905" s="55"/>
      <c r="DV905" s="55"/>
    </row>
    <row r="906" spans="1:126" ht="12.75" customHeight="1" x14ac:dyDescent="0.2">
      <c r="A906" s="54"/>
      <c r="B906" s="54"/>
      <c r="C906" s="54"/>
      <c r="D906" s="333" t="s">
        <v>320</v>
      </c>
      <c r="E906" s="333"/>
      <c r="F906" s="333"/>
      <c r="G906" s="333"/>
      <c r="H906" s="333"/>
      <c r="I906" s="333"/>
      <c r="J906" s="333"/>
      <c r="K906" s="333"/>
      <c r="L906" s="333"/>
      <c r="M906" s="333"/>
      <c r="N906" s="333"/>
      <c r="O906" s="333"/>
      <c r="P906" s="333"/>
      <c r="Q906" s="333"/>
      <c r="R906" s="333"/>
      <c r="S906" s="333"/>
      <c r="T906" s="333"/>
      <c r="U906" s="333"/>
      <c r="V906" s="333"/>
      <c r="W906" s="333"/>
      <c r="X906" s="333"/>
      <c r="Y906" s="333"/>
      <c r="Z906" s="333"/>
      <c r="AA906" s="333"/>
      <c r="AB906" s="333"/>
      <c r="AC906" s="333"/>
      <c r="AD906" s="333"/>
      <c r="AE906" s="333"/>
      <c r="AF906" s="333"/>
      <c r="AG906" s="333"/>
      <c r="AH906" s="333"/>
      <c r="AI906" s="333"/>
      <c r="AJ906" s="333"/>
      <c r="AK906" s="175"/>
      <c r="AY906" s="55"/>
      <c r="AZ906" s="55"/>
      <c r="BA906" s="55"/>
      <c r="BB906" s="55"/>
      <c r="BC906" s="55"/>
      <c r="BD906" s="55"/>
      <c r="BE906" s="55"/>
      <c r="BF906" s="55"/>
      <c r="BG906" s="55"/>
      <c r="BH906" s="55"/>
      <c r="BI906" s="55"/>
      <c r="BJ906" s="55"/>
      <c r="BK906" s="55"/>
      <c r="BL906" s="55"/>
      <c r="BM906" s="55"/>
      <c r="BN906" s="55"/>
      <c r="BO906" s="55"/>
      <c r="BP906" s="55"/>
      <c r="BQ906" s="55"/>
      <c r="BR906" s="55"/>
      <c r="BS906" s="55"/>
      <c r="BT906" s="55"/>
      <c r="BU906" s="55"/>
      <c r="BV906" s="55"/>
      <c r="BW906" s="55"/>
      <c r="BX906" s="55"/>
      <c r="BY906" s="55"/>
      <c r="BZ906" s="55"/>
      <c r="CI906" s="55"/>
      <c r="CJ906" s="55"/>
      <c r="CK906" s="55"/>
      <c r="CL906" s="55"/>
      <c r="CM906" s="55"/>
      <c r="CN906" s="55"/>
      <c r="CO906" s="55"/>
      <c r="CP906" s="55"/>
      <c r="CQ906" s="55"/>
      <c r="DJ906" s="55"/>
      <c r="DK906" s="55"/>
      <c r="DL906" s="55"/>
      <c r="DM906" s="55"/>
      <c r="DN906" s="55"/>
      <c r="DO906" s="55"/>
      <c r="DP906" s="55"/>
      <c r="DQ906" s="55"/>
      <c r="DR906" s="55"/>
      <c r="DS906" s="55"/>
      <c r="DT906" s="55"/>
      <c r="DU906" s="55"/>
      <c r="DV906" s="55"/>
    </row>
    <row r="907" spans="1:126" ht="12.75" customHeight="1" x14ac:dyDescent="0.2">
      <c r="A907" s="54"/>
      <c r="B907" s="54"/>
      <c r="C907" s="54"/>
      <c r="D907" s="333" t="s">
        <v>321</v>
      </c>
      <c r="E907" s="333"/>
      <c r="F907" s="333"/>
      <c r="G907" s="333"/>
      <c r="H907" s="333"/>
      <c r="I907" s="333"/>
      <c r="J907" s="333"/>
      <c r="K907" s="333"/>
      <c r="L907" s="333"/>
      <c r="M907" s="333"/>
      <c r="N907" s="333"/>
      <c r="O907" s="333"/>
      <c r="P907" s="333"/>
      <c r="Q907" s="333"/>
      <c r="R907" s="333"/>
      <c r="S907" s="333"/>
      <c r="T907" s="333"/>
      <c r="U907" s="333"/>
      <c r="V907" s="333"/>
      <c r="W907" s="333"/>
      <c r="X907" s="333"/>
      <c r="Y907" s="333"/>
      <c r="Z907" s="333"/>
      <c r="AA907" s="333"/>
      <c r="AB907" s="333"/>
      <c r="AC907" s="333"/>
      <c r="AD907" s="333"/>
      <c r="AE907" s="333"/>
      <c r="AF907" s="333"/>
      <c r="AG907" s="333"/>
      <c r="AH907" s="333"/>
      <c r="AI907" s="333"/>
      <c r="AJ907" s="333"/>
      <c r="AK907" s="175"/>
      <c r="AY907" s="55"/>
      <c r="AZ907" s="55"/>
      <c r="BA907" s="55"/>
      <c r="BB907" s="55"/>
      <c r="BC907" s="55"/>
      <c r="BD907" s="55"/>
      <c r="BE907" s="55"/>
      <c r="BF907" s="55"/>
      <c r="BG907" s="55"/>
      <c r="BH907" s="55"/>
      <c r="BI907" s="55"/>
      <c r="BJ907" s="55"/>
      <c r="BK907" s="55"/>
      <c r="BL907" s="55"/>
      <c r="BM907" s="55"/>
      <c r="BN907" s="55"/>
      <c r="BO907" s="55"/>
      <c r="BP907" s="55"/>
      <c r="BQ907" s="55"/>
      <c r="BR907" s="55"/>
      <c r="BS907" s="55"/>
      <c r="BT907" s="55"/>
      <c r="BU907" s="55"/>
      <c r="BV907" s="55"/>
      <c r="BW907" s="55"/>
      <c r="BX907" s="55"/>
      <c r="BY907" s="55"/>
      <c r="BZ907" s="55"/>
      <c r="CI907" s="55"/>
      <c r="CJ907" s="55"/>
      <c r="CK907" s="55"/>
      <c r="CL907" s="55"/>
      <c r="CM907" s="55"/>
      <c r="CN907" s="55"/>
      <c r="CO907" s="55"/>
      <c r="CP907" s="55"/>
      <c r="CQ907" s="55"/>
      <c r="DJ907" s="55"/>
      <c r="DK907" s="55"/>
      <c r="DL907" s="55"/>
      <c r="DM907" s="55"/>
      <c r="DN907" s="55"/>
      <c r="DO907" s="55"/>
      <c r="DP907" s="55"/>
      <c r="DQ907" s="55"/>
      <c r="DR907" s="55"/>
      <c r="DS907" s="55"/>
      <c r="DT907" s="55"/>
      <c r="DU907" s="55"/>
      <c r="DV907" s="55"/>
    </row>
    <row r="908" spans="1:126" ht="12.75" customHeight="1" x14ac:dyDescent="0.2">
      <c r="A908" s="54"/>
      <c r="B908" s="54"/>
      <c r="C908" s="54"/>
      <c r="D908" s="333" t="s">
        <v>322</v>
      </c>
      <c r="E908" s="333"/>
      <c r="F908" s="333"/>
      <c r="G908" s="333"/>
      <c r="H908" s="333"/>
      <c r="I908" s="333"/>
      <c r="J908" s="333"/>
      <c r="K908" s="333"/>
      <c r="L908" s="333"/>
      <c r="M908" s="333"/>
      <c r="N908" s="333"/>
      <c r="O908" s="333"/>
      <c r="P908" s="333"/>
      <c r="Q908" s="333"/>
      <c r="R908" s="333"/>
      <c r="S908" s="333"/>
      <c r="T908" s="333"/>
      <c r="U908" s="333"/>
      <c r="V908" s="333"/>
      <c r="W908" s="333"/>
      <c r="X908" s="333"/>
      <c r="Y908" s="333"/>
      <c r="Z908" s="333"/>
      <c r="AA908" s="333"/>
      <c r="AB908" s="333"/>
      <c r="AC908" s="333"/>
      <c r="AD908" s="333"/>
      <c r="AE908" s="333"/>
      <c r="AF908" s="333"/>
      <c r="AG908" s="333"/>
      <c r="AH908" s="333"/>
      <c r="AI908" s="333"/>
      <c r="AJ908" s="333"/>
      <c r="AK908" s="175"/>
      <c r="AY908" s="55"/>
      <c r="AZ908" s="55"/>
      <c r="BA908" s="55"/>
      <c r="BB908" s="55"/>
      <c r="BC908" s="55"/>
      <c r="BD908" s="55"/>
      <c r="BE908" s="55"/>
      <c r="BF908" s="55"/>
      <c r="BG908" s="55"/>
      <c r="BH908" s="55"/>
      <c r="BI908" s="55"/>
      <c r="BJ908" s="55"/>
      <c r="BK908" s="55"/>
      <c r="BL908" s="55"/>
      <c r="BM908" s="55"/>
      <c r="BN908" s="55"/>
      <c r="BO908" s="55"/>
      <c r="BP908" s="55"/>
      <c r="BQ908" s="55"/>
      <c r="BR908" s="55"/>
      <c r="BS908" s="55"/>
      <c r="BT908" s="55"/>
      <c r="BU908" s="55"/>
      <c r="BV908" s="55"/>
      <c r="BW908" s="55"/>
      <c r="BX908" s="55"/>
      <c r="BY908" s="55"/>
      <c r="BZ908" s="55"/>
      <c r="CI908" s="55"/>
      <c r="CJ908" s="55"/>
      <c r="CK908" s="55"/>
      <c r="CL908" s="55"/>
      <c r="CM908" s="55"/>
      <c r="CN908" s="55"/>
      <c r="CO908" s="55"/>
      <c r="CP908" s="55"/>
      <c r="CQ908" s="55"/>
      <c r="DJ908" s="55"/>
      <c r="DK908" s="55"/>
      <c r="DL908" s="55"/>
      <c r="DM908" s="55"/>
      <c r="DN908" s="55"/>
      <c r="DO908" s="55"/>
      <c r="DP908" s="55"/>
      <c r="DQ908" s="55"/>
      <c r="DR908" s="55"/>
      <c r="DS908" s="55"/>
      <c r="DT908" s="55"/>
      <c r="DU908" s="55"/>
      <c r="DV908" s="55"/>
    </row>
    <row r="909" spans="1:126" ht="12.75" customHeight="1" x14ac:dyDescent="0.2">
      <c r="A909" s="54"/>
      <c r="B909" s="54"/>
      <c r="C909" s="54"/>
      <c r="D909" s="333" t="s">
        <v>323</v>
      </c>
      <c r="E909" s="333"/>
      <c r="F909" s="333"/>
      <c r="G909" s="333"/>
      <c r="H909" s="333"/>
      <c r="I909" s="333"/>
      <c r="J909" s="333"/>
      <c r="K909" s="333"/>
      <c r="L909" s="333"/>
      <c r="M909" s="333"/>
      <c r="N909" s="333"/>
      <c r="O909" s="333"/>
      <c r="P909" s="333"/>
      <c r="Q909" s="333"/>
      <c r="R909" s="333"/>
      <c r="S909" s="333"/>
      <c r="T909" s="333"/>
      <c r="U909" s="333"/>
      <c r="V909" s="333"/>
      <c r="W909" s="333"/>
      <c r="X909" s="333"/>
      <c r="Y909" s="333"/>
      <c r="Z909" s="333"/>
      <c r="AA909" s="333"/>
      <c r="AB909" s="333"/>
      <c r="AC909" s="333"/>
      <c r="AD909" s="333"/>
      <c r="AE909" s="333"/>
      <c r="AF909" s="333"/>
      <c r="AG909" s="333"/>
      <c r="AH909" s="333"/>
      <c r="AI909" s="333"/>
      <c r="AJ909" s="333"/>
      <c r="AK909" s="175"/>
      <c r="AY909" s="55"/>
      <c r="AZ909" s="55"/>
      <c r="BA909" s="55"/>
      <c r="BB909" s="55"/>
      <c r="BC909" s="55"/>
      <c r="BD909" s="55"/>
      <c r="BE909" s="55"/>
      <c r="BF909" s="55"/>
      <c r="BG909" s="55"/>
      <c r="BH909" s="55"/>
      <c r="BI909" s="55"/>
      <c r="BJ909" s="55"/>
      <c r="BK909" s="55"/>
      <c r="BL909" s="55"/>
      <c r="BM909" s="55"/>
      <c r="BN909" s="55"/>
      <c r="BO909" s="55"/>
      <c r="BP909" s="55"/>
      <c r="BQ909" s="55"/>
      <c r="BR909" s="55"/>
      <c r="BS909" s="55"/>
      <c r="BT909" s="55"/>
      <c r="BU909" s="55"/>
      <c r="BV909" s="55"/>
      <c r="BW909" s="55"/>
      <c r="BX909" s="55"/>
      <c r="BY909" s="55"/>
      <c r="BZ909" s="55"/>
      <c r="CI909" s="55"/>
      <c r="CJ909" s="55"/>
      <c r="CK909" s="55"/>
      <c r="CL909" s="55"/>
      <c r="CM909" s="55"/>
      <c r="CN909" s="55"/>
      <c r="CO909" s="55"/>
      <c r="CP909" s="55"/>
      <c r="CQ909" s="55"/>
      <c r="DJ909" s="55"/>
      <c r="DK909" s="55"/>
      <c r="DL909" s="55"/>
      <c r="DM909" s="55"/>
      <c r="DN909" s="55"/>
      <c r="DO909" s="55"/>
      <c r="DP909" s="55"/>
      <c r="DQ909" s="55"/>
      <c r="DR909" s="55"/>
      <c r="DS909" s="55"/>
      <c r="DT909" s="55"/>
      <c r="DU909" s="55"/>
      <c r="DV909" s="55"/>
    </row>
    <row r="910" spans="1:126" ht="12.75" customHeight="1" x14ac:dyDescent="0.2">
      <c r="A910" s="54"/>
      <c r="B910" s="54"/>
      <c r="C910" s="54"/>
      <c r="D910" s="333" t="s">
        <v>324</v>
      </c>
      <c r="E910" s="333"/>
      <c r="F910" s="333"/>
      <c r="G910" s="333"/>
      <c r="H910" s="333"/>
      <c r="I910" s="333"/>
      <c r="J910" s="333"/>
      <c r="K910" s="333"/>
      <c r="L910" s="333"/>
      <c r="M910" s="333"/>
      <c r="N910" s="333"/>
      <c r="O910" s="333"/>
      <c r="P910" s="333"/>
      <c r="Q910" s="333"/>
      <c r="R910" s="333"/>
      <c r="S910" s="333"/>
      <c r="T910" s="333"/>
      <c r="U910" s="333"/>
      <c r="V910" s="333"/>
      <c r="W910" s="333"/>
      <c r="X910" s="333"/>
      <c r="Y910" s="333"/>
      <c r="Z910" s="333"/>
      <c r="AA910" s="333"/>
      <c r="AB910" s="333"/>
      <c r="AC910" s="333"/>
      <c r="AD910" s="333"/>
      <c r="AE910" s="333"/>
      <c r="AF910" s="333"/>
      <c r="AG910" s="333"/>
      <c r="AH910" s="333"/>
      <c r="AI910" s="333"/>
      <c r="AJ910" s="333"/>
      <c r="AK910" s="175"/>
      <c r="AY910" s="55"/>
      <c r="AZ910" s="55"/>
      <c r="BA910" s="55"/>
      <c r="BB910" s="55"/>
      <c r="BC910" s="55"/>
      <c r="BD910" s="55"/>
      <c r="BE910" s="55"/>
      <c r="BF910" s="55"/>
      <c r="BG910" s="55"/>
      <c r="BH910" s="55"/>
      <c r="BI910" s="55"/>
      <c r="BJ910" s="55"/>
      <c r="BK910" s="55"/>
      <c r="BL910" s="55"/>
      <c r="BM910" s="55"/>
      <c r="BN910" s="55"/>
      <c r="BO910" s="55"/>
      <c r="BP910" s="55"/>
      <c r="BQ910" s="55"/>
      <c r="BR910" s="55"/>
      <c r="BS910" s="55"/>
      <c r="BT910" s="55"/>
      <c r="BU910" s="55"/>
      <c r="BV910" s="55"/>
      <c r="BW910" s="55"/>
      <c r="BX910" s="55"/>
      <c r="BY910" s="55"/>
      <c r="BZ910" s="55"/>
      <c r="CI910" s="55"/>
      <c r="CJ910" s="55"/>
      <c r="CK910" s="55"/>
      <c r="CL910" s="55"/>
      <c r="CM910" s="55"/>
      <c r="CN910" s="55"/>
      <c r="CO910" s="55"/>
      <c r="CP910" s="55"/>
      <c r="CQ910" s="55"/>
      <c r="DJ910" s="55"/>
      <c r="DK910" s="55"/>
      <c r="DL910" s="55"/>
      <c r="DM910" s="55"/>
      <c r="DN910" s="55"/>
      <c r="DO910" s="55"/>
      <c r="DP910" s="55"/>
      <c r="DQ910" s="55"/>
      <c r="DR910" s="55"/>
      <c r="DS910" s="55"/>
      <c r="DT910" s="55"/>
      <c r="DU910" s="55"/>
      <c r="DV910" s="55"/>
    </row>
    <row r="911" spans="1:126" ht="12.75" customHeight="1" x14ac:dyDescent="0.2">
      <c r="A911" s="54"/>
      <c r="B911" s="54"/>
      <c r="C911" s="54"/>
      <c r="D911" s="333" t="s">
        <v>325</v>
      </c>
      <c r="E911" s="333"/>
      <c r="F911" s="333"/>
      <c r="G911" s="333"/>
      <c r="H911" s="333"/>
      <c r="I911" s="333"/>
      <c r="J911" s="333"/>
      <c r="K911" s="333"/>
      <c r="L911" s="333"/>
      <c r="M911" s="333"/>
      <c r="N911" s="333"/>
      <c r="O911" s="333"/>
      <c r="P911" s="333"/>
      <c r="Q911" s="333"/>
      <c r="R911" s="333"/>
      <c r="S911" s="333"/>
      <c r="T911" s="333"/>
      <c r="U911" s="333"/>
      <c r="V911" s="333"/>
      <c r="W911" s="333"/>
      <c r="X911" s="333"/>
      <c r="Y911" s="333"/>
      <c r="Z911" s="333"/>
      <c r="AA911" s="333"/>
      <c r="AB911" s="333"/>
      <c r="AC911" s="333"/>
      <c r="AD911" s="333"/>
      <c r="AE911" s="333"/>
      <c r="AF911" s="333"/>
      <c r="AG911" s="333"/>
      <c r="AH911" s="333"/>
      <c r="AI911" s="333"/>
      <c r="AJ911" s="333"/>
      <c r="AK911" s="175"/>
      <c r="AY911" s="55"/>
      <c r="AZ911" s="55"/>
      <c r="BA911" s="55"/>
      <c r="BB911" s="55"/>
      <c r="BC911" s="55"/>
      <c r="BD911" s="55"/>
      <c r="BE911" s="55"/>
      <c r="BF911" s="55"/>
      <c r="BG911" s="55"/>
      <c r="BH911" s="55"/>
      <c r="BI911" s="55"/>
      <c r="BJ911" s="55"/>
      <c r="BK911" s="55"/>
      <c r="BL911" s="55"/>
      <c r="BM911" s="55"/>
      <c r="BN911" s="55"/>
      <c r="BO911" s="55"/>
      <c r="BP911" s="55"/>
      <c r="BQ911" s="55"/>
      <c r="BR911" s="55"/>
      <c r="BS911" s="55"/>
      <c r="BT911" s="55"/>
      <c r="BU911" s="55"/>
      <c r="BV911" s="55"/>
      <c r="BW911" s="55"/>
      <c r="BX911" s="55"/>
      <c r="BY911" s="55"/>
      <c r="BZ911" s="55"/>
      <c r="CI911" s="55"/>
      <c r="CJ911" s="55"/>
      <c r="CK911" s="55"/>
      <c r="CL911" s="55"/>
      <c r="CM911" s="55"/>
      <c r="CN911" s="55"/>
      <c r="CO911" s="55"/>
      <c r="CP911" s="55"/>
      <c r="CQ911" s="55"/>
      <c r="DJ911" s="55"/>
      <c r="DK911" s="55"/>
      <c r="DL911" s="55"/>
      <c r="DM911" s="55"/>
      <c r="DN911" s="55"/>
      <c r="DO911" s="55"/>
      <c r="DP911" s="55"/>
      <c r="DQ911" s="55"/>
      <c r="DR911" s="55"/>
      <c r="DS911" s="55"/>
      <c r="DT911" s="55"/>
      <c r="DU911" s="55"/>
      <c r="DV911" s="55"/>
    </row>
    <row r="912" spans="1:126" ht="12.75" customHeight="1" x14ac:dyDescent="0.2">
      <c r="A912" s="54"/>
      <c r="B912" s="54"/>
      <c r="C912" s="54"/>
      <c r="D912" s="324" t="s">
        <v>725</v>
      </c>
      <c r="E912" s="333"/>
      <c r="F912" s="333"/>
      <c r="G912" s="333"/>
      <c r="H912" s="333"/>
      <c r="I912" s="333"/>
      <c r="J912" s="333"/>
      <c r="K912" s="333"/>
      <c r="L912" s="333"/>
      <c r="M912" s="333"/>
      <c r="N912" s="333"/>
      <c r="O912" s="333"/>
      <c r="P912" s="333"/>
      <c r="Q912" s="333"/>
      <c r="R912" s="333"/>
      <c r="S912" s="333"/>
      <c r="T912" s="333"/>
      <c r="U912" s="333"/>
      <c r="V912" s="333"/>
      <c r="W912" s="333"/>
      <c r="X912" s="333"/>
      <c r="Y912" s="333"/>
      <c r="Z912" s="333"/>
      <c r="AA912" s="333"/>
      <c r="AB912" s="333"/>
      <c r="AC912" s="333"/>
      <c r="AD912" s="333"/>
      <c r="AE912" s="333"/>
      <c r="AF912" s="333"/>
      <c r="AG912" s="333"/>
      <c r="AH912" s="333"/>
      <c r="AI912" s="333"/>
      <c r="AJ912" s="333"/>
      <c r="AK912" s="175"/>
      <c r="AY912" s="55"/>
      <c r="AZ912" s="55"/>
      <c r="BA912" s="55"/>
      <c r="BB912" s="55"/>
      <c r="BC912" s="55"/>
      <c r="BD912" s="55"/>
      <c r="BE912" s="55"/>
      <c r="BF912" s="55"/>
      <c r="BG912" s="55"/>
      <c r="BH912" s="55"/>
      <c r="BI912" s="55"/>
      <c r="BJ912" s="55"/>
      <c r="BK912" s="55"/>
      <c r="BL912" s="55"/>
      <c r="BM912" s="55"/>
      <c r="BN912" s="55"/>
      <c r="BO912" s="55"/>
      <c r="BP912" s="55"/>
      <c r="BQ912" s="55"/>
      <c r="BR912" s="55"/>
      <c r="BS912" s="55"/>
      <c r="BT912" s="55"/>
      <c r="BU912" s="55"/>
      <c r="BV912" s="55"/>
      <c r="BW912" s="55"/>
      <c r="BX912" s="55"/>
      <c r="BY912" s="55"/>
      <c r="BZ912" s="55"/>
      <c r="CI912" s="55"/>
      <c r="CJ912" s="55"/>
      <c r="CK912" s="55"/>
      <c r="CL912" s="55"/>
      <c r="CM912" s="55"/>
      <c r="CN912" s="55"/>
      <c r="CO912" s="55"/>
      <c r="CP912" s="55"/>
      <c r="CQ912" s="55"/>
      <c r="DJ912" s="55"/>
      <c r="DK912" s="55"/>
      <c r="DL912" s="55"/>
      <c r="DM912" s="55"/>
      <c r="DN912" s="55"/>
      <c r="DO912" s="55"/>
      <c r="DP912" s="55"/>
      <c r="DQ912" s="55"/>
      <c r="DR912" s="55"/>
      <c r="DS912" s="55"/>
      <c r="DT912" s="55"/>
      <c r="DU912" s="55"/>
      <c r="DV912" s="55"/>
    </row>
    <row r="913" spans="1:310" ht="12.75" x14ac:dyDescent="0.2">
      <c r="A913" s="54"/>
      <c r="B913" s="54"/>
      <c r="C913" s="54"/>
      <c r="D913" s="54"/>
      <c r="E913" s="54"/>
      <c r="F913" s="54"/>
      <c r="G913" s="54"/>
      <c r="H913" s="54"/>
      <c r="I913" s="54"/>
      <c r="J913" s="54"/>
      <c r="K913" s="54"/>
      <c r="L913" s="54"/>
      <c r="M913" s="54"/>
      <c r="N913" s="54"/>
      <c r="O913" s="54"/>
      <c r="P913" s="54"/>
      <c r="Q913" s="54"/>
      <c r="R913" s="54"/>
      <c r="S913" s="54"/>
      <c r="T913" s="54"/>
      <c r="U913" s="54"/>
      <c r="V913" s="54"/>
      <c r="W913" s="54"/>
      <c r="X913" s="54"/>
      <c r="Y913" s="54"/>
      <c r="Z913" s="54"/>
      <c r="AY913" s="55"/>
      <c r="AZ913" s="55"/>
      <c r="BA913" s="55"/>
      <c r="BB913" s="55"/>
      <c r="BC913" s="55"/>
      <c r="BD913" s="55"/>
      <c r="BE913" s="55"/>
      <c r="BF913" s="55"/>
      <c r="BG913" s="55"/>
      <c r="BH913" s="55"/>
      <c r="BI913" s="55"/>
      <c r="BJ913" s="55"/>
      <c r="BK913" s="55"/>
      <c r="BL913" s="55"/>
      <c r="BM913" s="55"/>
      <c r="BN913" s="55"/>
      <c r="BO913" s="55"/>
      <c r="BP913" s="55"/>
      <c r="BQ913" s="55"/>
      <c r="BR913" s="55"/>
      <c r="BS913" s="55"/>
      <c r="BT913" s="55"/>
      <c r="BU913" s="55"/>
      <c r="BV913" s="55"/>
      <c r="BW913" s="55"/>
      <c r="BX913" s="55"/>
      <c r="BY913" s="55"/>
      <c r="BZ913" s="55"/>
      <c r="CI913" s="55"/>
      <c r="CJ913" s="55"/>
      <c r="CK913" s="55"/>
      <c r="CL913" s="55"/>
      <c r="CM913" s="55"/>
      <c r="CN913" s="55"/>
      <c r="CO913" s="55"/>
      <c r="CP913" s="55"/>
      <c r="CQ913" s="55"/>
      <c r="DJ913" s="55"/>
      <c r="DK913" s="55"/>
      <c r="DL913" s="55"/>
      <c r="DM913" s="55"/>
      <c r="DN913" s="55"/>
      <c r="DO913" s="55"/>
      <c r="DP913" s="55"/>
      <c r="DQ913" s="55"/>
      <c r="DR913" s="55"/>
      <c r="DS913" s="55"/>
      <c r="DT913" s="55"/>
      <c r="DU913" s="55"/>
      <c r="DV913" s="55"/>
    </row>
    <row r="914" spans="1:310" ht="12.75" x14ac:dyDescent="0.2">
      <c r="A914" s="54"/>
      <c r="B914" s="54"/>
      <c r="C914" s="54"/>
      <c r="D914" s="54"/>
      <c r="E914" s="54"/>
      <c r="F914" s="54"/>
      <c r="G914" s="54"/>
      <c r="H914" s="54"/>
      <c r="I914" s="54"/>
      <c r="J914" s="54"/>
      <c r="K914" s="54"/>
      <c r="L914" s="54"/>
      <c r="M914" s="54"/>
      <c r="N914" s="54"/>
      <c r="O914" s="54"/>
      <c r="P914" s="54"/>
      <c r="Q914" s="54"/>
      <c r="R914" s="54"/>
      <c r="S914" s="54"/>
      <c r="T914" s="54"/>
      <c r="U914" s="54"/>
      <c r="V914" s="54"/>
      <c r="W914" s="54"/>
      <c r="X914" s="54"/>
      <c r="Y914" s="54"/>
      <c r="Z914" s="54"/>
      <c r="AY914" s="55"/>
      <c r="AZ914" s="55"/>
      <c r="BA914" s="55"/>
      <c r="BB914" s="55"/>
      <c r="BC914" s="55"/>
      <c r="BD914" s="55"/>
      <c r="BE914" s="55"/>
      <c r="BF914" s="55"/>
      <c r="BG914" s="55"/>
      <c r="BH914" s="55"/>
      <c r="BI914" s="55"/>
      <c r="BJ914" s="55"/>
      <c r="BK914" s="55"/>
      <c r="BL914" s="55"/>
      <c r="BM914" s="55"/>
      <c r="BN914" s="55"/>
      <c r="BO914" s="55"/>
      <c r="BP914" s="55"/>
      <c r="BQ914" s="55"/>
      <c r="BR914" s="55"/>
      <c r="BS914" s="55"/>
      <c r="BT914" s="55"/>
      <c r="BU914" s="55"/>
      <c r="BV914" s="55"/>
      <c r="BW914" s="55"/>
      <c r="BX914" s="55"/>
      <c r="BY914" s="55"/>
      <c r="BZ914" s="55"/>
      <c r="CI914" s="55"/>
      <c r="CJ914" s="55"/>
      <c r="CK914" s="55"/>
      <c r="CL914" s="55"/>
      <c r="CM914" s="55"/>
      <c r="CN914" s="55"/>
      <c r="CO914" s="55"/>
      <c r="CP914" s="55"/>
      <c r="CQ914" s="55"/>
      <c r="DJ914" s="55"/>
      <c r="DK914" s="55"/>
      <c r="DL914" s="55"/>
      <c r="DM914" s="55"/>
      <c r="DN914" s="55"/>
      <c r="DO914" s="55"/>
      <c r="DP914" s="55"/>
      <c r="DQ914" s="55"/>
      <c r="DR914" s="55"/>
      <c r="DS914" s="55"/>
      <c r="DT914" s="55"/>
      <c r="DU914" s="55"/>
      <c r="DV914" s="55"/>
    </row>
    <row r="915" spans="1:310" ht="15" x14ac:dyDescent="0.2">
      <c r="A915" s="54"/>
      <c r="B915" s="248" t="str">
        <f>IF($O$61="Postinstalado","4.2. ANCLAJES  POST-INSTALADOS",IF($O$61="Embebido","4.2. ANCLAJES  EMBEBIDOS","4.2. ELEMENTOS DE ANCLAJE"))</f>
        <v>4.2. ANCLAJES  POST-INSTALADOS</v>
      </c>
      <c r="C915" s="248"/>
      <c r="D915" s="248"/>
      <c r="E915" s="248"/>
      <c r="F915" s="248"/>
      <c r="G915" s="248"/>
      <c r="H915" s="248"/>
      <c r="I915" s="248"/>
      <c r="J915" s="248"/>
      <c r="K915" s="248"/>
      <c r="L915" s="248"/>
      <c r="M915" s="248"/>
      <c r="N915" s="248"/>
      <c r="O915" s="248"/>
      <c r="P915" s="248"/>
      <c r="Q915" s="248"/>
      <c r="R915" s="248"/>
      <c r="S915" s="248"/>
      <c r="T915" s="248"/>
      <c r="U915" s="248"/>
      <c r="V915" s="248"/>
      <c r="W915" s="248"/>
      <c r="X915" s="248"/>
      <c r="Y915" s="248"/>
      <c r="Z915" s="248"/>
      <c r="AA915" s="248"/>
      <c r="AB915" s="248"/>
      <c r="AC915" s="248"/>
      <c r="AD915" s="248"/>
      <c r="AE915" s="248"/>
      <c r="AF915" s="248"/>
      <c r="AG915" s="248"/>
      <c r="AH915" s="248"/>
      <c r="AI915" s="248"/>
      <c r="AJ915" s="248"/>
      <c r="AK915" s="176"/>
      <c r="AY915" s="55"/>
      <c r="AZ915" s="55"/>
      <c r="BA915" s="55"/>
      <c r="BB915" s="55"/>
      <c r="BC915" s="55"/>
      <c r="BD915" s="55"/>
      <c r="BE915" s="55"/>
      <c r="BF915" s="55"/>
      <c r="BG915" s="55"/>
      <c r="BH915" s="55"/>
      <c r="BI915" s="55"/>
      <c r="BJ915" s="55"/>
      <c r="BK915" s="55"/>
      <c r="BL915" s="55"/>
      <c r="BM915" s="55"/>
      <c r="BN915" s="55"/>
      <c r="BO915" s="55"/>
      <c r="BP915" s="55"/>
      <c r="BQ915" s="55"/>
      <c r="BR915" s="55"/>
      <c r="BS915" s="55"/>
      <c r="BT915" s="55"/>
      <c r="BU915" s="55"/>
      <c r="BV915" s="55"/>
      <c r="BW915" s="55"/>
      <c r="BX915" s="55"/>
      <c r="BY915" s="55"/>
      <c r="BZ915" s="55"/>
      <c r="CI915" s="55"/>
      <c r="CJ915" s="55"/>
      <c r="CK915" s="55"/>
      <c r="CL915" s="55"/>
      <c r="CM915" s="55"/>
      <c r="CN915" s="55"/>
      <c r="CO915" s="55"/>
      <c r="CP915" s="55"/>
      <c r="CQ915" s="55"/>
      <c r="DJ915" s="55"/>
      <c r="DK915" s="55"/>
      <c r="DL915" s="55"/>
      <c r="DM915" s="55"/>
      <c r="DN915" s="55"/>
      <c r="DO915" s="55"/>
      <c r="DP915" s="55"/>
      <c r="DQ915" s="55"/>
      <c r="DR915" s="55"/>
      <c r="DS915" s="55"/>
      <c r="DT915" s="55"/>
      <c r="DU915" s="55"/>
      <c r="DV915" s="55"/>
    </row>
    <row r="916" spans="1:310" ht="12.75" x14ac:dyDescent="0.2">
      <c r="A916" s="56"/>
      <c r="B916" s="54"/>
      <c r="C916" s="54"/>
      <c r="D916" s="54"/>
      <c r="F916" s="54"/>
      <c r="G916" s="54"/>
      <c r="H916" s="54"/>
      <c r="I916" s="54"/>
      <c r="J916" s="54"/>
      <c r="K916" s="54"/>
      <c r="L916" s="54"/>
      <c r="M916" s="54"/>
      <c r="N916" s="54"/>
      <c r="O916" s="54"/>
      <c r="P916" s="54"/>
      <c r="Q916" s="54"/>
      <c r="R916" s="54"/>
      <c r="S916" s="54"/>
      <c r="T916" s="54"/>
      <c r="U916" s="54"/>
      <c r="V916" s="54"/>
      <c r="W916" s="54"/>
      <c r="X916" s="54"/>
      <c r="Y916" s="54"/>
      <c r="Z916" s="54"/>
      <c r="AY916" s="55"/>
      <c r="AZ916" s="55"/>
      <c r="BA916" s="55"/>
      <c r="BB916" s="55"/>
      <c r="BC916" s="55"/>
      <c r="BD916" s="55"/>
      <c r="BE916" s="55"/>
      <c r="BF916" s="55"/>
      <c r="BG916" s="55"/>
      <c r="BH916" s="55"/>
      <c r="BI916" s="55"/>
      <c r="BJ916" s="55"/>
      <c r="BK916" s="55"/>
      <c r="BL916" s="55"/>
      <c r="BM916" s="55"/>
      <c r="BN916" s="55"/>
      <c r="BO916" s="55"/>
      <c r="BP916" s="55"/>
      <c r="BQ916" s="55"/>
      <c r="BR916" s="55"/>
      <c r="BS916" s="55"/>
      <c r="BT916" s="55"/>
      <c r="BU916" s="55"/>
      <c r="BV916" s="55"/>
      <c r="BW916" s="55"/>
      <c r="BX916" s="55"/>
      <c r="BY916" s="55"/>
      <c r="BZ916" s="55"/>
      <c r="CI916" s="55"/>
      <c r="CJ916" s="55"/>
      <c r="CK916" s="55"/>
      <c r="CL916" s="55"/>
      <c r="CM916" s="55"/>
      <c r="CN916" s="55"/>
      <c r="CO916" s="55"/>
      <c r="CP916" s="55"/>
      <c r="CQ916" s="55"/>
      <c r="DJ916" s="55"/>
      <c r="DK916" s="55"/>
      <c r="DL916" s="55"/>
      <c r="DM916" s="55"/>
      <c r="DN916" s="55"/>
      <c r="DO916" s="55"/>
      <c r="DP916" s="55"/>
      <c r="DQ916" s="55"/>
      <c r="DR916" s="55"/>
      <c r="DS916" s="55"/>
      <c r="DT916" s="55"/>
      <c r="DU916" s="55"/>
      <c r="DV916" s="55"/>
    </row>
    <row r="917" spans="1:310" ht="12.75" customHeight="1" x14ac:dyDescent="0.2">
      <c r="A917" s="54"/>
      <c r="B917" s="54"/>
      <c r="C917" s="324" t="str">
        <f>IF( $O$61="Embebido",$BU$917,
          IF( OR($O$64 ="Hilti HIT-RE 500-SD",$O$64 ="Hilti HIT-HY 200-R",$O$64 ="Hilti HIT-MM Plus",$O$64 ="Inyectable"),$IH$917,
                    IF( OR($O$64 ="Hilti HDA",$O$64 ="Sobre-excavado"),$GY$917,
                            IF( OR($O$64 ="Hilti HSL-3",$O$64 ="Expansivo de camisa"),$FP$917,
                                         IF( OR($O$64 ="Hilti KH-EZ",$O$64 ="Hilti KH",$O$64 ="Hilti KH-EZ-I",$O$64 ="Hilti KH-I",$O$64 ="Atornillado"),$EG$917,
                                                      IF( OR( $O$64 ="Hilti HKB3",$O$64 ="Expansivo de cuña"),$CL$917,
                                                                    IF( OR($O$64 ="Hilti HVA",$O$64 ="Capsula"),$JQ$917,
                                                                                  $AL$917                                                                        )
                                                          )
                                              )
                                 )
                        )
             )
   )</f>
        <v>A.      Anclajes adhesivos con cartuchos de inyección: varillas roscadas de acero, insertos de rosca interna y/o varillas corrugadas de refuerzo, completas con sus tuercas y arandelas correspondientes y con el sistema de inyección de mortero epóxico, híbrido o polimérico y las instrucciones de instalación del fabricante. Los tipos y tamaños de anclajes según se indica en los planos.</v>
      </c>
      <c r="D917" s="324"/>
      <c r="E917" s="324"/>
      <c r="F917" s="324"/>
      <c r="G917" s="324"/>
      <c r="H917" s="324"/>
      <c r="I917" s="324"/>
      <c r="J917" s="324"/>
      <c r="K917" s="324"/>
      <c r="L917" s="324"/>
      <c r="M917" s="324"/>
      <c r="N917" s="324"/>
      <c r="O917" s="324"/>
      <c r="P917" s="324"/>
      <c r="Q917" s="324"/>
      <c r="R917" s="324"/>
      <c r="S917" s="324"/>
      <c r="T917" s="324"/>
      <c r="U917" s="324"/>
      <c r="V917" s="324"/>
      <c r="W917" s="324"/>
      <c r="X917" s="324"/>
      <c r="Y917" s="324"/>
      <c r="Z917" s="324"/>
      <c r="AA917" s="324"/>
      <c r="AB917" s="324"/>
      <c r="AC917" s="324"/>
      <c r="AD917" s="324"/>
      <c r="AE917" s="324"/>
      <c r="AF917" s="324"/>
      <c r="AG917" s="324"/>
      <c r="AH917" s="324"/>
      <c r="AI917" s="324"/>
      <c r="AJ917" s="324"/>
      <c r="AK917" s="173"/>
      <c r="AL917" s="324" t="s">
        <v>631</v>
      </c>
      <c r="AM917" s="324"/>
      <c r="AN917" s="324"/>
      <c r="AO917" s="324"/>
      <c r="AP917" s="324"/>
      <c r="AQ917" s="324"/>
      <c r="AR917" s="324"/>
      <c r="AS917" s="324"/>
      <c r="AT917" s="324"/>
      <c r="AU917" s="324"/>
      <c r="AV917" s="324"/>
      <c r="AW917" s="324"/>
      <c r="AX917" s="324"/>
      <c r="AY917" s="324"/>
      <c r="AZ917" s="324"/>
      <c r="BA917" s="324"/>
      <c r="BB917" s="324"/>
      <c r="BC917" s="324"/>
      <c r="BD917" s="324"/>
      <c r="BE917" s="324"/>
      <c r="BF917" s="324"/>
      <c r="BG917" s="324"/>
      <c r="BH917" s="324"/>
      <c r="BI917" s="324"/>
      <c r="BJ917" s="324"/>
      <c r="BK917" s="324"/>
      <c r="BL917" s="324"/>
      <c r="BM917" s="324"/>
      <c r="BN917" s="324"/>
      <c r="BO917" s="324"/>
      <c r="BP917" s="324"/>
      <c r="BQ917" s="324"/>
      <c r="BR917" s="324"/>
      <c r="BS917" s="324"/>
      <c r="BT917" s="55"/>
      <c r="BU917" s="173" t="s">
        <v>619</v>
      </c>
      <c r="BV917" s="173"/>
      <c r="BW917" s="173"/>
      <c r="BX917" s="173"/>
      <c r="BY917" s="173"/>
      <c r="BZ917" s="173"/>
      <c r="CG917" s="173"/>
      <c r="CH917" s="173"/>
      <c r="CI917" s="173"/>
      <c r="CJ917" s="173"/>
      <c r="CK917" s="55"/>
      <c r="CL917" s="324" t="s">
        <v>326</v>
      </c>
      <c r="CM917" s="324"/>
      <c r="CN917" s="324"/>
      <c r="CO917" s="324"/>
      <c r="CP917" s="324"/>
      <c r="CQ917" s="324"/>
      <c r="CR917" s="324"/>
      <c r="CS917" s="324"/>
      <c r="CT917" s="324"/>
      <c r="CU917" s="324"/>
      <c r="CV917" s="324"/>
      <c r="CW917" s="324"/>
      <c r="CX917" s="324"/>
      <c r="CY917" s="324"/>
      <c r="CZ917" s="324"/>
      <c r="DA917" s="324"/>
      <c r="DB917" s="324"/>
      <c r="DC917" s="324"/>
      <c r="DD917" s="324"/>
      <c r="DE917" s="324"/>
      <c r="DF917" s="324"/>
      <c r="DG917" s="324"/>
      <c r="DH917" s="324"/>
      <c r="DI917" s="324"/>
      <c r="DJ917" s="324"/>
      <c r="DK917" s="324"/>
      <c r="DL917" s="324"/>
      <c r="DM917" s="324"/>
      <c r="DN917" s="324"/>
      <c r="DO917" s="324"/>
      <c r="DP917" s="324"/>
      <c r="DQ917" s="324"/>
      <c r="DR917" s="324"/>
      <c r="DS917" s="324"/>
      <c r="DT917" s="324"/>
      <c r="DU917" s="324"/>
      <c r="DV917" s="324"/>
      <c r="DW917" s="324"/>
      <c r="DX917" s="324"/>
      <c r="DY917" s="324"/>
      <c r="DZ917" s="324"/>
      <c r="EA917" s="324"/>
      <c r="EB917" s="324"/>
      <c r="EC917" s="324"/>
      <c r="ED917" s="324"/>
      <c r="EE917" s="324"/>
      <c r="EG917" s="324" t="s">
        <v>614</v>
      </c>
      <c r="EH917" s="324"/>
      <c r="EI917" s="324"/>
      <c r="EJ917" s="324"/>
      <c r="EK917" s="324"/>
      <c r="EL917" s="324"/>
      <c r="EM917" s="324"/>
      <c r="EN917" s="324"/>
      <c r="EO917" s="324"/>
      <c r="EP917" s="324"/>
      <c r="EQ917" s="324"/>
      <c r="ER917" s="324"/>
      <c r="ES917" s="324"/>
      <c r="ET917" s="324"/>
      <c r="EU917" s="324"/>
      <c r="EV917" s="324"/>
      <c r="EW917" s="324"/>
      <c r="EX917" s="324"/>
      <c r="EY917" s="324"/>
      <c r="EZ917" s="324"/>
      <c r="FA917" s="324"/>
      <c r="FB917" s="324"/>
      <c r="FC917" s="324"/>
      <c r="FD917" s="324"/>
      <c r="FE917" s="324"/>
      <c r="FF917" s="324"/>
      <c r="FG917" s="324"/>
      <c r="FH917" s="324"/>
      <c r="FI917" s="324"/>
      <c r="FJ917" s="324"/>
      <c r="FK917" s="324"/>
      <c r="FL917" s="324"/>
      <c r="FM917" s="324"/>
      <c r="FN917" s="324"/>
      <c r="FP917" s="324" t="s">
        <v>615</v>
      </c>
      <c r="FQ917" s="324"/>
      <c r="FR917" s="324"/>
      <c r="FS917" s="324"/>
      <c r="FT917" s="324"/>
      <c r="FU917" s="324"/>
      <c r="FV917" s="324"/>
      <c r="FW917" s="324"/>
      <c r="FX917" s="324"/>
      <c r="FY917" s="324"/>
      <c r="FZ917" s="324"/>
      <c r="GA917" s="324"/>
      <c r="GB917" s="324"/>
      <c r="GC917" s="324"/>
      <c r="GD917" s="324"/>
      <c r="GE917" s="324"/>
      <c r="GF917" s="324"/>
      <c r="GG917" s="324"/>
      <c r="GH917" s="324"/>
      <c r="GI917" s="324"/>
      <c r="GJ917" s="324"/>
      <c r="GK917" s="324"/>
      <c r="GL917" s="324"/>
      <c r="GM917" s="324"/>
      <c r="GN917" s="324"/>
      <c r="GO917" s="324"/>
      <c r="GP917" s="324"/>
      <c r="GQ917" s="324"/>
      <c r="GR917" s="324"/>
      <c r="GS917" s="324"/>
      <c r="GT917" s="324"/>
      <c r="GU917" s="324"/>
      <c r="GV917" s="324"/>
      <c r="GW917" s="324"/>
      <c r="GY917" s="324" t="s">
        <v>616</v>
      </c>
      <c r="GZ917" s="324"/>
      <c r="HA917" s="324"/>
      <c r="HB917" s="324"/>
      <c r="HC917" s="324"/>
      <c r="HD917" s="324"/>
      <c r="HE917" s="324"/>
      <c r="HF917" s="324"/>
      <c r="HG917" s="324"/>
      <c r="HH917" s="324"/>
      <c r="HI917" s="324"/>
      <c r="HJ917" s="324"/>
      <c r="HK917" s="324"/>
      <c r="HL917" s="324"/>
      <c r="HM917" s="324"/>
      <c r="HN917" s="324"/>
      <c r="HO917" s="324"/>
      <c r="HP917" s="324"/>
      <c r="HQ917" s="324"/>
      <c r="HR917" s="324"/>
      <c r="HS917" s="324"/>
      <c r="HT917" s="324"/>
      <c r="HU917" s="324"/>
      <c r="HV917" s="324"/>
      <c r="HW917" s="324"/>
      <c r="HX917" s="324"/>
      <c r="HY917" s="324"/>
      <c r="HZ917" s="324"/>
      <c r="IA917" s="324"/>
      <c r="IB917" s="324"/>
      <c r="IC917" s="324"/>
      <c r="ID917" s="324"/>
      <c r="IE917" s="324"/>
      <c r="IF917" s="324"/>
      <c r="IH917" s="324" t="s">
        <v>617</v>
      </c>
      <c r="II917" s="324"/>
      <c r="IJ917" s="324"/>
      <c r="IK917" s="324"/>
      <c r="IL917" s="324"/>
      <c r="IM917" s="324"/>
      <c r="IN917" s="324"/>
      <c r="IO917" s="324"/>
      <c r="IP917" s="324"/>
      <c r="IQ917" s="324"/>
      <c r="IR917" s="324"/>
      <c r="IS917" s="324"/>
      <c r="IT917" s="324"/>
      <c r="IU917" s="324"/>
      <c r="IV917" s="324"/>
      <c r="IW917" s="324"/>
      <c r="IX917" s="324"/>
      <c r="IY917" s="324"/>
      <c r="IZ917" s="324"/>
      <c r="JA917" s="324"/>
      <c r="JB917" s="324"/>
      <c r="JC917" s="324"/>
      <c r="JD917" s="324"/>
      <c r="JE917" s="324"/>
      <c r="JF917" s="324"/>
      <c r="JG917" s="324"/>
      <c r="JH917" s="324"/>
      <c r="JI917" s="324"/>
      <c r="JJ917" s="324"/>
      <c r="JK917" s="324"/>
      <c r="JL917" s="324"/>
      <c r="JM917" s="324"/>
      <c r="JN917" s="324"/>
      <c r="JO917" s="324"/>
      <c r="JQ917" s="324" t="s">
        <v>618</v>
      </c>
      <c r="JR917" s="324"/>
      <c r="JS917" s="324"/>
      <c r="JT917" s="324"/>
      <c r="JU917" s="324"/>
      <c r="JV917" s="324"/>
      <c r="JW917" s="324"/>
      <c r="JX917" s="324"/>
      <c r="JY917" s="324"/>
      <c r="JZ917" s="324"/>
      <c r="KA917" s="324"/>
      <c r="KB917" s="324"/>
      <c r="KC917" s="324"/>
      <c r="KD917" s="324"/>
      <c r="KE917" s="324"/>
      <c r="KF917" s="324"/>
      <c r="KG917" s="324"/>
      <c r="KH917" s="324"/>
      <c r="KI917" s="324"/>
      <c r="KJ917" s="324"/>
      <c r="KK917" s="324"/>
      <c r="KL917" s="324"/>
      <c r="KM917" s="324"/>
      <c r="KN917" s="324"/>
      <c r="KO917" s="324"/>
      <c r="KP917" s="324"/>
      <c r="KQ917" s="324"/>
      <c r="KR917" s="324"/>
      <c r="KS917" s="324"/>
      <c r="KT917" s="324"/>
      <c r="KU917" s="324"/>
      <c r="KV917" s="324"/>
      <c r="KW917" s="324"/>
      <c r="KX917" s="324"/>
    </row>
    <row r="918" spans="1:310" ht="12.75" customHeight="1" x14ac:dyDescent="0.2">
      <c r="A918" s="54"/>
      <c r="B918" s="54"/>
      <c r="C918" s="324"/>
      <c r="D918" s="324"/>
      <c r="E918" s="324"/>
      <c r="F918" s="324"/>
      <c r="G918" s="324"/>
      <c r="H918" s="324"/>
      <c r="I918" s="324"/>
      <c r="J918" s="324"/>
      <c r="K918" s="324"/>
      <c r="L918" s="324"/>
      <c r="M918" s="324"/>
      <c r="N918" s="324"/>
      <c r="O918" s="324"/>
      <c r="P918" s="324"/>
      <c r="Q918" s="324"/>
      <c r="R918" s="324"/>
      <c r="S918" s="324"/>
      <c r="T918" s="324"/>
      <c r="U918" s="324"/>
      <c r="V918" s="324"/>
      <c r="W918" s="324"/>
      <c r="X918" s="324"/>
      <c r="Y918" s="324"/>
      <c r="Z918" s="324"/>
      <c r="AA918" s="324"/>
      <c r="AB918" s="324"/>
      <c r="AC918" s="324"/>
      <c r="AD918" s="324"/>
      <c r="AE918" s="324"/>
      <c r="AF918" s="324"/>
      <c r="AG918" s="324"/>
      <c r="AH918" s="324"/>
      <c r="AI918" s="324"/>
      <c r="AJ918" s="324"/>
      <c r="AK918" s="173"/>
      <c r="AL918" s="324"/>
      <c r="AM918" s="324"/>
      <c r="AN918" s="324"/>
      <c r="AO918" s="324"/>
      <c r="AP918" s="324"/>
      <c r="AQ918" s="324"/>
      <c r="AR918" s="324"/>
      <c r="AS918" s="324"/>
      <c r="AT918" s="324"/>
      <c r="AU918" s="324"/>
      <c r="AV918" s="324"/>
      <c r="AW918" s="324"/>
      <c r="AX918" s="324"/>
      <c r="AY918" s="324"/>
      <c r="AZ918" s="324"/>
      <c r="BA918" s="324"/>
      <c r="BB918" s="324"/>
      <c r="BC918" s="324"/>
      <c r="BD918" s="324"/>
      <c r="BE918" s="324"/>
      <c r="BF918" s="324"/>
      <c r="BG918" s="324"/>
      <c r="BH918" s="324"/>
      <c r="BI918" s="324"/>
      <c r="BJ918" s="324"/>
      <c r="BK918" s="324"/>
      <c r="BL918" s="324"/>
      <c r="BM918" s="324"/>
      <c r="BN918" s="324"/>
      <c r="BO918" s="324"/>
      <c r="BP918" s="324"/>
      <c r="BQ918" s="324"/>
      <c r="BR918" s="324"/>
      <c r="BS918" s="324"/>
      <c r="BT918" s="55"/>
      <c r="BU918" s="173"/>
      <c r="BV918" s="173"/>
      <c r="BW918" s="173"/>
      <c r="BX918" s="173"/>
      <c r="BY918" s="173"/>
      <c r="BZ918" s="173"/>
      <c r="CA918" s="173"/>
      <c r="CB918" s="173"/>
      <c r="CC918" s="173"/>
      <c r="CD918" s="173"/>
      <c r="CE918" s="173"/>
      <c r="CF918" s="173"/>
      <c r="CG918" s="173"/>
      <c r="CH918" s="173"/>
      <c r="CI918" s="173"/>
      <c r="CJ918" s="173"/>
      <c r="CK918" s="55"/>
      <c r="CL918" s="324"/>
      <c r="CM918" s="324"/>
      <c r="CN918" s="324"/>
      <c r="CO918" s="324"/>
      <c r="CP918" s="324"/>
      <c r="CQ918" s="324"/>
      <c r="CR918" s="324"/>
      <c r="CS918" s="324"/>
      <c r="CT918" s="324"/>
      <c r="CU918" s="324"/>
      <c r="CV918" s="324"/>
      <c r="CW918" s="324"/>
      <c r="CX918" s="324"/>
      <c r="CY918" s="324"/>
      <c r="CZ918" s="324"/>
      <c r="DA918" s="324"/>
      <c r="DB918" s="324"/>
      <c r="DC918" s="324"/>
      <c r="DD918" s="324"/>
      <c r="DE918" s="324"/>
      <c r="DF918" s="324"/>
      <c r="DG918" s="324"/>
      <c r="DH918" s="324"/>
      <c r="DI918" s="324"/>
      <c r="DJ918" s="324"/>
      <c r="DK918" s="324"/>
      <c r="DL918" s="324"/>
      <c r="DM918" s="324"/>
      <c r="DN918" s="324"/>
      <c r="DO918" s="324"/>
      <c r="DP918" s="324"/>
      <c r="DQ918" s="324"/>
      <c r="DR918" s="324"/>
      <c r="DS918" s="324"/>
      <c r="DT918" s="324"/>
      <c r="DU918" s="324"/>
      <c r="DV918" s="324"/>
      <c r="DW918" s="324"/>
      <c r="DX918" s="324"/>
      <c r="DY918" s="324"/>
      <c r="DZ918" s="324"/>
      <c r="EA918" s="324"/>
      <c r="EB918" s="324"/>
      <c r="EC918" s="324"/>
      <c r="ED918" s="324"/>
      <c r="EE918" s="324"/>
      <c r="EG918" s="324"/>
      <c r="EH918" s="324"/>
      <c r="EI918" s="324"/>
      <c r="EJ918" s="324"/>
      <c r="EK918" s="324"/>
      <c r="EL918" s="324"/>
      <c r="EM918" s="324"/>
      <c r="EN918" s="324"/>
      <c r="EO918" s="324"/>
      <c r="EP918" s="324"/>
      <c r="EQ918" s="324"/>
      <c r="ER918" s="324"/>
      <c r="ES918" s="324"/>
      <c r="ET918" s="324"/>
      <c r="EU918" s="324"/>
      <c r="EV918" s="324"/>
      <c r="EW918" s="324"/>
      <c r="EX918" s="324"/>
      <c r="EY918" s="324"/>
      <c r="EZ918" s="324"/>
      <c r="FA918" s="324"/>
      <c r="FB918" s="324"/>
      <c r="FC918" s="324"/>
      <c r="FD918" s="324"/>
      <c r="FE918" s="324"/>
      <c r="FF918" s="324"/>
      <c r="FG918" s="324"/>
      <c r="FH918" s="324"/>
      <c r="FI918" s="324"/>
      <c r="FJ918" s="324"/>
      <c r="FK918" s="324"/>
      <c r="FL918" s="324"/>
      <c r="FM918" s="324"/>
      <c r="FN918" s="324"/>
      <c r="FP918" s="324"/>
      <c r="FQ918" s="324"/>
      <c r="FR918" s="324"/>
      <c r="FS918" s="324"/>
      <c r="FT918" s="324"/>
      <c r="FU918" s="324"/>
      <c r="FV918" s="324"/>
      <c r="FW918" s="324"/>
      <c r="FX918" s="324"/>
      <c r="FY918" s="324"/>
      <c r="FZ918" s="324"/>
      <c r="GA918" s="324"/>
      <c r="GB918" s="324"/>
      <c r="GC918" s="324"/>
      <c r="GD918" s="324"/>
      <c r="GE918" s="324"/>
      <c r="GF918" s="324"/>
      <c r="GG918" s="324"/>
      <c r="GH918" s="324"/>
      <c r="GI918" s="324"/>
      <c r="GJ918" s="324"/>
      <c r="GK918" s="324"/>
      <c r="GL918" s="324"/>
      <c r="GM918" s="324"/>
      <c r="GN918" s="324"/>
      <c r="GO918" s="324"/>
      <c r="GP918" s="324"/>
      <c r="GQ918" s="324"/>
      <c r="GR918" s="324"/>
      <c r="GS918" s="324"/>
      <c r="GT918" s="324"/>
      <c r="GU918" s="324"/>
      <c r="GV918" s="324"/>
      <c r="GW918" s="324"/>
      <c r="GY918" s="324"/>
      <c r="GZ918" s="324"/>
      <c r="HA918" s="324"/>
      <c r="HB918" s="324"/>
      <c r="HC918" s="324"/>
      <c r="HD918" s="324"/>
      <c r="HE918" s="324"/>
      <c r="HF918" s="324"/>
      <c r="HG918" s="324"/>
      <c r="HH918" s="324"/>
      <c r="HI918" s="324"/>
      <c r="HJ918" s="324"/>
      <c r="HK918" s="324"/>
      <c r="HL918" s="324"/>
      <c r="HM918" s="324"/>
      <c r="HN918" s="324"/>
      <c r="HO918" s="324"/>
      <c r="HP918" s="324"/>
      <c r="HQ918" s="324"/>
      <c r="HR918" s="324"/>
      <c r="HS918" s="324"/>
      <c r="HT918" s="324"/>
      <c r="HU918" s="324"/>
      <c r="HV918" s="324"/>
      <c r="HW918" s="324"/>
      <c r="HX918" s="324"/>
      <c r="HY918" s="324"/>
      <c r="HZ918" s="324"/>
      <c r="IA918" s="324"/>
      <c r="IB918" s="324"/>
      <c r="IC918" s="324"/>
      <c r="ID918" s="324"/>
      <c r="IE918" s="324"/>
      <c r="IF918" s="324"/>
      <c r="IH918" s="324"/>
      <c r="II918" s="324"/>
      <c r="IJ918" s="324"/>
      <c r="IK918" s="324"/>
      <c r="IL918" s="324"/>
      <c r="IM918" s="324"/>
      <c r="IN918" s="324"/>
      <c r="IO918" s="324"/>
      <c r="IP918" s="324"/>
      <c r="IQ918" s="324"/>
      <c r="IR918" s="324"/>
      <c r="IS918" s="324"/>
      <c r="IT918" s="324"/>
      <c r="IU918" s="324"/>
      <c r="IV918" s="324"/>
      <c r="IW918" s="324"/>
      <c r="IX918" s="324"/>
      <c r="IY918" s="324"/>
      <c r="IZ918" s="324"/>
      <c r="JA918" s="324"/>
      <c r="JB918" s="324"/>
      <c r="JC918" s="324"/>
      <c r="JD918" s="324"/>
      <c r="JE918" s="324"/>
      <c r="JF918" s="324"/>
      <c r="JG918" s="324"/>
      <c r="JH918" s="324"/>
      <c r="JI918" s="324"/>
      <c r="JJ918" s="324"/>
      <c r="JK918" s="324"/>
      <c r="JL918" s="324"/>
      <c r="JM918" s="324"/>
      <c r="JN918" s="324"/>
      <c r="JO918" s="324"/>
      <c r="JQ918" s="324"/>
      <c r="JR918" s="324"/>
      <c r="JS918" s="324"/>
      <c r="JT918" s="324"/>
      <c r="JU918" s="324"/>
      <c r="JV918" s="324"/>
      <c r="JW918" s="324"/>
      <c r="JX918" s="324"/>
      <c r="JY918" s="324"/>
      <c r="JZ918" s="324"/>
      <c r="KA918" s="324"/>
      <c r="KB918" s="324"/>
      <c r="KC918" s="324"/>
      <c r="KD918" s="324"/>
      <c r="KE918" s="324"/>
      <c r="KF918" s="324"/>
      <c r="KG918" s="324"/>
      <c r="KH918" s="324"/>
      <c r="KI918" s="324"/>
      <c r="KJ918" s="324"/>
      <c r="KK918" s="324"/>
      <c r="KL918" s="324"/>
      <c r="KM918" s="324"/>
      <c r="KN918" s="324"/>
      <c r="KO918" s="324"/>
      <c r="KP918" s="324"/>
      <c r="KQ918" s="324"/>
      <c r="KR918" s="324"/>
      <c r="KS918" s="324"/>
      <c r="KT918" s="324"/>
      <c r="KU918" s="324"/>
      <c r="KV918" s="324"/>
      <c r="KW918" s="324"/>
      <c r="KX918" s="324"/>
    </row>
    <row r="919" spans="1:310" ht="12.75" customHeight="1" x14ac:dyDescent="0.2">
      <c r="A919" s="54"/>
      <c r="B919" s="54"/>
      <c r="C919" s="324"/>
      <c r="D919" s="324"/>
      <c r="E919" s="324"/>
      <c r="F919" s="324"/>
      <c r="G919" s="324"/>
      <c r="H919" s="324"/>
      <c r="I919" s="324"/>
      <c r="J919" s="324"/>
      <c r="K919" s="324"/>
      <c r="L919" s="324"/>
      <c r="M919" s="324"/>
      <c r="N919" s="324"/>
      <c r="O919" s="324"/>
      <c r="P919" s="324"/>
      <c r="Q919" s="324"/>
      <c r="R919" s="324"/>
      <c r="S919" s="324"/>
      <c r="T919" s="324"/>
      <c r="U919" s="324"/>
      <c r="V919" s="324"/>
      <c r="W919" s="324"/>
      <c r="X919" s="324"/>
      <c r="Y919" s="324"/>
      <c r="Z919" s="324"/>
      <c r="AA919" s="324"/>
      <c r="AB919" s="324"/>
      <c r="AC919" s="324"/>
      <c r="AD919" s="324"/>
      <c r="AE919" s="324"/>
      <c r="AF919" s="324"/>
      <c r="AG919" s="324"/>
      <c r="AH919" s="324"/>
      <c r="AI919" s="324"/>
      <c r="AJ919" s="324"/>
      <c r="AK919" s="173"/>
      <c r="AL919" s="324"/>
      <c r="AM919" s="324"/>
      <c r="AN919" s="324"/>
      <c r="AO919" s="324"/>
      <c r="AP919" s="324"/>
      <c r="AQ919" s="324"/>
      <c r="AR919" s="324"/>
      <c r="AS919" s="324"/>
      <c r="AT919" s="324"/>
      <c r="AU919" s="324"/>
      <c r="AV919" s="324"/>
      <c r="AW919" s="324"/>
      <c r="AX919" s="324"/>
      <c r="AY919" s="324"/>
      <c r="AZ919" s="324"/>
      <c r="BA919" s="324"/>
      <c r="BB919" s="324"/>
      <c r="BC919" s="324"/>
      <c r="BD919" s="324"/>
      <c r="BE919" s="324"/>
      <c r="BF919" s="324"/>
      <c r="BG919" s="324"/>
      <c r="BH919" s="324"/>
      <c r="BI919" s="324"/>
      <c r="BJ919" s="324"/>
      <c r="BK919" s="324"/>
      <c r="BL919" s="324"/>
      <c r="BM919" s="324"/>
      <c r="BN919" s="324"/>
      <c r="BO919" s="324"/>
      <c r="BP919" s="324"/>
      <c r="BQ919" s="324"/>
      <c r="BR919" s="324"/>
      <c r="BS919" s="324"/>
      <c r="BT919" s="55"/>
      <c r="BU919" s="173"/>
      <c r="BV919" s="173"/>
      <c r="BW919" s="173"/>
      <c r="BX919" s="173"/>
      <c r="BY919" s="173"/>
      <c r="BZ919" s="173"/>
      <c r="CA919" s="173"/>
      <c r="CB919" s="173"/>
      <c r="CC919" s="173"/>
      <c r="CD919" s="173"/>
      <c r="CE919" s="173"/>
      <c r="CF919" s="173"/>
      <c r="CG919" s="173"/>
      <c r="CH919" s="173"/>
      <c r="CI919" s="173"/>
      <c r="CJ919" s="173"/>
      <c r="CK919" s="55"/>
      <c r="CL919" s="324"/>
      <c r="CM919" s="324"/>
      <c r="CN919" s="324"/>
      <c r="CO919" s="324"/>
      <c r="CP919" s="324"/>
      <c r="CQ919" s="324"/>
      <c r="CR919" s="324"/>
      <c r="CS919" s="324"/>
      <c r="CT919" s="324"/>
      <c r="CU919" s="324"/>
      <c r="CV919" s="324"/>
      <c r="CW919" s="324"/>
      <c r="CX919" s="324"/>
      <c r="CY919" s="324"/>
      <c r="CZ919" s="324"/>
      <c r="DA919" s="324"/>
      <c r="DB919" s="324"/>
      <c r="DC919" s="324"/>
      <c r="DD919" s="324"/>
      <c r="DE919" s="324"/>
      <c r="DF919" s="324"/>
      <c r="DG919" s="324"/>
      <c r="DH919" s="324"/>
      <c r="DI919" s="324"/>
      <c r="DJ919" s="324"/>
      <c r="DK919" s="324"/>
      <c r="DL919" s="324"/>
      <c r="DM919" s="324"/>
      <c r="DN919" s="324"/>
      <c r="DO919" s="324"/>
      <c r="DP919" s="324"/>
      <c r="DQ919" s="324"/>
      <c r="DR919" s="324"/>
      <c r="DS919" s="324"/>
      <c r="DT919" s="324"/>
      <c r="DU919" s="324"/>
      <c r="DV919" s="324"/>
      <c r="DW919" s="324"/>
      <c r="DX919" s="324"/>
      <c r="DY919" s="324"/>
      <c r="DZ919" s="324"/>
      <c r="EA919" s="324"/>
      <c r="EB919" s="324"/>
      <c r="EC919" s="324"/>
      <c r="ED919" s="324"/>
      <c r="EE919" s="324"/>
      <c r="EG919" s="324"/>
      <c r="EH919" s="324"/>
      <c r="EI919" s="324"/>
      <c r="EJ919" s="324"/>
      <c r="EK919" s="324"/>
      <c r="EL919" s="324"/>
      <c r="EM919" s="324"/>
      <c r="EN919" s="324"/>
      <c r="EO919" s="324"/>
      <c r="EP919" s="324"/>
      <c r="EQ919" s="324"/>
      <c r="ER919" s="324"/>
      <c r="ES919" s="324"/>
      <c r="ET919" s="324"/>
      <c r="EU919" s="324"/>
      <c r="EV919" s="324"/>
      <c r="EW919" s="324"/>
      <c r="EX919" s="324"/>
      <c r="EY919" s="324"/>
      <c r="EZ919" s="324"/>
      <c r="FA919" s="324"/>
      <c r="FB919" s="324"/>
      <c r="FC919" s="324"/>
      <c r="FD919" s="324"/>
      <c r="FE919" s="324"/>
      <c r="FF919" s="324"/>
      <c r="FG919" s="324"/>
      <c r="FH919" s="324"/>
      <c r="FI919" s="324"/>
      <c r="FJ919" s="324"/>
      <c r="FK919" s="324"/>
      <c r="FL919" s="324"/>
      <c r="FM919" s="324"/>
      <c r="FN919" s="324"/>
      <c r="FP919" s="324"/>
      <c r="FQ919" s="324"/>
      <c r="FR919" s="324"/>
      <c r="FS919" s="324"/>
      <c r="FT919" s="324"/>
      <c r="FU919" s="324"/>
      <c r="FV919" s="324"/>
      <c r="FW919" s="324"/>
      <c r="FX919" s="324"/>
      <c r="FY919" s="324"/>
      <c r="FZ919" s="324"/>
      <c r="GA919" s="324"/>
      <c r="GB919" s="324"/>
      <c r="GC919" s="324"/>
      <c r="GD919" s="324"/>
      <c r="GE919" s="324"/>
      <c r="GF919" s="324"/>
      <c r="GG919" s="324"/>
      <c r="GH919" s="324"/>
      <c r="GI919" s="324"/>
      <c r="GJ919" s="324"/>
      <c r="GK919" s="324"/>
      <c r="GL919" s="324"/>
      <c r="GM919" s="324"/>
      <c r="GN919" s="324"/>
      <c r="GO919" s="324"/>
      <c r="GP919" s="324"/>
      <c r="GQ919" s="324"/>
      <c r="GR919" s="324"/>
      <c r="GS919" s="324"/>
      <c r="GT919" s="324"/>
      <c r="GU919" s="324"/>
      <c r="GV919" s="324"/>
      <c r="GW919" s="324"/>
      <c r="GY919" s="324"/>
      <c r="GZ919" s="324"/>
      <c r="HA919" s="324"/>
      <c r="HB919" s="324"/>
      <c r="HC919" s="324"/>
      <c r="HD919" s="324"/>
      <c r="HE919" s="324"/>
      <c r="HF919" s="324"/>
      <c r="HG919" s="324"/>
      <c r="HH919" s="324"/>
      <c r="HI919" s="324"/>
      <c r="HJ919" s="324"/>
      <c r="HK919" s="324"/>
      <c r="HL919" s="324"/>
      <c r="HM919" s="324"/>
      <c r="HN919" s="324"/>
      <c r="HO919" s="324"/>
      <c r="HP919" s="324"/>
      <c r="HQ919" s="324"/>
      <c r="HR919" s="324"/>
      <c r="HS919" s="324"/>
      <c r="HT919" s="324"/>
      <c r="HU919" s="324"/>
      <c r="HV919" s="324"/>
      <c r="HW919" s="324"/>
      <c r="HX919" s="324"/>
      <c r="HY919" s="324"/>
      <c r="HZ919" s="324"/>
      <c r="IA919" s="324"/>
      <c r="IB919" s="324"/>
      <c r="IC919" s="324"/>
      <c r="ID919" s="324"/>
      <c r="IE919" s="324"/>
      <c r="IF919" s="324"/>
      <c r="IH919" s="324"/>
      <c r="II919" s="324"/>
      <c r="IJ919" s="324"/>
      <c r="IK919" s="324"/>
      <c r="IL919" s="324"/>
      <c r="IM919" s="324"/>
      <c r="IN919" s="324"/>
      <c r="IO919" s="324"/>
      <c r="IP919" s="324"/>
      <c r="IQ919" s="324"/>
      <c r="IR919" s="324"/>
      <c r="IS919" s="324"/>
      <c r="IT919" s="324"/>
      <c r="IU919" s="324"/>
      <c r="IV919" s="324"/>
      <c r="IW919" s="324"/>
      <c r="IX919" s="324"/>
      <c r="IY919" s="324"/>
      <c r="IZ919" s="324"/>
      <c r="JA919" s="324"/>
      <c r="JB919" s="324"/>
      <c r="JC919" s="324"/>
      <c r="JD919" s="324"/>
      <c r="JE919" s="324"/>
      <c r="JF919" s="324"/>
      <c r="JG919" s="324"/>
      <c r="JH919" s="324"/>
      <c r="JI919" s="324"/>
      <c r="JJ919" s="324"/>
      <c r="JK919" s="324"/>
      <c r="JL919" s="324"/>
      <c r="JM919" s="324"/>
      <c r="JN919" s="324"/>
      <c r="JO919" s="324"/>
      <c r="JQ919" s="324"/>
      <c r="JR919" s="324"/>
      <c r="JS919" s="324"/>
      <c r="JT919" s="324"/>
      <c r="JU919" s="324"/>
      <c r="JV919" s="324"/>
      <c r="JW919" s="324"/>
      <c r="JX919" s="324"/>
      <c r="JY919" s="324"/>
      <c r="JZ919" s="324"/>
      <c r="KA919" s="324"/>
      <c r="KB919" s="324"/>
      <c r="KC919" s="324"/>
      <c r="KD919" s="324"/>
      <c r="KE919" s="324"/>
      <c r="KF919" s="324"/>
      <c r="KG919" s="324"/>
      <c r="KH919" s="324"/>
      <c r="KI919" s="324"/>
      <c r="KJ919" s="324"/>
      <c r="KK919" s="324"/>
      <c r="KL919" s="324"/>
      <c r="KM919" s="324"/>
      <c r="KN919" s="324"/>
      <c r="KO919" s="324"/>
      <c r="KP919" s="324"/>
      <c r="KQ919" s="324"/>
      <c r="KR919" s="324"/>
      <c r="KS919" s="324"/>
      <c r="KT919" s="324"/>
      <c r="KU919" s="324"/>
      <c r="KV919" s="324"/>
      <c r="KW919" s="324"/>
      <c r="KX919" s="324"/>
    </row>
    <row r="920" spans="1:310" ht="12.75" x14ac:dyDescent="0.2">
      <c r="A920" s="54"/>
      <c r="B920" s="54"/>
      <c r="C920" s="324"/>
      <c r="D920" s="324"/>
      <c r="E920" s="324"/>
      <c r="F920" s="324"/>
      <c r="G920" s="324"/>
      <c r="H920" s="324"/>
      <c r="I920" s="324"/>
      <c r="J920" s="324"/>
      <c r="K920" s="324"/>
      <c r="L920" s="324"/>
      <c r="M920" s="324"/>
      <c r="N920" s="324"/>
      <c r="O920" s="324"/>
      <c r="P920" s="324"/>
      <c r="Q920" s="324"/>
      <c r="R920" s="324"/>
      <c r="S920" s="324"/>
      <c r="T920" s="324"/>
      <c r="U920" s="324"/>
      <c r="V920" s="324"/>
      <c r="W920" s="324"/>
      <c r="X920" s="324"/>
      <c r="Y920" s="324"/>
      <c r="Z920" s="324"/>
      <c r="AA920" s="324"/>
      <c r="AB920" s="324"/>
      <c r="AC920" s="324"/>
      <c r="AD920" s="324"/>
      <c r="AE920" s="324"/>
      <c r="AF920" s="324"/>
      <c r="AG920" s="324"/>
      <c r="AH920" s="324"/>
      <c r="AI920" s="324"/>
      <c r="AJ920" s="324"/>
      <c r="AK920" s="173"/>
      <c r="AL920" s="324"/>
      <c r="AM920" s="324"/>
      <c r="AN920" s="324"/>
      <c r="AO920" s="324"/>
      <c r="AP920" s="324"/>
      <c r="AQ920" s="324"/>
      <c r="AR920" s="324"/>
      <c r="AS920" s="324"/>
      <c r="AT920" s="324"/>
      <c r="AU920" s="324"/>
      <c r="AV920" s="324"/>
      <c r="AW920" s="324"/>
      <c r="AX920" s="324"/>
      <c r="AY920" s="324"/>
      <c r="AZ920" s="324"/>
      <c r="BA920" s="324"/>
      <c r="BB920" s="324"/>
      <c r="BC920" s="324"/>
      <c r="BD920" s="324"/>
      <c r="BE920" s="324"/>
      <c r="BF920" s="324"/>
      <c r="BG920" s="324"/>
      <c r="BH920" s="324"/>
      <c r="BI920" s="324"/>
      <c r="BJ920" s="324"/>
      <c r="BK920" s="324"/>
      <c r="BL920" s="324"/>
      <c r="BM920" s="324"/>
      <c r="BN920" s="324"/>
      <c r="BO920" s="324"/>
      <c r="BP920" s="324"/>
      <c r="BQ920" s="324"/>
      <c r="BR920" s="324"/>
      <c r="BS920" s="324"/>
      <c r="BT920" s="55"/>
      <c r="BU920" s="173"/>
      <c r="BV920" s="173"/>
      <c r="BW920" s="173"/>
      <c r="BX920" s="173"/>
      <c r="BY920" s="173"/>
      <c r="BZ920" s="173"/>
      <c r="CA920" s="173"/>
      <c r="CB920" s="173"/>
      <c r="CC920" s="173"/>
      <c r="CD920" s="173"/>
      <c r="CE920" s="173"/>
      <c r="CF920" s="173"/>
      <c r="CG920" s="173"/>
      <c r="CH920" s="173"/>
      <c r="CI920" s="173"/>
      <c r="CJ920" s="173"/>
      <c r="CK920" s="55"/>
      <c r="CL920" s="324"/>
      <c r="CM920" s="324"/>
      <c r="CN920" s="324"/>
      <c r="CO920" s="324"/>
      <c r="CP920" s="324"/>
      <c r="CQ920" s="324"/>
      <c r="CR920" s="324"/>
      <c r="CS920" s="324"/>
      <c r="CT920" s="324"/>
      <c r="CU920" s="324"/>
      <c r="CV920" s="324"/>
      <c r="CW920" s="324"/>
      <c r="CX920" s="324"/>
      <c r="CY920" s="324"/>
      <c r="CZ920" s="324"/>
      <c r="DA920" s="324"/>
      <c r="DB920" s="324"/>
      <c r="DC920" s="324"/>
      <c r="DD920" s="324"/>
      <c r="DE920" s="324"/>
      <c r="DF920" s="324"/>
      <c r="DG920" s="324"/>
      <c r="DH920" s="324"/>
      <c r="DI920" s="324"/>
      <c r="DJ920" s="324"/>
      <c r="DK920" s="324"/>
      <c r="DL920" s="324"/>
      <c r="DM920" s="324"/>
      <c r="DN920" s="324"/>
      <c r="DO920" s="324"/>
      <c r="DP920" s="324"/>
      <c r="DQ920" s="324"/>
      <c r="DR920" s="324"/>
      <c r="DS920" s="324"/>
      <c r="DT920" s="324"/>
      <c r="DU920" s="324"/>
      <c r="DV920" s="324"/>
      <c r="DW920" s="324"/>
      <c r="DX920" s="324"/>
      <c r="DY920" s="324"/>
      <c r="DZ920" s="324"/>
      <c r="EA920" s="324"/>
      <c r="EB920" s="324"/>
      <c r="EC920" s="324"/>
      <c r="ED920" s="324"/>
      <c r="EE920" s="324"/>
      <c r="EG920" s="324"/>
      <c r="EH920" s="324"/>
      <c r="EI920" s="324"/>
      <c r="EJ920" s="324"/>
      <c r="EK920" s="324"/>
      <c r="EL920" s="324"/>
      <c r="EM920" s="324"/>
      <c r="EN920" s="324"/>
      <c r="EO920" s="324"/>
      <c r="EP920" s="324"/>
      <c r="EQ920" s="324"/>
      <c r="ER920" s="324"/>
      <c r="ES920" s="324"/>
      <c r="ET920" s="324"/>
      <c r="EU920" s="324"/>
      <c r="EV920" s="324"/>
      <c r="EW920" s="324"/>
      <c r="EX920" s="324"/>
      <c r="EY920" s="324"/>
      <c r="EZ920" s="324"/>
      <c r="FA920" s="324"/>
      <c r="FB920" s="324"/>
      <c r="FC920" s="324"/>
      <c r="FD920" s="324"/>
      <c r="FE920" s="324"/>
      <c r="FF920" s="324"/>
      <c r="FG920" s="324"/>
      <c r="FH920" s="324"/>
      <c r="FI920" s="324"/>
      <c r="FJ920" s="324"/>
      <c r="FK920" s="324"/>
      <c r="FL920" s="324"/>
      <c r="FM920" s="324"/>
      <c r="FN920" s="324"/>
      <c r="FP920" s="324"/>
      <c r="FQ920" s="324"/>
      <c r="FR920" s="324"/>
      <c r="FS920" s="324"/>
      <c r="FT920" s="324"/>
      <c r="FU920" s="324"/>
      <c r="FV920" s="324"/>
      <c r="FW920" s="324"/>
      <c r="FX920" s="324"/>
      <c r="FY920" s="324"/>
      <c r="FZ920" s="324"/>
      <c r="GA920" s="324"/>
      <c r="GB920" s="324"/>
      <c r="GC920" s="324"/>
      <c r="GD920" s="324"/>
      <c r="GE920" s="324"/>
      <c r="GF920" s="324"/>
      <c r="GG920" s="324"/>
      <c r="GH920" s="324"/>
      <c r="GI920" s="324"/>
      <c r="GJ920" s="324"/>
      <c r="GK920" s="324"/>
      <c r="GL920" s="324"/>
      <c r="GM920" s="324"/>
      <c r="GN920" s="324"/>
      <c r="GO920" s="324"/>
      <c r="GP920" s="324"/>
      <c r="GQ920" s="324"/>
      <c r="GR920" s="324"/>
      <c r="GS920" s="324"/>
      <c r="GT920" s="324"/>
      <c r="GU920" s="324"/>
      <c r="GV920" s="324"/>
      <c r="GW920" s="324"/>
      <c r="GY920" s="324"/>
      <c r="GZ920" s="324"/>
      <c r="HA920" s="324"/>
      <c r="HB920" s="324"/>
      <c r="HC920" s="324"/>
      <c r="HD920" s="324"/>
      <c r="HE920" s="324"/>
      <c r="HF920" s="324"/>
      <c r="HG920" s="324"/>
      <c r="HH920" s="324"/>
      <c r="HI920" s="324"/>
      <c r="HJ920" s="324"/>
      <c r="HK920" s="324"/>
      <c r="HL920" s="324"/>
      <c r="HM920" s="324"/>
      <c r="HN920" s="324"/>
      <c r="HO920" s="324"/>
      <c r="HP920" s="324"/>
      <c r="HQ920" s="324"/>
      <c r="HR920" s="324"/>
      <c r="HS920" s="324"/>
      <c r="HT920" s="324"/>
      <c r="HU920" s="324"/>
      <c r="HV920" s="324"/>
      <c r="HW920" s="324"/>
      <c r="HX920" s="324"/>
      <c r="HY920" s="324"/>
      <c r="HZ920" s="324"/>
      <c r="IA920" s="324"/>
      <c r="IB920" s="324"/>
      <c r="IC920" s="324"/>
      <c r="ID920" s="324"/>
      <c r="IE920" s="324"/>
      <c r="IF920" s="324"/>
      <c r="IH920" s="324"/>
      <c r="II920" s="324"/>
      <c r="IJ920" s="324"/>
      <c r="IK920" s="324"/>
      <c r="IL920" s="324"/>
      <c r="IM920" s="324"/>
      <c r="IN920" s="324"/>
      <c r="IO920" s="324"/>
      <c r="IP920" s="324"/>
      <c r="IQ920" s="324"/>
      <c r="IR920" s="324"/>
      <c r="IS920" s="324"/>
      <c r="IT920" s="324"/>
      <c r="IU920" s="324"/>
      <c r="IV920" s="324"/>
      <c r="IW920" s="324"/>
      <c r="IX920" s="324"/>
      <c r="IY920" s="324"/>
      <c r="IZ920" s="324"/>
      <c r="JA920" s="324"/>
      <c r="JB920" s="324"/>
      <c r="JC920" s="324"/>
      <c r="JD920" s="324"/>
      <c r="JE920" s="324"/>
      <c r="JF920" s="324"/>
      <c r="JG920" s="324"/>
      <c r="JH920" s="324"/>
      <c r="JI920" s="324"/>
      <c r="JJ920" s="324"/>
      <c r="JK920" s="324"/>
      <c r="JL920" s="324"/>
      <c r="JM920" s="324"/>
      <c r="JN920" s="324"/>
      <c r="JO920" s="324"/>
      <c r="JQ920" s="324"/>
      <c r="JR920" s="324"/>
      <c r="JS920" s="324"/>
      <c r="JT920" s="324"/>
      <c r="JU920" s="324"/>
      <c r="JV920" s="324"/>
      <c r="JW920" s="324"/>
      <c r="JX920" s="324"/>
      <c r="JY920" s="324"/>
      <c r="JZ920" s="324"/>
      <c r="KA920" s="324"/>
      <c r="KB920" s="324"/>
      <c r="KC920" s="324"/>
      <c r="KD920" s="324"/>
      <c r="KE920" s="324"/>
      <c r="KF920" s="324"/>
      <c r="KG920" s="324"/>
      <c r="KH920" s="324"/>
      <c r="KI920" s="324"/>
      <c r="KJ920" s="324"/>
      <c r="KK920" s="324"/>
      <c r="KL920" s="324"/>
      <c r="KM920" s="324"/>
      <c r="KN920" s="324"/>
      <c r="KO920" s="324"/>
      <c r="KP920" s="324"/>
      <c r="KQ920" s="324"/>
      <c r="KR920" s="324"/>
      <c r="KS920" s="324"/>
      <c r="KT920" s="324"/>
      <c r="KU920" s="324"/>
      <c r="KV920" s="324"/>
      <c r="KW920" s="324"/>
      <c r="KX920" s="324"/>
    </row>
    <row r="921" spans="1:310" ht="12.75" x14ac:dyDescent="0.2">
      <c r="A921" s="54"/>
      <c r="B921" s="54"/>
      <c r="C921" s="324"/>
      <c r="D921" s="324"/>
      <c r="E921" s="324"/>
      <c r="F921" s="324"/>
      <c r="G921" s="324"/>
      <c r="H921" s="324"/>
      <c r="I921" s="324"/>
      <c r="J921" s="324"/>
      <c r="K921" s="324"/>
      <c r="L921" s="324"/>
      <c r="M921" s="324"/>
      <c r="N921" s="324"/>
      <c r="O921" s="324"/>
      <c r="P921" s="324"/>
      <c r="Q921" s="324"/>
      <c r="R921" s="324"/>
      <c r="S921" s="324"/>
      <c r="T921" s="324"/>
      <c r="U921" s="324"/>
      <c r="V921" s="324"/>
      <c r="W921" s="324"/>
      <c r="X921" s="324"/>
      <c r="Y921" s="324"/>
      <c r="Z921" s="324"/>
      <c r="AA921" s="324"/>
      <c r="AB921" s="324"/>
      <c r="AC921" s="324"/>
      <c r="AD921" s="324"/>
      <c r="AE921" s="324"/>
      <c r="AF921" s="324"/>
      <c r="AG921" s="324"/>
      <c r="AH921" s="324"/>
      <c r="AI921" s="324"/>
      <c r="AJ921" s="324"/>
      <c r="AK921" s="173"/>
      <c r="AL921" s="324"/>
      <c r="AM921" s="324"/>
      <c r="AN921" s="324"/>
      <c r="AO921" s="324"/>
      <c r="AP921" s="324"/>
      <c r="AQ921" s="324"/>
      <c r="AR921" s="324"/>
      <c r="AS921" s="324"/>
      <c r="AT921" s="324"/>
      <c r="AU921" s="324"/>
      <c r="AV921" s="324"/>
      <c r="AW921" s="324"/>
      <c r="AX921" s="324"/>
      <c r="AY921" s="324"/>
      <c r="AZ921" s="324"/>
      <c r="BA921" s="324"/>
      <c r="BB921" s="324"/>
      <c r="BC921" s="324"/>
      <c r="BD921" s="324"/>
      <c r="BE921" s="324"/>
      <c r="BF921" s="324"/>
      <c r="BG921" s="324"/>
      <c r="BH921" s="324"/>
      <c r="BI921" s="324"/>
      <c r="BJ921" s="324"/>
      <c r="BK921" s="324"/>
      <c r="BL921" s="324"/>
      <c r="BM921" s="324"/>
      <c r="BN921" s="324"/>
      <c r="BO921" s="324"/>
      <c r="BP921" s="324"/>
      <c r="BQ921" s="324"/>
      <c r="BR921" s="324"/>
      <c r="BS921" s="324"/>
      <c r="BT921" s="55"/>
      <c r="BU921" s="173"/>
      <c r="BV921" s="173"/>
      <c r="BW921" s="173"/>
      <c r="BX921" s="173"/>
      <c r="BY921" s="173"/>
      <c r="BZ921" s="173"/>
      <c r="CA921" s="173"/>
      <c r="CB921" s="173"/>
      <c r="CC921" s="173"/>
      <c r="CD921" s="173"/>
      <c r="CE921" s="173"/>
      <c r="CF921" s="173"/>
      <c r="CG921" s="173"/>
      <c r="CH921" s="173"/>
      <c r="CI921" s="173"/>
      <c r="CJ921" s="173"/>
      <c r="CK921" s="55"/>
      <c r="CL921" s="324"/>
      <c r="CM921" s="324"/>
      <c r="CN921" s="324"/>
      <c r="CO921" s="324"/>
      <c r="CP921" s="324"/>
      <c r="CQ921" s="324"/>
      <c r="CR921" s="324"/>
      <c r="CS921" s="324"/>
      <c r="CT921" s="324"/>
      <c r="CU921" s="324"/>
      <c r="CV921" s="324"/>
      <c r="CW921" s="324"/>
      <c r="CX921" s="324"/>
      <c r="CY921" s="324"/>
      <c r="CZ921" s="324"/>
      <c r="DA921" s="324"/>
      <c r="DB921" s="324"/>
      <c r="DC921" s="324"/>
      <c r="DD921" s="324"/>
      <c r="DE921" s="324"/>
      <c r="DF921" s="324"/>
      <c r="DG921" s="324"/>
      <c r="DH921" s="324"/>
      <c r="DI921" s="324"/>
      <c r="DJ921" s="324"/>
      <c r="DK921" s="324"/>
      <c r="DL921" s="324"/>
      <c r="DM921" s="324"/>
      <c r="DN921" s="324"/>
      <c r="DO921" s="324"/>
      <c r="DP921" s="324"/>
      <c r="DQ921" s="324"/>
      <c r="DR921" s="324"/>
      <c r="DS921" s="324"/>
      <c r="DT921" s="324"/>
      <c r="DU921" s="324"/>
      <c r="DV921" s="324"/>
      <c r="DW921" s="324"/>
      <c r="DX921" s="324"/>
      <c r="DY921" s="324"/>
      <c r="DZ921" s="324"/>
      <c r="EA921" s="324"/>
      <c r="EB921" s="324"/>
      <c r="EC921" s="324"/>
      <c r="ED921" s="324"/>
      <c r="EE921" s="324"/>
      <c r="EG921" s="324"/>
      <c r="EH921" s="324"/>
      <c r="EI921" s="324"/>
      <c r="EJ921" s="324"/>
      <c r="EK921" s="324"/>
      <c r="EL921" s="324"/>
      <c r="EM921" s="324"/>
      <c r="EN921" s="324"/>
      <c r="EO921" s="324"/>
      <c r="EP921" s="324"/>
      <c r="EQ921" s="324"/>
      <c r="ER921" s="324"/>
      <c r="ES921" s="324"/>
      <c r="ET921" s="324"/>
      <c r="EU921" s="324"/>
      <c r="EV921" s="324"/>
      <c r="EW921" s="324"/>
      <c r="EX921" s="324"/>
      <c r="EY921" s="324"/>
      <c r="EZ921" s="324"/>
      <c r="FA921" s="324"/>
      <c r="FB921" s="324"/>
      <c r="FC921" s="324"/>
      <c r="FD921" s="324"/>
      <c r="FE921" s="324"/>
      <c r="FF921" s="324"/>
      <c r="FG921" s="324"/>
      <c r="FH921" s="324"/>
      <c r="FI921" s="324"/>
      <c r="FJ921" s="324"/>
      <c r="FK921" s="324"/>
      <c r="FL921" s="324"/>
      <c r="FM921" s="324"/>
      <c r="FN921" s="324"/>
      <c r="FP921" s="324"/>
      <c r="FQ921" s="324"/>
      <c r="FR921" s="324"/>
      <c r="FS921" s="324"/>
      <c r="FT921" s="324"/>
      <c r="FU921" s="324"/>
      <c r="FV921" s="324"/>
      <c r="FW921" s="324"/>
      <c r="FX921" s="324"/>
      <c r="FY921" s="324"/>
      <c r="FZ921" s="324"/>
      <c r="GA921" s="324"/>
      <c r="GB921" s="324"/>
      <c r="GC921" s="324"/>
      <c r="GD921" s="324"/>
      <c r="GE921" s="324"/>
      <c r="GF921" s="324"/>
      <c r="GG921" s="324"/>
      <c r="GH921" s="324"/>
      <c r="GI921" s="324"/>
      <c r="GJ921" s="324"/>
      <c r="GK921" s="324"/>
      <c r="GL921" s="324"/>
      <c r="GM921" s="324"/>
      <c r="GN921" s="324"/>
      <c r="GO921" s="324"/>
      <c r="GP921" s="324"/>
      <c r="GQ921" s="324"/>
      <c r="GR921" s="324"/>
      <c r="GS921" s="324"/>
      <c r="GT921" s="324"/>
      <c r="GU921" s="324"/>
      <c r="GV921" s="324"/>
      <c r="GW921" s="324"/>
      <c r="GY921" s="324"/>
      <c r="GZ921" s="324"/>
      <c r="HA921" s="324"/>
      <c r="HB921" s="324"/>
      <c r="HC921" s="324"/>
      <c r="HD921" s="324"/>
      <c r="HE921" s="324"/>
      <c r="HF921" s="324"/>
      <c r="HG921" s="324"/>
      <c r="HH921" s="324"/>
      <c r="HI921" s="324"/>
      <c r="HJ921" s="324"/>
      <c r="HK921" s="324"/>
      <c r="HL921" s="324"/>
      <c r="HM921" s="324"/>
      <c r="HN921" s="324"/>
      <c r="HO921" s="324"/>
      <c r="HP921" s="324"/>
      <c r="HQ921" s="324"/>
      <c r="HR921" s="324"/>
      <c r="HS921" s="324"/>
      <c r="HT921" s="324"/>
      <c r="HU921" s="324"/>
      <c r="HV921" s="324"/>
      <c r="HW921" s="324"/>
      <c r="HX921" s="324"/>
      <c r="HY921" s="324"/>
      <c r="HZ921" s="324"/>
      <c r="IA921" s="324"/>
      <c r="IB921" s="324"/>
      <c r="IC921" s="324"/>
      <c r="ID921" s="324"/>
      <c r="IE921" s="324"/>
      <c r="IF921" s="324"/>
      <c r="IH921" s="324"/>
      <c r="II921" s="324"/>
      <c r="IJ921" s="324"/>
      <c r="IK921" s="324"/>
      <c r="IL921" s="324"/>
      <c r="IM921" s="324"/>
      <c r="IN921" s="324"/>
      <c r="IO921" s="324"/>
      <c r="IP921" s="324"/>
      <c r="IQ921" s="324"/>
      <c r="IR921" s="324"/>
      <c r="IS921" s="324"/>
      <c r="IT921" s="324"/>
      <c r="IU921" s="324"/>
      <c r="IV921" s="324"/>
      <c r="IW921" s="324"/>
      <c r="IX921" s="324"/>
      <c r="IY921" s="324"/>
      <c r="IZ921" s="324"/>
      <c r="JA921" s="324"/>
      <c r="JB921" s="324"/>
      <c r="JC921" s="324"/>
      <c r="JD921" s="324"/>
      <c r="JE921" s="324"/>
      <c r="JF921" s="324"/>
      <c r="JG921" s="324"/>
      <c r="JH921" s="324"/>
      <c r="JI921" s="324"/>
      <c r="JJ921" s="324"/>
      <c r="JK921" s="324"/>
      <c r="JL921" s="324"/>
      <c r="JM921" s="324"/>
      <c r="JN921" s="324"/>
      <c r="JO921" s="324"/>
      <c r="JQ921" s="324"/>
      <c r="JR921" s="324"/>
      <c r="JS921" s="324"/>
      <c r="JT921" s="324"/>
      <c r="JU921" s="324"/>
      <c r="JV921" s="324"/>
      <c r="JW921" s="324"/>
      <c r="JX921" s="324"/>
      <c r="JY921" s="324"/>
      <c r="JZ921" s="324"/>
      <c r="KA921" s="324"/>
      <c r="KB921" s="324"/>
      <c r="KC921" s="324"/>
      <c r="KD921" s="324"/>
      <c r="KE921" s="324"/>
      <c r="KF921" s="324"/>
      <c r="KG921" s="324"/>
      <c r="KH921" s="324"/>
      <c r="KI921" s="324"/>
      <c r="KJ921" s="324"/>
      <c r="KK921" s="324"/>
      <c r="KL921" s="324"/>
      <c r="KM921" s="324"/>
      <c r="KN921" s="324"/>
      <c r="KO921" s="324"/>
      <c r="KP921" s="324"/>
      <c r="KQ921" s="324"/>
      <c r="KR921" s="324"/>
      <c r="KS921" s="324"/>
      <c r="KT921" s="324"/>
      <c r="KU921" s="324"/>
      <c r="KV921" s="324"/>
      <c r="KW921" s="324"/>
      <c r="KX921" s="324"/>
    </row>
    <row r="922" spans="1:310" ht="12.75" customHeight="1" x14ac:dyDescent="0.2">
      <c r="A922" s="54"/>
      <c r="B922" s="54"/>
      <c r="C922" s="80"/>
      <c r="D922" s="81"/>
      <c r="E922" s="81"/>
      <c r="F922" s="81"/>
      <c r="G922" s="81"/>
      <c r="H922" s="81"/>
      <c r="I922" s="81"/>
      <c r="J922" s="81"/>
      <c r="K922" s="81"/>
      <c r="L922" s="81"/>
      <c r="M922" s="81"/>
      <c r="N922" s="81"/>
      <c r="O922" s="81"/>
      <c r="P922" s="81"/>
      <c r="Q922" s="81"/>
      <c r="R922" s="81"/>
      <c r="S922" s="81"/>
      <c r="T922" s="81"/>
      <c r="U922" s="81"/>
      <c r="V922" s="81"/>
      <c r="W922" s="81"/>
      <c r="X922" s="81"/>
      <c r="Y922" s="81"/>
      <c r="Z922" s="81"/>
      <c r="AA922" s="81"/>
      <c r="AB922" s="81"/>
      <c r="AC922" s="81"/>
      <c r="AD922" s="81"/>
      <c r="AE922" s="81"/>
      <c r="AF922" s="81"/>
      <c r="AG922" s="81"/>
      <c r="AH922" s="81"/>
      <c r="AI922" s="81"/>
      <c r="AJ922" s="91"/>
      <c r="AK922" s="182"/>
      <c r="AL922" s="54"/>
      <c r="AM922" s="54"/>
      <c r="AN922" s="54"/>
      <c r="AO922" s="54"/>
      <c r="AP922" s="54"/>
      <c r="AQ922" s="54"/>
      <c r="AR922" s="54"/>
      <c r="AS922" s="54"/>
      <c r="AT922" s="54"/>
      <c r="AU922" s="54"/>
      <c r="AV922" s="54"/>
      <c r="AW922" s="54"/>
      <c r="AX922" s="54"/>
      <c r="AY922" s="54"/>
      <c r="AZ922" s="54"/>
      <c r="BA922" s="54"/>
      <c r="BB922" s="54"/>
      <c r="BC922" s="54"/>
      <c r="BD922" s="54"/>
      <c r="BE922" s="54"/>
      <c r="BF922" s="54"/>
      <c r="BG922" s="54"/>
      <c r="BH922" s="54"/>
      <c r="BI922" s="54"/>
      <c r="BJ922" s="54"/>
      <c r="BK922" s="54"/>
      <c r="BL922" s="54"/>
      <c r="BM922" s="54"/>
      <c r="BN922" s="55"/>
      <c r="BO922" s="54"/>
      <c r="BP922" s="54"/>
      <c r="BQ922" s="54"/>
      <c r="BR922" s="54"/>
      <c r="BS922" s="54"/>
      <c r="BT922" s="55"/>
      <c r="BU922" s="54"/>
      <c r="BV922" s="54"/>
      <c r="BW922" s="54"/>
      <c r="BX922" s="54"/>
      <c r="BY922" s="54"/>
      <c r="BZ922" s="54"/>
      <c r="CA922" s="173"/>
      <c r="CB922" s="173"/>
      <c r="CC922" s="173"/>
      <c r="CD922" s="173"/>
      <c r="CE922" s="173"/>
      <c r="CF922" s="173"/>
      <c r="CG922" s="54"/>
      <c r="CI922" s="55"/>
      <c r="CJ922" s="55"/>
      <c r="CK922" s="55"/>
      <c r="CL922" s="54"/>
      <c r="CM922" s="54"/>
      <c r="CN922" s="54"/>
      <c r="CO922" s="54"/>
      <c r="CP922" s="54"/>
      <c r="CQ922" s="54"/>
      <c r="CR922" s="54"/>
      <c r="CS922" s="54"/>
      <c r="CT922" s="54"/>
      <c r="CU922" s="54"/>
      <c r="CV922" s="54"/>
      <c r="CW922" s="54"/>
      <c r="CX922" s="54"/>
      <c r="CY922" s="54"/>
      <c r="CZ922" s="54"/>
      <c r="DA922" s="54"/>
      <c r="DB922" s="54"/>
      <c r="DC922" s="54"/>
      <c r="DD922" s="54"/>
      <c r="DE922" s="54"/>
      <c r="DF922" s="54"/>
      <c r="DG922" s="54"/>
      <c r="DH922" s="54"/>
      <c r="DI922" s="54"/>
      <c r="DJ922" s="54"/>
      <c r="DK922" s="54"/>
      <c r="DL922" s="54"/>
      <c r="DM922" s="54"/>
      <c r="DN922" s="54"/>
      <c r="DO922" s="54"/>
      <c r="DP922" s="54"/>
      <c r="DQ922" s="54"/>
      <c r="DR922" s="54"/>
      <c r="DS922" s="54"/>
      <c r="DT922" s="54"/>
      <c r="DU922" s="54"/>
      <c r="DV922" s="55"/>
      <c r="EG922" s="173"/>
      <c r="EH922" s="175"/>
      <c r="EI922" s="175"/>
      <c r="EJ922" s="175"/>
      <c r="EK922" s="175"/>
      <c r="EL922" s="175"/>
      <c r="EM922" s="175"/>
      <c r="EN922" s="175"/>
      <c r="EO922" s="175"/>
      <c r="EP922" s="175"/>
      <c r="EQ922" s="175"/>
      <c r="ER922" s="175"/>
      <c r="ES922" s="175"/>
      <c r="ET922" s="175"/>
      <c r="EU922" s="175"/>
      <c r="EV922" s="175"/>
      <c r="EW922" s="175"/>
      <c r="EX922" s="175"/>
      <c r="EY922" s="175"/>
      <c r="EZ922" s="175"/>
      <c r="FA922" s="175"/>
      <c r="FB922" s="175"/>
      <c r="FC922" s="175"/>
      <c r="FD922" s="175"/>
      <c r="FE922" s="175"/>
      <c r="FF922" s="175"/>
      <c r="FG922" s="175"/>
      <c r="FH922" s="175"/>
      <c r="FI922" s="175"/>
      <c r="FJ922" s="175"/>
      <c r="FK922" s="175"/>
      <c r="FL922" s="175"/>
      <c r="FM922" s="175"/>
      <c r="FN922" s="175"/>
      <c r="FP922" s="173"/>
      <c r="FQ922" s="175"/>
      <c r="FR922" s="175"/>
      <c r="FS922" s="175"/>
      <c r="FT922" s="175"/>
      <c r="FU922" s="175"/>
      <c r="FV922" s="175"/>
      <c r="FW922" s="175"/>
      <c r="FX922" s="175"/>
      <c r="FY922" s="175"/>
      <c r="FZ922" s="175"/>
      <c r="GA922" s="175"/>
      <c r="GB922" s="175"/>
      <c r="GC922" s="175"/>
      <c r="GD922" s="175"/>
      <c r="GE922" s="175"/>
      <c r="GF922" s="175"/>
      <c r="GG922" s="175"/>
      <c r="GH922" s="175"/>
      <c r="GI922" s="175"/>
      <c r="GJ922" s="175"/>
      <c r="GK922" s="175"/>
      <c r="GL922" s="175"/>
      <c r="GM922" s="175"/>
      <c r="GN922" s="175"/>
      <c r="GO922" s="175"/>
      <c r="GP922" s="175"/>
      <c r="GQ922" s="175"/>
      <c r="GR922" s="175"/>
      <c r="GS922" s="175"/>
      <c r="GT922" s="175"/>
      <c r="GU922" s="175"/>
      <c r="GV922" s="175"/>
      <c r="GW922" s="175"/>
      <c r="GY922" s="173"/>
      <c r="GZ922" s="175"/>
      <c r="HA922" s="175"/>
      <c r="HB922" s="175"/>
      <c r="HC922" s="175"/>
      <c r="HD922" s="175"/>
      <c r="HE922" s="175"/>
      <c r="HF922" s="175"/>
      <c r="HG922" s="175"/>
      <c r="HH922" s="175"/>
      <c r="HI922" s="175"/>
      <c r="HJ922" s="175"/>
      <c r="HK922" s="175"/>
      <c r="HL922" s="175"/>
      <c r="HM922" s="175"/>
      <c r="HN922" s="175"/>
      <c r="HO922" s="175"/>
      <c r="HP922" s="175"/>
      <c r="HQ922" s="175"/>
      <c r="HR922" s="175"/>
      <c r="HS922" s="175"/>
      <c r="HT922" s="175"/>
      <c r="HU922" s="175"/>
      <c r="HV922" s="175"/>
      <c r="HW922" s="175"/>
      <c r="HX922" s="175"/>
      <c r="HY922" s="175"/>
      <c r="HZ922" s="175"/>
      <c r="IA922" s="175"/>
      <c r="IB922" s="175"/>
      <c r="IC922" s="175"/>
      <c r="ID922" s="175"/>
      <c r="IE922" s="175"/>
      <c r="IF922" s="175"/>
      <c r="IH922" s="173"/>
      <c r="II922" s="175"/>
      <c r="IJ922" s="175"/>
      <c r="IK922" s="175"/>
      <c r="IL922" s="175"/>
      <c r="IM922" s="175"/>
      <c r="IN922" s="175"/>
      <c r="IO922" s="175"/>
      <c r="IP922" s="175"/>
      <c r="IQ922" s="175"/>
      <c r="IR922" s="175"/>
      <c r="IS922" s="175"/>
      <c r="IT922" s="175"/>
      <c r="IU922" s="175"/>
      <c r="IV922" s="175"/>
      <c r="IW922" s="175"/>
      <c r="IX922" s="175"/>
      <c r="IY922" s="175"/>
      <c r="IZ922" s="175"/>
      <c r="JA922" s="175"/>
      <c r="JB922" s="175"/>
      <c r="JC922" s="175"/>
      <c r="JD922" s="175"/>
      <c r="JE922" s="175"/>
      <c r="JF922" s="175"/>
      <c r="JG922" s="175"/>
      <c r="JH922" s="175"/>
      <c r="JI922" s="175"/>
      <c r="JJ922" s="175"/>
      <c r="JK922" s="175"/>
      <c r="JL922" s="175"/>
      <c r="JM922" s="175"/>
      <c r="JN922" s="175"/>
      <c r="JO922" s="175"/>
      <c r="JQ922" s="173"/>
      <c r="JR922" s="175"/>
      <c r="JS922" s="175"/>
      <c r="JT922" s="175"/>
      <c r="JU922" s="175"/>
      <c r="JV922" s="175"/>
      <c r="JW922" s="175"/>
      <c r="JX922" s="175"/>
      <c r="JY922" s="175"/>
      <c r="JZ922" s="175"/>
      <c r="KA922" s="175"/>
      <c r="KB922" s="175"/>
      <c r="KC922" s="175"/>
      <c r="KD922" s="175"/>
      <c r="KE922" s="175"/>
      <c r="KF922" s="175"/>
      <c r="KG922" s="175"/>
      <c r="KH922" s="175"/>
      <c r="KI922" s="175"/>
      <c r="KJ922" s="175"/>
      <c r="KK922" s="175"/>
      <c r="KL922" s="175"/>
      <c r="KM922" s="175"/>
      <c r="KN922" s="175"/>
      <c r="KO922" s="175"/>
      <c r="KP922" s="175"/>
      <c r="KQ922" s="175"/>
      <c r="KR922" s="175"/>
      <c r="KS922" s="175"/>
      <c r="KT922" s="175"/>
      <c r="KU922" s="175"/>
      <c r="KV922" s="175"/>
      <c r="KW922" s="175"/>
      <c r="KX922" s="175"/>
    </row>
    <row r="923" spans="1:310" ht="12.75" customHeight="1" x14ac:dyDescent="0.2">
      <c r="A923" s="54"/>
      <c r="B923" s="54"/>
      <c r="C923" s="54"/>
      <c r="D923" s="333" t="str">
        <f>IF( $O$61="Embebido",$BV$923,
          IF( OR($O$64 ="Hilti HIT-RE 500-SD",$O$64 ="Hilti HIT-HY 200-R",$O$64 ="Hilti HIT-MM Plus",$O$64 ="Inyectable"),$II$923,
                    IF( OR($O$64 ="Hilti HDA",$O$64 ="Sobre-excavado"),$GZ$923,
                            IF( OR($O$64 ="Hilti HSL-3",$O$64 ="Expansivo de camisa"),$FQ$923,
                                         IF( OR($O$64 ="Hilti KH-EZ",$O$64 ="Hilti KH",$O$64 ="Hilti KH-EZ-I",$O$64 ="Hilti KH-I",$O$64 ="Atornillado"),$EH$923,
                                                      IF( OR( $O$64 ="Hilti HKB3",$O$64 ="Expansivo de cuña"),$CM$923,
                                                                    IF( OR($O$64 ="Hilti HVA",$O$64 ="Capsula"),$JR$923,
                                                                                  $AM$923                                                                        )
                                                          )
                                              )
                                 )
                        )
             )
   )</f>
        <v>1.      Uso en interiores: a menos que se especifique de otra forma en planos, suministrar varillas roscadas en acero al carbón conformes con ASTM A36, ASTM A 193 Tipo B7 o ISO 898 Clase 5.8 con recubrimiento de zinc de acuerdo con ASTM B633, Tipo III Fe/Zn 5 (SC1) o varillas HIT-Z en acero al carbón conformes con ASTM A510 fabricadas de material según AISI 1038.</v>
      </c>
      <c r="E923" s="333"/>
      <c r="F923" s="333"/>
      <c r="G923" s="333"/>
      <c r="H923" s="333"/>
      <c r="I923" s="333"/>
      <c r="J923" s="333"/>
      <c r="K923" s="333"/>
      <c r="L923" s="333"/>
      <c r="M923" s="333"/>
      <c r="N923" s="333"/>
      <c r="O923" s="333"/>
      <c r="P923" s="333"/>
      <c r="Q923" s="333"/>
      <c r="R923" s="333"/>
      <c r="S923" s="333"/>
      <c r="T923" s="333"/>
      <c r="U923" s="333"/>
      <c r="V923" s="333"/>
      <c r="W923" s="333"/>
      <c r="X923" s="333"/>
      <c r="Y923" s="333"/>
      <c r="Z923" s="333"/>
      <c r="AA923" s="333"/>
      <c r="AB923" s="333"/>
      <c r="AC923" s="333"/>
      <c r="AD923" s="333"/>
      <c r="AE923" s="333"/>
      <c r="AF923" s="333"/>
      <c r="AG923" s="333"/>
      <c r="AH923" s="333"/>
      <c r="AI923" s="333"/>
      <c r="AJ923" s="333"/>
      <c r="AK923" s="175"/>
      <c r="AL923" s="54"/>
      <c r="AM923" s="324" t="s">
        <v>620</v>
      </c>
      <c r="AN923" s="324"/>
      <c r="AO923" s="324"/>
      <c r="AP923" s="324"/>
      <c r="AQ923" s="324"/>
      <c r="AR923" s="324"/>
      <c r="AS923" s="324"/>
      <c r="AT923" s="324"/>
      <c r="AU923" s="324"/>
      <c r="AV923" s="324"/>
      <c r="AW923" s="324"/>
      <c r="AX923" s="324"/>
      <c r="AY923" s="324"/>
      <c r="AZ923" s="324"/>
      <c r="BA923" s="324"/>
      <c r="BB923" s="324"/>
      <c r="BC923" s="324"/>
      <c r="BD923" s="324"/>
      <c r="BE923" s="324"/>
      <c r="BF923" s="324"/>
      <c r="BG923" s="324"/>
      <c r="BH923" s="324"/>
      <c r="BI923" s="324"/>
      <c r="BJ923" s="324"/>
      <c r="BK923" s="324"/>
      <c r="BL923" s="324"/>
      <c r="BM923" s="324"/>
      <c r="BN923" s="324"/>
      <c r="BO923" s="324"/>
      <c r="BP923" s="324"/>
      <c r="BQ923" s="324"/>
      <c r="BR923" s="324"/>
      <c r="BS923" s="324"/>
      <c r="BT923" s="55"/>
      <c r="BU923" s="54"/>
      <c r="BV923" s="173" t="s">
        <v>620</v>
      </c>
      <c r="BW923" s="173"/>
      <c r="BX923" s="173"/>
      <c r="BY923" s="173"/>
      <c r="BZ923" s="173"/>
      <c r="CA923" s="54"/>
      <c r="CB923" s="54"/>
      <c r="CC923" s="54"/>
      <c r="CD923" s="54"/>
      <c r="CE923" s="54"/>
      <c r="CF923" s="54"/>
      <c r="CG923" s="173"/>
      <c r="CH923" s="173"/>
      <c r="CI923" s="173"/>
      <c r="CJ923" s="173"/>
      <c r="CK923" s="55"/>
      <c r="CL923" s="54"/>
      <c r="CM923" s="333" t="s">
        <v>327</v>
      </c>
      <c r="CN923" s="333"/>
      <c r="CO923" s="333"/>
      <c r="CP923" s="333"/>
      <c r="CQ923" s="333"/>
      <c r="CR923" s="333"/>
      <c r="CS923" s="333"/>
      <c r="CT923" s="333"/>
      <c r="CU923" s="333"/>
      <c r="CV923" s="333"/>
      <c r="CW923" s="333"/>
      <c r="CX923" s="333"/>
      <c r="CY923" s="333"/>
      <c r="CZ923" s="333"/>
      <c r="DA923" s="333"/>
      <c r="DB923" s="333"/>
      <c r="DC923" s="333"/>
      <c r="DD923" s="333"/>
      <c r="DE923" s="333"/>
      <c r="DF923" s="333"/>
      <c r="DG923" s="333"/>
      <c r="DH923" s="333"/>
      <c r="DI923" s="333"/>
      <c r="DJ923" s="333"/>
      <c r="DK923" s="333"/>
      <c r="DL923" s="333"/>
      <c r="DM923" s="333"/>
      <c r="DN923" s="333"/>
      <c r="DO923" s="333"/>
      <c r="DP923" s="333"/>
      <c r="DQ923" s="333"/>
      <c r="DR923" s="333"/>
      <c r="DS923" s="333"/>
      <c r="DT923" s="333"/>
      <c r="DU923" s="333"/>
      <c r="DV923" s="333"/>
      <c r="DW923" s="333"/>
      <c r="DX923" s="333"/>
      <c r="DY923" s="333"/>
      <c r="DZ923" s="333"/>
      <c r="EA923" s="333"/>
      <c r="EB923" s="333"/>
      <c r="EC923" s="333"/>
      <c r="ED923" s="333"/>
      <c r="EE923" s="333"/>
      <c r="EG923" s="54"/>
      <c r="EH923" s="333" t="s">
        <v>329</v>
      </c>
      <c r="EI923" s="333"/>
      <c r="EJ923" s="333"/>
      <c r="EK923" s="333"/>
      <c r="EL923" s="333"/>
      <c r="EM923" s="333"/>
      <c r="EN923" s="333"/>
      <c r="EO923" s="333"/>
      <c r="EP923" s="333"/>
      <c r="EQ923" s="333"/>
      <c r="ER923" s="333"/>
      <c r="ES923" s="333"/>
      <c r="ET923" s="333"/>
      <c r="EU923" s="333"/>
      <c r="EV923" s="333"/>
      <c r="EW923" s="333"/>
      <c r="EX923" s="333"/>
      <c r="EY923" s="333"/>
      <c r="EZ923" s="333"/>
      <c r="FA923" s="333"/>
      <c r="FB923" s="333"/>
      <c r="FC923" s="333"/>
      <c r="FD923" s="333"/>
      <c r="FE923" s="333"/>
      <c r="FF923" s="333"/>
      <c r="FG923" s="333"/>
      <c r="FH923" s="333"/>
      <c r="FI923" s="333"/>
      <c r="FJ923" s="333"/>
      <c r="FK923" s="333"/>
      <c r="FL923" s="333"/>
      <c r="FM923" s="333"/>
      <c r="FN923" s="333"/>
      <c r="FP923" s="54"/>
      <c r="FQ923" s="333" t="s">
        <v>331</v>
      </c>
      <c r="FR923" s="333"/>
      <c r="FS923" s="333"/>
      <c r="FT923" s="333"/>
      <c r="FU923" s="333"/>
      <c r="FV923" s="333"/>
      <c r="FW923" s="333"/>
      <c r="FX923" s="333"/>
      <c r="FY923" s="333"/>
      <c r="FZ923" s="333"/>
      <c r="GA923" s="333"/>
      <c r="GB923" s="333"/>
      <c r="GC923" s="333"/>
      <c r="GD923" s="333"/>
      <c r="GE923" s="333"/>
      <c r="GF923" s="333"/>
      <c r="GG923" s="333"/>
      <c r="GH923" s="333"/>
      <c r="GI923" s="333"/>
      <c r="GJ923" s="333"/>
      <c r="GK923" s="333"/>
      <c r="GL923" s="333"/>
      <c r="GM923" s="333"/>
      <c r="GN923" s="333"/>
      <c r="GO923" s="333"/>
      <c r="GP923" s="333"/>
      <c r="GQ923" s="333"/>
      <c r="GR923" s="333"/>
      <c r="GS923" s="333"/>
      <c r="GT923" s="333"/>
      <c r="GU923" s="333"/>
      <c r="GV923" s="333"/>
      <c r="GW923" s="333"/>
      <c r="GY923" s="54"/>
      <c r="GZ923" s="333" t="s">
        <v>331</v>
      </c>
      <c r="HA923" s="333"/>
      <c r="HB923" s="333"/>
      <c r="HC923" s="333"/>
      <c r="HD923" s="333"/>
      <c r="HE923" s="333"/>
      <c r="HF923" s="333"/>
      <c r="HG923" s="333"/>
      <c r="HH923" s="333"/>
      <c r="HI923" s="333"/>
      <c r="HJ923" s="333"/>
      <c r="HK923" s="333"/>
      <c r="HL923" s="333"/>
      <c r="HM923" s="333"/>
      <c r="HN923" s="333"/>
      <c r="HO923" s="333"/>
      <c r="HP923" s="333"/>
      <c r="HQ923" s="333"/>
      <c r="HR923" s="333"/>
      <c r="HS923" s="333"/>
      <c r="HT923" s="333"/>
      <c r="HU923" s="333"/>
      <c r="HV923" s="333"/>
      <c r="HW923" s="333"/>
      <c r="HX923" s="333"/>
      <c r="HY923" s="333"/>
      <c r="HZ923" s="333"/>
      <c r="IA923" s="333"/>
      <c r="IB923" s="333"/>
      <c r="IC923" s="333"/>
      <c r="ID923" s="333"/>
      <c r="IE923" s="333"/>
      <c r="IF923" s="333"/>
      <c r="IH923" s="54"/>
      <c r="II923" s="333" t="s">
        <v>334</v>
      </c>
      <c r="IJ923" s="333"/>
      <c r="IK923" s="333"/>
      <c r="IL923" s="333"/>
      <c r="IM923" s="333"/>
      <c r="IN923" s="333"/>
      <c r="IO923" s="333"/>
      <c r="IP923" s="333"/>
      <c r="IQ923" s="333"/>
      <c r="IR923" s="333"/>
      <c r="IS923" s="333"/>
      <c r="IT923" s="333"/>
      <c r="IU923" s="333"/>
      <c r="IV923" s="333"/>
      <c r="IW923" s="333"/>
      <c r="IX923" s="333"/>
      <c r="IY923" s="333"/>
      <c r="IZ923" s="333"/>
      <c r="JA923" s="333"/>
      <c r="JB923" s="333"/>
      <c r="JC923" s="333"/>
      <c r="JD923" s="333"/>
      <c r="JE923" s="333"/>
      <c r="JF923" s="333"/>
      <c r="JG923" s="333"/>
      <c r="JH923" s="333"/>
      <c r="JI923" s="333"/>
      <c r="JJ923" s="333"/>
      <c r="JK923" s="333"/>
      <c r="JL923" s="333"/>
      <c r="JM923" s="333"/>
      <c r="JN923" s="333"/>
      <c r="JO923" s="333"/>
      <c r="JQ923" s="54"/>
      <c r="JR923" s="324" t="s">
        <v>338</v>
      </c>
      <c r="JS923" s="324"/>
      <c r="JT923" s="324"/>
      <c r="JU923" s="324"/>
      <c r="JV923" s="324"/>
      <c r="JW923" s="324"/>
      <c r="JX923" s="324"/>
      <c r="JY923" s="324"/>
      <c r="JZ923" s="324"/>
      <c r="KA923" s="324"/>
      <c r="KB923" s="324"/>
      <c r="KC923" s="324"/>
      <c r="KD923" s="324"/>
      <c r="KE923" s="324"/>
      <c r="KF923" s="324"/>
      <c r="KG923" s="324"/>
      <c r="KH923" s="324"/>
      <c r="KI923" s="324"/>
      <c r="KJ923" s="324"/>
      <c r="KK923" s="324"/>
      <c r="KL923" s="324"/>
      <c r="KM923" s="324"/>
      <c r="KN923" s="324"/>
      <c r="KO923" s="324"/>
      <c r="KP923" s="324"/>
      <c r="KQ923" s="324"/>
      <c r="KR923" s="324"/>
      <c r="KS923" s="324"/>
      <c r="KT923" s="324"/>
      <c r="KU923" s="324"/>
      <c r="KV923" s="324"/>
      <c r="KW923" s="324"/>
      <c r="KX923" s="324"/>
    </row>
    <row r="924" spans="1:310" ht="12.75" x14ac:dyDescent="0.2">
      <c r="A924" s="54"/>
      <c r="B924" s="54"/>
      <c r="C924" s="54"/>
      <c r="D924" s="333"/>
      <c r="E924" s="333"/>
      <c r="F924" s="333"/>
      <c r="G924" s="333"/>
      <c r="H924" s="333"/>
      <c r="I924" s="333"/>
      <c r="J924" s="333"/>
      <c r="K924" s="333"/>
      <c r="L924" s="333"/>
      <c r="M924" s="333"/>
      <c r="N924" s="333"/>
      <c r="O924" s="333"/>
      <c r="P924" s="333"/>
      <c r="Q924" s="333"/>
      <c r="R924" s="333"/>
      <c r="S924" s="333"/>
      <c r="T924" s="333"/>
      <c r="U924" s="333"/>
      <c r="V924" s="333"/>
      <c r="W924" s="333"/>
      <c r="X924" s="333"/>
      <c r="Y924" s="333"/>
      <c r="Z924" s="333"/>
      <c r="AA924" s="333"/>
      <c r="AB924" s="333"/>
      <c r="AC924" s="333"/>
      <c r="AD924" s="333"/>
      <c r="AE924" s="333"/>
      <c r="AF924" s="333"/>
      <c r="AG924" s="333"/>
      <c r="AH924" s="333"/>
      <c r="AI924" s="333"/>
      <c r="AJ924" s="333"/>
      <c r="AK924" s="175"/>
      <c r="AL924" s="54"/>
      <c r="AM924" s="324"/>
      <c r="AN924" s="324"/>
      <c r="AO924" s="324"/>
      <c r="AP924" s="324"/>
      <c r="AQ924" s="324"/>
      <c r="AR924" s="324"/>
      <c r="AS924" s="324"/>
      <c r="AT924" s="324"/>
      <c r="AU924" s="324"/>
      <c r="AV924" s="324"/>
      <c r="AW924" s="324"/>
      <c r="AX924" s="324"/>
      <c r="AY924" s="324"/>
      <c r="AZ924" s="324"/>
      <c r="BA924" s="324"/>
      <c r="BB924" s="324"/>
      <c r="BC924" s="324"/>
      <c r="BD924" s="324"/>
      <c r="BE924" s="324"/>
      <c r="BF924" s="324"/>
      <c r="BG924" s="324"/>
      <c r="BH924" s="324"/>
      <c r="BI924" s="324"/>
      <c r="BJ924" s="324"/>
      <c r="BK924" s="324"/>
      <c r="BL924" s="324"/>
      <c r="BM924" s="324"/>
      <c r="BN924" s="324"/>
      <c r="BO924" s="324"/>
      <c r="BP924" s="324"/>
      <c r="BQ924" s="324"/>
      <c r="BR924" s="324"/>
      <c r="BS924" s="324"/>
      <c r="BT924" s="55"/>
      <c r="BU924" s="54"/>
      <c r="BV924" s="173"/>
      <c r="BW924" s="173"/>
      <c r="BX924" s="173"/>
      <c r="BY924" s="173"/>
      <c r="BZ924" s="173"/>
      <c r="CA924" s="173"/>
      <c r="CB924" s="173"/>
      <c r="CC924" s="173"/>
      <c r="CD924" s="173"/>
      <c r="CE924" s="173"/>
      <c r="CF924" s="173"/>
      <c r="CG924" s="173"/>
      <c r="CH924" s="173"/>
      <c r="CI924" s="173"/>
      <c r="CJ924" s="173"/>
      <c r="CK924" s="55"/>
      <c r="CL924" s="54"/>
      <c r="CM924" s="333"/>
      <c r="CN924" s="333"/>
      <c r="CO924" s="333"/>
      <c r="CP924" s="333"/>
      <c r="CQ924" s="333"/>
      <c r="CR924" s="333"/>
      <c r="CS924" s="333"/>
      <c r="CT924" s="333"/>
      <c r="CU924" s="333"/>
      <c r="CV924" s="333"/>
      <c r="CW924" s="333"/>
      <c r="CX924" s="333"/>
      <c r="CY924" s="333"/>
      <c r="CZ924" s="333"/>
      <c r="DA924" s="333"/>
      <c r="DB924" s="333"/>
      <c r="DC924" s="333"/>
      <c r="DD924" s="333"/>
      <c r="DE924" s="333"/>
      <c r="DF924" s="333"/>
      <c r="DG924" s="333"/>
      <c r="DH924" s="333"/>
      <c r="DI924" s="333"/>
      <c r="DJ924" s="333"/>
      <c r="DK924" s="333"/>
      <c r="DL924" s="333"/>
      <c r="DM924" s="333"/>
      <c r="DN924" s="333"/>
      <c r="DO924" s="333"/>
      <c r="DP924" s="333"/>
      <c r="DQ924" s="333"/>
      <c r="DR924" s="333"/>
      <c r="DS924" s="333"/>
      <c r="DT924" s="333"/>
      <c r="DU924" s="333"/>
      <c r="DV924" s="333"/>
      <c r="DW924" s="333"/>
      <c r="DX924" s="333"/>
      <c r="DY924" s="333"/>
      <c r="DZ924" s="333"/>
      <c r="EA924" s="333"/>
      <c r="EB924" s="333"/>
      <c r="EC924" s="333"/>
      <c r="ED924" s="333"/>
      <c r="EE924" s="333"/>
      <c r="EG924" s="54"/>
      <c r="EH924" s="333"/>
      <c r="EI924" s="333"/>
      <c r="EJ924" s="333"/>
      <c r="EK924" s="333"/>
      <c r="EL924" s="333"/>
      <c r="EM924" s="333"/>
      <c r="EN924" s="333"/>
      <c r="EO924" s="333"/>
      <c r="EP924" s="333"/>
      <c r="EQ924" s="333"/>
      <c r="ER924" s="333"/>
      <c r="ES924" s="333"/>
      <c r="ET924" s="333"/>
      <c r="EU924" s="333"/>
      <c r="EV924" s="333"/>
      <c r="EW924" s="333"/>
      <c r="EX924" s="333"/>
      <c r="EY924" s="333"/>
      <c r="EZ924" s="333"/>
      <c r="FA924" s="333"/>
      <c r="FB924" s="333"/>
      <c r="FC924" s="333"/>
      <c r="FD924" s="333"/>
      <c r="FE924" s="333"/>
      <c r="FF924" s="333"/>
      <c r="FG924" s="333"/>
      <c r="FH924" s="333"/>
      <c r="FI924" s="333"/>
      <c r="FJ924" s="333"/>
      <c r="FK924" s="333"/>
      <c r="FL924" s="333"/>
      <c r="FM924" s="333"/>
      <c r="FN924" s="333"/>
      <c r="FP924" s="54"/>
      <c r="FQ924" s="333"/>
      <c r="FR924" s="333"/>
      <c r="FS924" s="333"/>
      <c r="FT924" s="333"/>
      <c r="FU924" s="333"/>
      <c r="FV924" s="333"/>
      <c r="FW924" s="333"/>
      <c r="FX924" s="333"/>
      <c r="FY924" s="333"/>
      <c r="FZ924" s="333"/>
      <c r="GA924" s="333"/>
      <c r="GB924" s="333"/>
      <c r="GC924" s="333"/>
      <c r="GD924" s="333"/>
      <c r="GE924" s="333"/>
      <c r="GF924" s="333"/>
      <c r="GG924" s="333"/>
      <c r="GH924" s="333"/>
      <c r="GI924" s="333"/>
      <c r="GJ924" s="333"/>
      <c r="GK924" s="333"/>
      <c r="GL924" s="333"/>
      <c r="GM924" s="333"/>
      <c r="GN924" s="333"/>
      <c r="GO924" s="333"/>
      <c r="GP924" s="333"/>
      <c r="GQ924" s="333"/>
      <c r="GR924" s="333"/>
      <c r="GS924" s="333"/>
      <c r="GT924" s="333"/>
      <c r="GU924" s="333"/>
      <c r="GV924" s="333"/>
      <c r="GW924" s="333"/>
      <c r="GY924" s="54"/>
      <c r="GZ924" s="333"/>
      <c r="HA924" s="333"/>
      <c r="HB924" s="333"/>
      <c r="HC924" s="333"/>
      <c r="HD924" s="333"/>
      <c r="HE924" s="333"/>
      <c r="HF924" s="333"/>
      <c r="HG924" s="333"/>
      <c r="HH924" s="333"/>
      <c r="HI924" s="333"/>
      <c r="HJ924" s="333"/>
      <c r="HK924" s="333"/>
      <c r="HL924" s="333"/>
      <c r="HM924" s="333"/>
      <c r="HN924" s="333"/>
      <c r="HO924" s="333"/>
      <c r="HP924" s="333"/>
      <c r="HQ924" s="333"/>
      <c r="HR924" s="333"/>
      <c r="HS924" s="333"/>
      <c r="HT924" s="333"/>
      <c r="HU924" s="333"/>
      <c r="HV924" s="333"/>
      <c r="HW924" s="333"/>
      <c r="HX924" s="333"/>
      <c r="HY924" s="333"/>
      <c r="HZ924" s="333"/>
      <c r="IA924" s="333"/>
      <c r="IB924" s="333"/>
      <c r="IC924" s="333"/>
      <c r="ID924" s="333"/>
      <c r="IE924" s="333"/>
      <c r="IF924" s="333"/>
      <c r="IH924" s="54"/>
      <c r="II924" s="333"/>
      <c r="IJ924" s="333"/>
      <c r="IK924" s="333"/>
      <c r="IL924" s="333"/>
      <c r="IM924" s="333"/>
      <c r="IN924" s="333"/>
      <c r="IO924" s="333"/>
      <c r="IP924" s="333"/>
      <c r="IQ924" s="333"/>
      <c r="IR924" s="333"/>
      <c r="IS924" s="333"/>
      <c r="IT924" s="333"/>
      <c r="IU924" s="333"/>
      <c r="IV924" s="333"/>
      <c r="IW924" s="333"/>
      <c r="IX924" s="333"/>
      <c r="IY924" s="333"/>
      <c r="IZ924" s="333"/>
      <c r="JA924" s="333"/>
      <c r="JB924" s="333"/>
      <c r="JC924" s="333"/>
      <c r="JD924" s="333"/>
      <c r="JE924" s="333"/>
      <c r="JF924" s="333"/>
      <c r="JG924" s="333"/>
      <c r="JH924" s="333"/>
      <c r="JI924" s="333"/>
      <c r="JJ924" s="333"/>
      <c r="JK924" s="333"/>
      <c r="JL924" s="333"/>
      <c r="JM924" s="333"/>
      <c r="JN924" s="333"/>
      <c r="JO924" s="333"/>
      <c r="JQ924" s="54"/>
      <c r="JR924" s="324"/>
      <c r="JS924" s="324"/>
      <c r="JT924" s="324"/>
      <c r="JU924" s="324"/>
      <c r="JV924" s="324"/>
      <c r="JW924" s="324"/>
      <c r="JX924" s="324"/>
      <c r="JY924" s="324"/>
      <c r="JZ924" s="324"/>
      <c r="KA924" s="324"/>
      <c r="KB924" s="324"/>
      <c r="KC924" s="324"/>
      <c r="KD924" s="324"/>
      <c r="KE924" s="324"/>
      <c r="KF924" s="324"/>
      <c r="KG924" s="324"/>
      <c r="KH924" s="324"/>
      <c r="KI924" s="324"/>
      <c r="KJ924" s="324"/>
      <c r="KK924" s="324"/>
      <c r="KL924" s="324"/>
      <c r="KM924" s="324"/>
      <c r="KN924" s="324"/>
      <c r="KO924" s="324"/>
      <c r="KP924" s="324"/>
      <c r="KQ924" s="324"/>
      <c r="KR924" s="324"/>
      <c r="KS924" s="324"/>
      <c r="KT924" s="324"/>
      <c r="KU924" s="324"/>
      <c r="KV924" s="324"/>
      <c r="KW924" s="324"/>
      <c r="KX924" s="324"/>
    </row>
    <row r="925" spans="1:310" ht="12.75" x14ac:dyDescent="0.2">
      <c r="A925" s="54"/>
      <c r="B925" s="54"/>
      <c r="C925" s="54"/>
      <c r="D925" s="333"/>
      <c r="E925" s="333"/>
      <c r="F925" s="333"/>
      <c r="G925" s="333"/>
      <c r="H925" s="333"/>
      <c r="I925" s="333"/>
      <c r="J925" s="333"/>
      <c r="K925" s="333"/>
      <c r="L925" s="333"/>
      <c r="M925" s="333"/>
      <c r="N925" s="333"/>
      <c r="O925" s="333"/>
      <c r="P925" s="333"/>
      <c r="Q925" s="333"/>
      <c r="R925" s="333"/>
      <c r="S925" s="333"/>
      <c r="T925" s="333"/>
      <c r="U925" s="333"/>
      <c r="V925" s="333"/>
      <c r="W925" s="333"/>
      <c r="X925" s="333"/>
      <c r="Y925" s="333"/>
      <c r="Z925" s="333"/>
      <c r="AA925" s="333"/>
      <c r="AB925" s="333"/>
      <c r="AC925" s="333"/>
      <c r="AD925" s="333"/>
      <c r="AE925" s="333"/>
      <c r="AF925" s="333"/>
      <c r="AG925" s="333"/>
      <c r="AH925" s="333"/>
      <c r="AI925" s="333"/>
      <c r="AJ925" s="333"/>
      <c r="AK925" s="175"/>
      <c r="AL925" s="54"/>
      <c r="AM925" s="324"/>
      <c r="AN925" s="324"/>
      <c r="AO925" s="324"/>
      <c r="AP925" s="324"/>
      <c r="AQ925" s="324"/>
      <c r="AR925" s="324"/>
      <c r="AS925" s="324"/>
      <c r="AT925" s="324"/>
      <c r="AU925" s="324"/>
      <c r="AV925" s="324"/>
      <c r="AW925" s="324"/>
      <c r="AX925" s="324"/>
      <c r="AY925" s="324"/>
      <c r="AZ925" s="324"/>
      <c r="BA925" s="324"/>
      <c r="BB925" s="324"/>
      <c r="BC925" s="324"/>
      <c r="BD925" s="324"/>
      <c r="BE925" s="324"/>
      <c r="BF925" s="324"/>
      <c r="BG925" s="324"/>
      <c r="BH925" s="324"/>
      <c r="BI925" s="324"/>
      <c r="BJ925" s="324"/>
      <c r="BK925" s="324"/>
      <c r="BL925" s="324"/>
      <c r="BM925" s="324"/>
      <c r="BN925" s="324"/>
      <c r="BO925" s="324"/>
      <c r="BP925" s="324"/>
      <c r="BQ925" s="324"/>
      <c r="BR925" s="324"/>
      <c r="BS925" s="324"/>
      <c r="BT925" s="55"/>
      <c r="BU925" s="54"/>
      <c r="BV925" s="173"/>
      <c r="BW925" s="173"/>
      <c r="BX925" s="173"/>
      <c r="BY925" s="173"/>
      <c r="BZ925" s="173"/>
      <c r="CA925" s="173"/>
      <c r="CB925" s="173"/>
      <c r="CC925" s="173"/>
      <c r="CD925" s="173"/>
      <c r="CE925" s="173"/>
      <c r="CF925" s="173"/>
      <c r="CG925" s="173"/>
      <c r="CH925" s="173"/>
      <c r="CI925" s="173"/>
      <c r="CJ925" s="173"/>
      <c r="CK925" s="55"/>
      <c r="CL925" s="54"/>
      <c r="CM925" s="333"/>
      <c r="CN925" s="333"/>
      <c r="CO925" s="333"/>
      <c r="CP925" s="333"/>
      <c r="CQ925" s="333"/>
      <c r="CR925" s="333"/>
      <c r="CS925" s="333"/>
      <c r="CT925" s="333"/>
      <c r="CU925" s="333"/>
      <c r="CV925" s="333"/>
      <c r="CW925" s="333"/>
      <c r="CX925" s="333"/>
      <c r="CY925" s="333"/>
      <c r="CZ925" s="333"/>
      <c r="DA925" s="333"/>
      <c r="DB925" s="333"/>
      <c r="DC925" s="333"/>
      <c r="DD925" s="333"/>
      <c r="DE925" s="333"/>
      <c r="DF925" s="333"/>
      <c r="DG925" s="333"/>
      <c r="DH925" s="333"/>
      <c r="DI925" s="333"/>
      <c r="DJ925" s="333"/>
      <c r="DK925" s="333"/>
      <c r="DL925" s="333"/>
      <c r="DM925" s="333"/>
      <c r="DN925" s="333"/>
      <c r="DO925" s="333"/>
      <c r="DP925" s="333"/>
      <c r="DQ925" s="333"/>
      <c r="DR925" s="333"/>
      <c r="DS925" s="333"/>
      <c r="DT925" s="333"/>
      <c r="DU925" s="333"/>
      <c r="DV925" s="333"/>
      <c r="DW925" s="333"/>
      <c r="DX925" s="333"/>
      <c r="DY925" s="333"/>
      <c r="DZ925" s="333"/>
      <c r="EA925" s="333"/>
      <c r="EB925" s="333"/>
      <c r="EC925" s="333"/>
      <c r="ED925" s="333"/>
      <c r="EE925" s="333"/>
      <c r="EG925" s="54"/>
      <c r="EH925" s="333"/>
      <c r="EI925" s="333"/>
      <c r="EJ925" s="333"/>
      <c r="EK925" s="333"/>
      <c r="EL925" s="333"/>
      <c r="EM925" s="333"/>
      <c r="EN925" s="333"/>
      <c r="EO925" s="333"/>
      <c r="EP925" s="333"/>
      <c r="EQ925" s="333"/>
      <c r="ER925" s="333"/>
      <c r="ES925" s="333"/>
      <c r="ET925" s="333"/>
      <c r="EU925" s="333"/>
      <c r="EV925" s="333"/>
      <c r="EW925" s="333"/>
      <c r="EX925" s="333"/>
      <c r="EY925" s="333"/>
      <c r="EZ925" s="333"/>
      <c r="FA925" s="333"/>
      <c r="FB925" s="333"/>
      <c r="FC925" s="333"/>
      <c r="FD925" s="333"/>
      <c r="FE925" s="333"/>
      <c r="FF925" s="333"/>
      <c r="FG925" s="333"/>
      <c r="FH925" s="333"/>
      <c r="FI925" s="333"/>
      <c r="FJ925" s="333"/>
      <c r="FK925" s="333"/>
      <c r="FL925" s="333"/>
      <c r="FM925" s="333"/>
      <c r="FN925" s="333"/>
      <c r="FP925" s="54"/>
      <c r="FQ925" s="333"/>
      <c r="FR925" s="333"/>
      <c r="FS925" s="333"/>
      <c r="FT925" s="333"/>
      <c r="FU925" s="333"/>
      <c r="FV925" s="333"/>
      <c r="FW925" s="333"/>
      <c r="FX925" s="333"/>
      <c r="FY925" s="333"/>
      <c r="FZ925" s="333"/>
      <c r="GA925" s="333"/>
      <c r="GB925" s="333"/>
      <c r="GC925" s="333"/>
      <c r="GD925" s="333"/>
      <c r="GE925" s="333"/>
      <c r="GF925" s="333"/>
      <c r="GG925" s="333"/>
      <c r="GH925" s="333"/>
      <c r="GI925" s="333"/>
      <c r="GJ925" s="333"/>
      <c r="GK925" s="333"/>
      <c r="GL925" s="333"/>
      <c r="GM925" s="333"/>
      <c r="GN925" s="333"/>
      <c r="GO925" s="333"/>
      <c r="GP925" s="333"/>
      <c r="GQ925" s="333"/>
      <c r="GR925" s="333"/>
      <c r="GS925" s="333"/>
      <c r="GT925" s="333"/>
      <c r="GU925" s="333"/>
      <c r="GV925" s="333"/>
      <c r="GW925" s="333"/>
      <c r="GY925" s="54"/>
      <c r="GZ925" s="333"/>
      <c r="HA925" s="333"/>
      <c r="HB925" s="333"/>
      <c r="HC925" s="333"/>
      <c r="HD925" s="333"/>
      <c r="HE925" s="333"/>
      <c r="HF925" s="333"/>
      <c r="HG925" s="333"/>
      <c r="HH925" s="333"/>
      <c r="HI925" s="333"/>
      <c r="HJ925" s="333"/>
      <c r="HK925" s="333"/>
      <c r="HL925" s="333"/>
      <c r="HM925" s="333"/>
      <c r="HN925" s="333"/>
      <c r="HO925" s="333"/>
      <c r="HP925" s="333"/>
      <c r="HQ925" s="333"/>
      <c r="HR925" s="333"/>
      <c r="HS925" s="333"/>
      <c r="HT925" s="333"/>
      <c r="HU925" s="333"/>
      <c r="HV925" s="333"/>
      <c r="HW925" s="333"/>
      <c r="HX925" s="333"/>
      <c r="HY925" s="333"/>
      <c r="HZ925" s="333"/>
      <c r="IA925" s="333"/>
      <c r="IB925" s="333"/>
      <c r="IC925" s="333"/>
      <c r="ID925" s="333"/>
      <c r="IE925" s="333"/>
      <c r="IF925" s="333"/>
      <c r="IH925" s="54"/>
      <c r="II925" s="333"/>
      <c r="IJ925" s="333"/>
      <c r="IK925" s="333"/>
      <c r="IL925" s="333"/>
      <c r="IM925" s="333"/>
      <c r="IN925" s="333"/>
      <c r="IO925" s="333"/>
      <c r="IP925" s="333"/>
      <c r="IQ925" s="333"/>
      <c r="IR925" s="333"/>
      <c r="IS925" s="333"/>
      <c r="IT925" s="333"/>
      <c r="IU925" s="333"/>
      <c r="IV925" s="333"/>
      <c r="IW925" s="333"/>
      <c r="IX925" s="333"/>
      <c r="IY925" s="333"/>
      <c r="IZ925" s="333"/>
      <c r="JA925" s="333"/>
      <c r="JB925" s="333"/>
      <c r="JC925" s="333"/>
      <c r="JD925" s="333"/>
      <c r="JE925" s="333"/>
      <c r="JF925" s="333"/>
      <c r="JG925" s="333"/>
      <c r="JH925" s="333"/>
      <c r="JI925" s="333"/>
      <c r="JJ925" s="333"/>
      <c r="JK925" s="333"/>
      <c r="JL925" s="333"/>
      <c r="JM925" s="333"/>
      <c r="JN925" s="333"/>
      <c r="JO925" s="333"/>
      <c r="JQ925" s="54"/>
      <c r="JR925" s="324"/>
      <c r="JS925" s="324"/>
      <c r="JT925" s="324"/>
      <c r="JU925" s="324"/>
      <c r="JV925" s="324"/>
      <c r="JW925" s="324"/>
      <c r="JX925" s="324"/>
      <c r="JY925" s="324"/>
      <c r="JZ925" s="324"/>
      <c r="KA925" s="324"/>
      <c r="KB925" s="324"/>
      <c r="KC925" s="324"/>
      <c r="KD925" s="324"/>
      <c r="KE925" s="324"/>
      <c r="KF925" s="324"/>
      <c r="KG925" s="324"/>
      <c r="KH925" s="324"/>
      <c r="KI925" s="324"/>
      <c r="KJ925" s="324"/>
      <c r="KK925" s="324"/>
      <c r="KL925" s="324"/>
      <c r="KM925" s="324"/>
      <c r="KN925" s="324"/>
      <c r="KO925" s="324"/>
      <c r="KP925" s="324"/>
      <c r="KQ925" s="324"/>
      <c r="KR925" s="324"/>
      <c r="KS925" s="324"/>
      <c r="KT925" s="324"/>
      <c r="KU925" s="324"/>
      <c r="KV925" s="324"/>
      <c r="KW925" s="324"/>
      <c r="KX925" s="324"/>
    </row>
    <row r="926" spans="1:310" ht="12.75" x14ac:dyDescent="0.2">
      <c r="A926" s="54"/>
      <c r="B926" s="54"/>
      <c r="C926" s="54"/>
      <c r="D926" s="333"/>
      <c r="E926" s="333"/>
      <c r="F926" s="333"/>
      <c r="G926" s="333"/>
      <c r="H926" s="333"/>
      <c r="I926" s="333"/>
      <c r="J926" s="333"/>
      <c r="K926" s="333"/>
      <c r="L926" s="333"/>
      <c r="M926" s="333"/>
      <c r="N926" s="333"/>
      <c r="O926" s="333"/>
      <c r="P926" s="333"/>
      <c r="Q926" s="333"/>
      <c r="R926" s="333"/>
      <c r="S926" s="333"/>
      <c r="T926" s="333"/>
      <c r="U926" s="333"/>
      <c r="V926" s="333"/>
      <c r="W926" s="333"/>
      <c r="X926" s="333"/>
      <c r="Y926" s="333"/>
      <c r="Z926" s="333"/>
      <c r="AA926" s="333"/>
      <c r="AB926" s="333"/>
      <c r="AC926" s="333"/>
      <c r="AD926" s="333"/>
      <c r="AE926" s="333"/>
      <c r="AF926" s="333"/>
      <c r="AG926" s="333"/>
      <c r="AH926" s="333"/>
      <c r="AI926" s="333"/>
      <c r="AJ926" s="333"/>
      <c r="AK926" s="175"/>
      <c r="AL926" s="54"/>
      <c r="AM926" s="324"/>
      <c r="AN926" s="324"/>
      <c r="AO926" s="324"/>
      <c r="AP926" s="324"/>
      <c r="AQ926" s="324"/>
      <c r="AR926" s="324"/>
      <c r="AS926" s="324"/>
      <c r="AT926" s="324"/>
      <c r="AU926" s="324"/>
      <c r="AV926" s="324"/>
      <c r="AW926" s="324"/>
      <c r="AX926" s="324"/>
      <c r="AY926" s="324"/>
      <c r="AZ926" s="324"/>
      <c r="BA926" s="324"/>
      <c r="BB926" s="324"/>
      <c r="BC926" s="324"/>
      <c r="BD926" s="324"/>
      <c r="BE926" s="324"/>
      <c r="BF926" s="324"/>
      <c r="BG926" s="324"/>
      <c r="BH926" s="324"/>
      <c r="BI926" s="324"/>
      <c r="BJ926" s="324"/>
      <c r="BK926" s="324"/>
      <c r="BL926" s="324"/>
      <c r="BM926" s="324"/>
      <c r="BN926" s="324"/>
      <c r="BO926" s="324"/>
      <c r="BP926" s="324"/>
      <c r="BQ926" s="324"/>
      <c r="BR926" s="324"/>
      <c r="BS926" s="324"/>
      <c r="BT926" s="55"/>
      <c r="BU926" s="54"/>
      <c r="BV926" s="173"/>
      <c r="BW926" s="173"/>
      <c r="BX926" s="173"/>
      <c r="BY926" s="173"/>
      <c r="BZ926" s="173"/>
      <c r="CA926" s="173"/>
      <c r="CB926" s="173"/>
      <c r="CC926" s="173"/>
      <c r="CD926" s="173"/>
      <c r="CE926" s="173"/>
      <c r="CF926" s="173"/>
      <c r="CG926" s="173"/>
      <c r="CH926" s="173"/>
      <c r="CI926" s="173"/>
      <c r="CJ926" s="173"/>
      <c r="CK926" s="55"/>
      <c r="CL926" s="54"/>
      <c r="CM926" s="333"/>
      <c r="CN926" s="333"/>
      <c r="CO926" s="333"/>
      <c r="CP926" s="333"/>
      <c r="CQ926" s="333"/>
      <c r="CR926" s="333"/>
      <c r="CS926" s="333"/>
      <c r="CT926" s="333"/>
      <c r="CU926" s="333"/>
      <c r="CV926" s="333"/>
      <c r="CW926" s="333"/>
      <c r="CX926" s="333"/>
      <c r="CY926" s="333"/>
      <c r="CZ926" s="333"/>
      <c r="DA926" s="333"/>
      <c r="DB926" s="333"/>
      <c r="DC926" s="333"/>
      <c r="DD926" s="333"/>
      <c r="DE926" s="333"/>
      <c r="DF926" s="333"/>
      <c r="DG926" s="333"/>
      <c r="DH926" s="333"/>
      <c r="DI926" s="333"/>
      <c r="DJ926" s="333"/>
      <c r="DK926" s="333"/>
      <c r="DL926" s="333"/>
      <c r="DM926" s="333"/>
      <c r="DN926" s="333"/>
      <c r="DO926" s="333"/>
      <c r="DP926" s="333"/>
      <c r="DQ926" s="333"/>
      <c r="DR926" s="333"/>
      <c r="DS926" s="333"/>
      <c r="DT926" s="333"/>
      <c r="DU926" s="333"/>
      <c r="DV926" s="333"/>
      <c r="DW926" s="333"/>
      <c r="DX926" s="333"/>
      <c r="DY926" s="333"/>
      <c r="DZ926" s="333"/>
      <c r="EA926" s="333"/>
      <c r="EB926" s="333"/>
      <c r="EC926" s="333"/>
      <c r="ED926" s="333"/>
      <c r="EE926" s="333"/>
      <c r="EG926" s="54"/>
      <c r="EH926" s="333"/>
      <c r="EI926" s="333"/>
      <c r="EJ926" s="333"/>
      <c r="EK926" s="333"/>
      <c r="EL926" s="333"/>
      <c r="EM926" s="333"/>
      <c r="EN926" s="333"/>
      <c r="EO926" s="333"/>
      <c r="EP926" s="333"/>
      <c r="EQ926" s="333"/>
      <c r="ER926" s="333"/>
      <c r="ES926" s="333"/>
      <c r="ET926" s="333"/>
      <c r="EU926" s="333"/>
      <c r="EV926" s="333"/>
      <c r="EW926" s="333"/>
      <c r="EX926" s="333"/>
      <c r="EY926" s="333"/>
      <c r="EZ926" s="333"/>
      <c r="FA926" s="333"/>
      <c r="FB926" s="333"/>
      <c r="FC926" s="333"/>
      <c r="FD926" s="333"/>
      <c r="FE926" s="333"/>
      <c r="FF926" s="333"/>
      <c r="FG926" s="333"/>
      <c r="FH926" s="333"/>
      <c r="FI926" s="333"/>
      <c r="FJ926" s="333"/>
      <c r="FK926" s="333"/>
      <c r="FL926" s="333"/>
      <c r="FM926" s="333"/>
      <c r="FN926" s="333"/>
      <c r="FP926" s="54"/>
      <c r="FQ926" s="333"/>
      <c r="FR926" s="333"/>
      <c r="FS926" s="333"/>
      <c r="FT926" s="333"/>
      <c r="FU926" s="333"/>
      <c r="FV926" s="333"/>
      <c r="FW926" s="333"/>
      <c r="FX926" s="333"/>
      <c r="FY926" s="333"/>
      <c r="FZ926" s="333"/>
      <c r="GA926" s="333"/>
      <c r="GB926" s="333"/>
      <c r="GC926" s="333"/>
      <c r="GD926" s="333"/>
      <c r="GE926" s="333"/>
      <c r="GF926" s="333"/>
      <c r="GG926" s="333"/>
      <c r="GH926" s="333"/>
      <c r="GI926" s="333"/>
      <c r="GJ926" s="333"/>
      <c r="GK926" s="333"/>
      <c r="GL926" s="333"/>
      <c r="GM926" s="333"/>
      <c r="GN926" s="333"/>
      <c r="GO926" s="333"/>
      <c r="GP926" s="333"/>
      <c r="GQ926" s="333"/>
      <c r="GR926" s="333"/>
      <c r="GS926" s="333"/>
      <c r="GT926" s="333"/>
      <c r="GU926" s="333"/>
      <c r="GV926" s="333"/>
      <c r="GW926" s="333"/>
      <c r="GY926" s="54"/>
      <c r="GZ926" s="333"/>
      <c r="HA926" s="333"/>
      <c r="HB926" s="333"/>
      <c r="HC926" s="333"/>
      <c r="HD926" s="333"/>
      <c r="HE926" s="333"/>
      <c r="HF926" s="333"/>
      <c r="HG926" s="333"/>
      <c r="HH926" s="333"/>
      <c r="HI926" s="333"/>
      <c r="HJ926" s="333"/>
      <c r="HK926" s="333"/>
      <c r="HL926" s="333"/>
      <c r="HM926" s="333"/>
      <c r="HN926" s="333"/>
      <c r="HO926" s="333"/>
      <c r="HP926" s="333"/>
      <c r="HQ926" s="333"/>
      <c r="HR926" s="333"/>
      <c r="HS926" s="333"/>
      <c r="HT926" s="333"/>
      <c r="HU926" s="333"/>
      <c r="HV926" s="333"/>
      <c r="HW926" s="333"/>
      <c r="HX926" s="333"/>
      <c r="HY926" s="333"/>
      <c r="HZ926" s="333"/>
      <c r="IA926" s="333"/>
      <c r="IB926" s="333"/>
      <c r="IC926" s="333"/>
      <c r="ID926" s="333"/>
      <c r="IE926" s="333"/>
      <c r="IF926" s="333"/>
      <c r="IH926" s="54"/>
      <c r="II926" s="333"/>
      <c r="IJ926" s="333"/>
      <c r="IK926" s="333"/>
      <c r="IL926" s="333"/>
      <c r="IM926" s="333"/>
      <c r="IN926" s="333"/>
      <c r="IO926" s="333"/>
      <c r="IP926" s="333"/>
      <c r="IQ926" s="333"/>
      <c r="IR926" s="333"/>
      <c r="IS926" s="333"/>
      <c r="IT926" s="333"/>
      <c r="IU926" s="333"/>
      <c r="IV926" s="333"/>
      <c r="IW926" s="333"/>
      <c r="IX926" s="333"/>
      <c r="IY926" s="333"/>
      <c r="IZ926" s="333"/>
      <c r="JA926" s="333"/>
      <c r="JB926" s="333"/>
      <c r="JC926" s="333"/>
      <c r="JD926" s="333"/>
      <c r="JE926" s="333"/>
      <c r="JF926" s="333"/>
      <c r="JG926" s="333"/>
      <c r="JH926" s="333"/>
      <c r="JI926" s="333"/>
      <c r="JJ926" s="333"/>
      <c r="JK926" s="333"/>
      <c r="JL926" s="333"/>
      <c r="JM926" s="333"/>
      <c r="JN926" s="333"/>
      <c r="JO926" s="333"/>
      <c r="JQ926" s="54"/>
      <c r="JR926" s="324"/>
      <c r="JS926" s="324"/>
      <c r="JT926" s="324"/>
      <c r="JU926" s="324"/>
      <c r="JV926" s="324"/>
      <c r="JW926" s="324"/>
      <c r="JX926" s="324"/>
      <c r="JY926" s="324"/>
      <c r="JZ926" s="324"/>
      <c r="KA926" s="324"/>
      <c r="KB926" s="324"/>
      <c r="KC926" s="324"/>
      <c r="KD926" s="324"/>
      <c r="KE926" s="324"/>
      <c r="KF926" s="324"/>
      <c r="KG926" s="324"/>
      <c r="KH926" s="324"/>
      <c r="KI926" s="324"/>
      <c r="KJ926" s="324"/>
      <c r="KK926" s="324"/>
      <c r="KL926" s="324"/>
      <c r="KM926" s="324"/>
      <c r="KN926" s="324"/>
      <c r="KO926" s="324"/>
      <c r="KP926" s="324"/>
      <c r="KQ926" s="324"/>
      <c r="KR926" s="324"/>
      <c r="KS926" s="324"/>
      <c r="KT926" s="324"/>
      <c r="KU926" s="324"/>
      <c r="KV926" s="324"/>
      <c r="KW926" s="324"/>
      <c r="KX926" s="324"/>
    </row>
    <row r="927" spans="1:310" ht="12.75" x14ac:dyDescent="0.2">
      <c r="A927" s="54"/>
      <c r="B927" s="54"/>
      <c r="C927" s="54"/>
      <c r="D927" s="81"/>
      <c r="E927" s="81"/>
      <c r="F927" s="81"/>
      <c r="G927" s="81"/>
      <c r="H927" s="81"/>
      <c r="I927" s="81"/>
      <c r="J927" s="81"/>
      <c r="K927" s="81"/>
      <c r="L927" s="81"/>
      <c r="M927" s="81"/>
      <c r="N927" s="81"/>
      <c r="O927" s="81"/>
      <c r="P927" s="81"/>
      <c r="Q927" s="81"/>
      <c r="R927" s="81"/>
      <c r="S927" s="81"/>
      <c r="T927" s="81"/>
      <c r="U927" s="81"/>
      <c r="V927" s="81"/>
      <c r="W927" s="81"/>
      <c r="X927" s="81"/>
      <c r="Y927" s="81"/>
      <c r="Z927" s="81"/>
      <c r="AA927" s="81"/>
      <c r="AB927" s="81"/>
      <c r="AC927" s="81"/>
      <c r="AD927" s="81"/>
      <c r="AE927" s="81"/>
      <c r="AF927" s="81"/>
      <c r="AG927" s="81"/>
      <c r="AH927" s="81"/>
      <c r="AI927" s="81"/>
      <c r="AJ927" s="91"/>
      <c r="AK927" s="182"/>
      <c r="AL927" s="54"/>
      <c r="AM927" s="175"/>
      <c r="AN927" s="175"/>
      <c r="AO927" s="175"/>
      <c r="AP927" s="175"/>
      <c r="AQ927" s="175"/>
      <c r="AR927" s="175"/>
      <c r="AS927" s="175"/>
      <c r="AT927" s="175"/>
      <c r="AU927" s="175"/>
      <c r="AV927" s="175"/>
      <c r="AW927" s="175"/>
      <c r="AX927" s="175"/>
      <c r="AY927" s="175"/>
      <c r="AZ927" s="175"/>
      <c r="BA927" s="175"/>
      <c r="BB927" s="175"/>
      <c r="BC927" s="175"/>
      <c r="BD927" s="175"/>
      <c r="BE927" s="175"/>
      <c r="BF927" s="175"/>
      <c r="BG927" s="175"/>
      <c r="BH927" s="175"/>
      <c r="BI927" s="175"/>
      <c r="BJ927" s="175"/>
      <c r="BK927" s="175"/>
      <c r="BL927" s="175"/>
      <c r="BM927" s="175"/>
      <c r="BN927" s="175"/>
      <c r="BO927" s="175"/>
      <c r="BP927" s="175"/>
      <c r="BQ927" s="175"/>
      <c r="BR927" s="175"/>
      <c r="BS927" s="175"/>
      <c r="BT927" s="55"/>
      <c r="BU927" s="54"/>
      <c r="BV927" s="175"/>
      <c r="BW927" s="175"/>
      <c r="BX927" s="175"/>
      <c r="BY927" s="175"/>
      <c r="BZ927" s="175"/>
      <c r="CA927" s="173"/>
      <c r="CB927" s="173"/>
      <c r="CC927" s="173"/>
      <c r="CD927" s="173"/>
      <c r="CE927" s="173"/>
      <c r="CF927" s="173"/>
      <c r="CG927" s="175"/>
      <c r="CH927" s="175"/>
      <c r="CI927" s="175"/>
      <c r="CJ927" s="175"/>
      <c r="CK927" s="55"/>
      <c r="CL927" s="54"/>
      <c r="CM927" s="175"/>
      <c r="CN927" s="175"/>
      <c r="CO927" s="175"/>
      <c r="CP927" s="175"/>
      <c r="CQ927" s="175"/>
      <c r="CR927" s="175"/>
      <c r="CS927" s="175"/>
      <c r="CT927" s="175"/>
      <c r="CU927" s="175"/>
      <c r="CV927" s="175"/>
      <c r="CW927" s="218"/>
      <c r="CX927" s="218"/>
      <c r="CY927" s="218"/>
      <c r="CZ927" s="218"/>
      <c r="DA927" s="218"/>
      <c r="DB927" s="218"/>
      <c r="DC927" s="218"/>
      <c r="DD927" s="218"/>
      <c r="DE927" s="218"/>
      <c r="DF927" s="218"/>
      <c r="DG927" s="175"/>
      <c r="DH927" s="175"/>
      <c r="DI927" s="175"/>
      <c r="DJ927" s="175"/>
      <c r="DK927" s="175"/>
      <c r="DL927" s="175"/>
      <c r="DM927" s="175"/>
      <c r="DN927" s="175"/>
      <c r="DO927" s="175"/>
      <c r="DP927" s="175"/>
      <c r="DQ927" s="175"/>
      <c r="DR927" s="175"/>
      <c r="DS927" s="175"/>
      <c r="DT927" s="175"/>
      <c r="DU927" s="175"/>
      <c r="DV927" s="175"/>
      <c r="DW927" s="175"/>
      <c r="DX927" s="175"/>
      <c r="DY927" s="175"/>
      <c r="DZ927" s="175"/>
      <c r="EA927" s="175"/>
      <c r="EB927" s="175"/>
      <c r="EC927" s="175"/>
      <c r="ED927" s="175"/>
      <c r="EE927" s="175"/>
      <c r="EG927" s="54"/>
      <c r="EH927" s="175"/>
      <c r="EI927" s="175"/>
      <c r="EJ927" s="175"/>
      <c r="EK927" s="175"/>
      <c r="EL927" s="175"/>
      <c r="EM927" s="175"/>
      <c r="EN927" s="175"/>
      <c r="EO927" s="175"/>
      <c r="EP927" s="175"/>
      <c r="EQ927" s="175"/>
      <c r="ER927" s="175"/>
      <c r="ES927" s="175"/>
      <c r="ET927" s="175"/>
      <c r="EU927" s="175"/>
      <c r="EV927" s="175"/>
      <c r="EW927" s="175"/>
      <c r="EX927" s="175"/>
      <c r="EY927" s="175"/>
      <c r="EZ927" s="175"/>
      <c r="FA927" s="175"/>
      <c r="FB927" s="175"/>
      <c r="FC927" s="175"/>
      <c r="FD927" s="175"/>
      <c r="FE927" s="175"/>
      <c r="FF927" s="175"/>
      <c r="FG927" s="175"/>
      <c r="FH927" s="175"/>
      <c r="FI927" s="175"/>
      <c r="FJ927" s="175"/>
      <c r="FK927" s="175"/>
      <c r="FL927" s="175"/>
      <c r="FM927" s="175"/>
      <c r="FN927" s="175"/>
      <c r="FP927" s="54"/>
      <c r="FQ927" s="175"/>
      <c r="FR927" s="175"/>
      <c r="FS927" s="175"/>
      <c r="FT927" s="175"/>
      <c r="FU927" s="175"/>
      <c r="FV927" s="175"/>
      <c r="FW927" s="175"/>
      <c r="FX927" s="175"/>
      <c r="FY927" s="175"/>
      <c r="FZ927" s="175"/>
      <c r="GA927" s="175"/>
      <c r="GB927" s="175"/>
      <c r="GC927" s="175"/>
      <c r="GD927" s="175"/>
      <c r="GE927" s="175"/>
      <c r="GF927" s="175"/>
      <c r="GG927" s="175"/>
      <c r="GH927" s="175"/>
      <c r="GI927" s="175"/>
      <c r="GJ927" s="175"/>
      <c r="GK927" s="175"/>
      <c r="GL927" s="175"/>
      <c r="GM927" s="175"/>
      <c r="GN927" s="175"/>
      <c r="GO927" s="175"/>
      <c r="GP927" s="175"/>
      <c r="GQ927" s="175"/>
      <c r="GR927" s="175"/>
      <c r="GS927" s="175"/>
      <c r="GT927" s="175"/>
      <c r="GU927" s="175"/>
      <c r="GV927" s="175"/>
      <c r="GW927" s="175"/>
      <c r="GY927" s="54"/>
      <c r="GZ927" s="175"/>
      <c r="HA927" s="175"/>
      <c r="HB927" s="175"/>
      <c r="HC927" s="175"/>
      <c r="HD927" s="175"/>
      <c r="HE927" s="175"/>
      <c r="HF927" s="175"/>
      <c r="HG927" s="175"/>
      <c r="HH927" s="175"/>
      <c r="HI927" s="175"/>
      <c r="HJ927" s="175"/>
      <c r="HK927" s="175"/>
      <c r="HL927" s="175"/>
      <c r="HM927" s="175"/>
      <c r="HN927" s="175"/>
      <c r="HO927" s="175"/>
      <c r="HP927" s="175"/>
      <c r="HQ927" s="175"/>
      <c r="HR927" s="175"/>
      <c r="HS927" s="175"/>
      <c r="HT927" s="175"/>
      <c r="HU927" s="175"/>
      <c r="HV927" s="175"/>
      <c r="HW927" s="175"/>
      <c r="HX927" s="175"/>
      <c r="HY927" s="175"/>
      <c r="HZ927" s="175"/>
      <c r="IA927" s="175"/>
      <c r="IB927" s="175"/>
      <c r="IC927" s="175"/>
      <c r="ID927" s="175"/>
      <c r="IE927" s="175"/>
      <c r="IF927" s="175"/>
      <c r="IH927" s="54"/>
      <c r="II927" s="175"/>
      <c r="IJ927" s="175"/>
      <c r="IK927" s="175"/>
      <c r="IL927" s="175"/>
      <c r="IM927" s="175"/>
      <c r="IN927" s="175"/>
      <c r="IO927" s="175"/>
      <c r="IP927" s="175"/>
      <c r="IQ927" s="175"/>
      <c r="IR927" s="175"/>
      <c r="IS927" s="175"/>
      <c r="IT927" s="175"/>
      <c r="IU927" s="175"/>
      <c r="IV927" s="175"/>
      <c r="IW927" s="175"/>
      <c r="IX927" s="175"/>
      <c r="IY927" s="175"/>
      <c r="IZ927" s="175"/>
      <c r="JA927" s="175"/>
      <c r="JB927" s="175"/>
      <c r="JC927" s="175"/>
      <c r="JD927" s="175"/>
      <c r="JE927" s="175"/>
      <c r="JF927" s="175"/>
      <c r="JG927" s="175"/>
      <c r="JH927" s="175"/>
      <c r="JI927" s="175"/>
      <c r="JJ927" s="175"/>
      <c r="JK927" s="175"/>
      <c r="JL927" s="175"/>
      <c r="JM927" s="175"/>
      <c r="JN927" s="175"/>
      <c r="JO927" s="175"/>
      <c r="JQ927" s="54"/>
      <c r="JR927" s="175"/>
      <c r="JS927" s="175"/>
      <c r="JT927" s="175"/>
      <c r="JU927" s="175"/>
      <c r="JV927" s="175"/>
      <c r="JW927" s="175"/>
      <c r="JX927" s="175"/>
      <c r="JY927" s="175"/>
      <c r="JZ927" s="175"/>
      <c r="KA927" s="175"/>
      <c r="KB927" s="175"/>
      <c r="KC927" s="175"/>
      <c r="KD927" s="175"/>
      <c r="KE927" s="175"/>
      <c r="KF927" s="175"/>
      <c r="KG927" s="175"/>
      <c r="KH927" s="175"/>
      <c r="KI927" s="175"/>
      <c r="KJ927" s="175"/>
      <c r="KK927" s="175"/>
      <c r="KL927" s="175"/>
      <c r="KM927" s="175"/>
      <c r="KN927" s="175"/>
      <c r="KO927" s="175"/>
      <c r="KP927" s="175"/>
      <c r="KQ927" s="175"/>
      <c r="KR927" s="175"/>
      <c r="KS927" s="175"/>
      <c r="KT927" s="175"/>
      <c r="KU927" s="175"/>
      <c r="KV927" s="175"/>
      <c r="KW927" s="175"/>
      <c r="KX927" s="175"/>
    </row>
    <row r="928" spans="1:310" ht="12.75" customHeight="1" x14ac:dyDescent="0.2">
      <c r="A928" s="54"/>
      <c r="B928" s="54"/>
      <c r="C928" s="54"/>
      <c r="D928" s="333" t="str">
        <f>IF( $O$61="Embebido",$BV$928,
          IF( OR($O$64 ="Hilti HIT-RE 500-SD",$O$64 ="Hilti HIT-HY 200-R",$O$64 ="Hilti HIT-MM Plus",$O$64 ="Inyectable"),$II$928,
                    IF( OR($O$64 ="Hilti HDA",$O$64 ="Sobre-excavado"),$GZ$928,
                            IF( OR($O$64 ="Hilti HSL-3",$O$64 ="Expansivo de camisa"),$FQ$928,
                                         IF( OR($O$64 ="Hilti KH-EZ",$O$64 ="Hilti KH",$O$64 ="Hilti KH-EZ-I",$O$64 ="Hilti KH-I",$O$64 ="Atornillado"),$EH$928,
                                                      IF( OR( $O$64 ="Hilti HKB3",$O$64 ="Expansivo de cuña"),$CM$928,
                                                                    IF( OR($O$64 ="Hilti HVA",$O$64 ="Capsula"),$JR$928,
                                                                                  $AM$928                                                                        )
                                                          )
                                              )
                                 )
                        )
             )
   )</f>
        <v>2.      Uso en exteriores: como se indica en los planos, suministrar anclajes en acero inoxidable. Los anclajes en acero inox deben ser fabricados con materiales conformes con AISI Tipo 304 y/o Tipo 316. Los anclajes en acero inox deben ser suministrados con sus respectivas tuercas y arandelas en acero inox del grupo de aleaciones adecuado y resistencia mínima comprobada igual o superior a la resistencia a tensión mínima especificada para el fijador roscado externamente. Las tuercas en acero inox deben ser conformes con ASTM F594 a menos que se especifique de otra forma. Evitar la instalación de los anclajes en acero inox en contacto con metales galvánicamente diferentes.</v>
      </c>
      <c r="E928" s="333"/>
      <c r="F928" s="333"/>
      <c r="G928" s="333"/>
      <c r="H928" s="333"/>
      <c r="I928" s="333"/>
      <c r="J928" s="333"/>
      <c r="K928" s="333"/>
      <c r="L928" s="333"/>
      <c r="M928" s="333"/>
      <c r="N928" s="333"/>
      <c r="O928" s="333"/>
      <c r="P928" s="333"/>
      <c r="Q928" s="333"/>
      <c r="R928" s="333"/>
      <c r="S928" s="333"/>
      <c r="T928" s="333"/>
      <c r="U928" s="333"/>
      <c r="V928" s="333"/>
      <c r="W928" s="333"/>
      <c r="X928" s="333"/>
      <c r="Y928" s="333"/>
      <c r="Z928" s="333"/>
      <c r="AA928" s="333"/>
      <c r="AB928" s="333"/>
      <c r="AC928" s="333"/>
      <c r="AD928" s="333"/>
      <c r="AE928" s="333"/>
      <c r="AF928" s="333"/>
      <c r="AG928" s="333"/>
      <c r="AH928" s="333"/>
      <c r="AI928" s="333"/>
      <c r="AJ928" s="333"/>
      <c r="AK928" s="175"/>
      <c r="AL928" s="54"/>
      <c r="AM928" s="324" t="s">
        <v>621</v>
      </c>
      <c r="AN928" s="324"/>
      <c r="AO928" s="324"/>
      <c r="AP928" s="324"/>
      <c r="AQ928" s="324"/>
      <c r="AR928" s="324"/>
      <c r="AS928" s="324"/>
      <c r="AT928" s="324"/>
      <c r="AU928" s="324"/>
      <c r="AV928" s="324"/>
      <c r="AW928" s="324"/>
      <c r="AX928" s="324"/>
      <c r="AY928" s="324"/>
      <c r="AZ928" s="324"/>
      <c r="BA928" s="324"/>
      <c r="BB928" s="324"/>
      <c r="BC928" s="324"/>
      <c r="BD928" s="324"/>
      <c r="BE928" s="324"/>
      <c r="BF928" s="324"/>
      <c r="BG928" s="324"/>
      <c r="BH928" s="324"/>
      <c r="BI928" s="324"/>
      <c r="BJ928" s="324"/>
      <c r="BK928" s="324"/>
      <c r="BL928" s="324"/>
      <c r="BM928" s="324"/>
      <c r="BN928" s="324"/>
      <c r="BO928" s="324"/>
      <c r="BP928" s="324"/>
      <c r="BQ928" s="324"/>
      <c r="BR928" s="324"/>
      <c r="BS928" s="324"/>
      <c r="BT928" s="55"/>
      <c r="BU928" s="54"/>
      <c r="BV928" s="173" t="s">
        <v>621</v>
      </c>
      <c r="BW928" s="173"/>
      <c r="BX928" s="173"/>
      <c r="BY928" s="173"/>
      <c r="BZ928" s="173"/>
      <c r="CA928" s="175"/>
      <c r="CB928" s="175"/>
      <c r="CC928" s="175"/>
      <c r="CD928" s="175"/>
      <c r="CE928" s="175"/>
      <c r="CF928" s="175"/>
      <c r="CG928" s="173"/>
      <c r="CH928" s="173"/>
      <c r="CI928" s="173"/>
      <c r="CJ928" s="173"/>
      <c r="CK928" s="55"/>
      <c r="CL928" s="54"/>
      <c r="CM928" s="333" t="s">
        <v>328</v>
      </c>
      <c r="CN928" s="333"/>
      <c r="CO928" s="333"/>
      <c r="CP928" s="333"/>
      <c r="CQ928" s="333"/>
      <c r="CR928" s="333"/>
      <c r="CS928" s="333"/>
      <c r="CT928" s="333"/>
      <c r="CU928" s="333"/>
      <c r="CV928" s="333"/>
      <c r="CW928" s="333"/>
      <c r="CX928" s="333"/>
      <c r="CY928" s="333"/>
      <c r="CZ928" s="333"/>
      <c r="DA928" s="333"/>
      <c r="DB928" s="333"/>
      <c r="DC928" s="333"/>
      <c r="DD928" s="333"/>
      <c r="DE928" s="333"/>
      <c r="DF928" s="333"/>
      <c r="DG928" s="333"/>
      <c r="DH928" s="333"/>
      <c r="DI928" s="333"/>
      <c r="DJ928" s="333"/>
      <c r="DK928" s="333"/>
      <c r="DL928" s="333"/>
      <c r="DM928" s="333"/>
      <c r="DN928" s="333"/>
      <c r="DO928" s="333"/>
      <c r="DP928" s="333"/>
      <c r="DQ928" s="333"/>
      <c r="DR928" s="333"/>
      <c r="DS928" s="333"/>
      <c r="DT928" s="333"/>
      <c r="DU928" s="333"/>
      <c r="DV928" s="333"/>
      <c r="DW928" s="333"/>
      <c r="DX928" s="333"/>
      <c r="DY928" s="333"/>
      <c r="DZ928" s="333"/>
      <c r="EA928" s="333"/>
      <c r="EB928" s="333"/>
      <c r="EC928" s="333"/>
      <c r="ED928" s="333"/>
      <c r="EE928" s="333"/>
      <c r="EG928" s="54"/>
      <c r="EH928" s="324" t="s">
        <v>611</v>
      </c>
      <c r="EI928" s="333"/>
      <c r="EJ928" s="333"/>
      <c r="EK928" s="333"/>
      <c r="EL928" s="333"/>
      <c r="EM928" s="333"/>
      <c r="EN928" s="333"/>
      <c r="EO928" s="333"/>
      <c r="EP928" s="333"/>
      <c r="EQ928" s="333"/>
      <c r="ER928" s="333"/>
      <c r="ES928" s="333"/>
      <c r="ET928" s="333"/>
      <c r="EU928" s="333"/>
      <c r="EV928" s="333"/>
      <c r="EW928" s="333"/>
      <c r="EX928" s="333"/>
      <c r="EY928" s="333"/>
      <c r="EZ928" s="333"/>
      <c r="FA928" s="333"/>
      <c r="FB928" s="333"/>
      <c r="FC928" s="333"/>
      <c r="FD928" s="333"/>
      <c r="FE928" s="333"/>
      <c r="FF928" s="333"/>
      <c r="FG928" s="333"/>
      <c r="FH928" s="333"/>
      <c r="FI928" s="333"/>
      <c r="FJ928" s="333"/>
      <c r="FK928" s="333"/>
      <c r="FL928" s="333"/>
      <c r="FM928" s="333"/>
      <c r="FN928" s="333"/>
      <c r="FP928" s="54"/>
      <c r="FQ928" s="333" t="s">
        <v>332</v>
      </c>
      <c r="FR928" s="333"/>
      <c r="FS928" s="333"/>
      <c r="FT928" s="333"/>
      <c r="FU928" s="333"/>
      <c r="FV928" s="333"/>
      <c r="FW928" s="333"/>
      <c r="FX928" s="333"/>
      <c r="FY928" s="333"/>
      <c r="FZ928" s="333"/>
      <c r="GA928" s="333"/>
      <c r="GB928" s="333"/>
      <c r="GC928" s="333"/>
      <c r="GD928" s="333"/>
      <c r="GE928" s="333"/>
      <c r="GF928" s="333"/>
      <c r="GG928" s="333"/>
      <c r="GH928" s="333"/>
      <c r="GI928" s="333"/>
      <c r="GJ928" s="333"/>
      <c r="GK928" s="333"/>
      <c r="GL928" s="333"/>
      <c r="GM928" s="333"/>
      <c r="GN928" s="333"/>
      <c r="GO928" s="333"/>
      <c r="GP928" s="333"/>
      <c r="GQ928" s="333"/>
      <c r="GR928" s="333"/>
      <c r="GS928" s="333"/>
      <c r="GT928" s="333"/>
      <c r="GU928" s="333"/>
      <c r="GV928" s="333"/>
      <c r="GW928" s="333"/>
      <c r="GY928" s="54"/>
      <c r="GZ928" s="333" t="s">
        <v>333</v>
      </c>
      <c r="HA928" s="333"/>
      <c r="HB928" s="333"/>
      <c r="HC928" s="333"/>
      <c r="HD928" s="333"/>
      <c r="HE928" s="333"/>
      <c r="HF928" s="333"/>
      <c r="HG928" s="333"/>
      <c r="HH928" s="333"/>
      <c r="HI928" s="333"/>
      <c r="HJ928" s="333"/>
      <c r="HK928" s="333"/>
      <c r="HL928" s="333"/>
      <c r="HM928" s="333"/>
      <c r="HN928" s="333"/>
      <c r="HO928" s="333"/>
      <c r="HP928" s="333"/>
      <c r="HQ928" s="333"/>
      <c r="HR928" s="333"/>
      <c r="HS928" s="333"/>
      <c r="HT928" s="333"/>
      <c r="HU928" s="333"/>
      <c r="HV928" s="333"/>
      <c r="HW928" s="333"/>
      <c r="HX928" s="333"/>
      <c r="HY928" s="333"/>
      <c r="HZ928" s="333"/>
      <c r="IA928" s="333"/>
      <c r="IB928" s="333"/>
      <c r="IC928" s="333"/>
      <c r="ID928" s="333"/>
      <c r="IE928" s="333"/>
      <c r="IF928" s="333"/>
      <c r="IH928" s="54"/>
      <c r="II928" s="333" t="s">
        <v>335</v>
      </c>
      <c r="IJ928" s="333"/>
      <c r="IK928" s="333"/>
      <c r="IL928" s="333"/>
      <c r="IM928" s="333"/>
      <c r="IN928" s="333"/>
      <c r="IO928" s="333"/>
      <c r="IP928" s="333"/>
      <c r="IQ928" s="333"/>
      <c r="IR928" s="333"/>
      <c r="IS928" s="333"/>
      <c r="IT928" s="333"/>
      <c r="IU928" s="333"/>
      <c r="IV928" s="333"/>
      <c r="IW928" s="333"/>
      <c r="IX928" s="333"/>
      <c r="IY928" s="333"/>
      <c r="IZ928" s="333"/>
      <c r="JA928" s="333"/>
      <c r="JB928" s="333"/>
      <c r="JC928" s="333"/>
      <c r="JD928" s="333"/>
      <c r="JE928" s="333"/>
      <c r="JF928" s="333"/>
      <c r="JG928" s="333"/>
      <c r="JH928" s="333"/>
      <c r="JI928" s="333"/>
      <c r="JJ928" s="333"/>
      <c r="JK928" s="333"/>
      <c r="JL928" s="333"/>
      <c r="JM928" s="333"/>
      <c r="JN928" s="333"/>
      <c r="JO928" s="333"/>
      <c r="JQ928" s="54"/>
      <c r="JR928" s="324" t="s">
        <v>335</v>
      </c>
      <c r="JS928" s="324"/>
      <c r="JT928" s="324"/>
      <c r="JU928" s="324"/>
      <c r="JV928" s="324"/>
      <c r="JW928" s="324"/>
      <c r="JX928" s="324"/>
      <c r="JY928" s="324"/>
      <c r="JZ928" s="324"/>
      <c r="KA928" s="324"/>
      <c r="KB928" s="324"/>
      <c r="KC928" s="324"/>
      <c r="KD928" s="324"/>
      <c r="KE928" s="324"/>
      <c r="KF928" s="324"/>
      <c r="KG928" s="324"/>
      <c r="KH928" s="324"/>
      <c r="KI928" s="324"/>
      <c r="KJ928" s="324"/>
      <c r="KK928" s="324"/>
      <c r="KL928" s="324"/>
      <c r="KM928" s="324"/>
      <c r="KN928" s="324"/>
      <c r="KO928" s="324"/>
      <c r="KP928" s="324"/>
      <c r="KQ928" s="324"/>
      <c r="KR928" s="324"/>
      <c r="KS928" s="324"/>
      <c r="KT928" s="324"/>
      <c r="KU928" s="324"/>
      <c r="KV928" s="324"/>
      <c r="KW928" s="324"/>
      <c r="KX928" s="324"/>
    </row>
    <row r="929" spans="1:311" ht="12.75" x14ac:dyDescent="0.2">
      <c r="A929" s="54"/>
      <c r="B929" s="54"/>
      <c r="C929" s="54"/>
      <c r="D929" s="333"/>
      <c r="E929" s="333"/>
      <c r="F929" s="333"/>
      <c r="G929" s="333"/>
      <c r="H929" s="333"/>
      <c r="I929" s="333"/>
      <c r="J929" s="333"/>
      <c r="K929" s="333"/>
      <c r="L929" s="333"/>
      <c r="M929" s="333"/>
      <c r="N929" s="333"/>
      <c r="O929" s="333"/>
      <c r="P929" s="333"/>
      <c r="Q929" s="333"/>
      <c r="R929" s="333"/>
      <c r="S929" s="333"/>
      <c r="T929" s="333"/>
      <c r="U929" s="333"/>
      <c r="V929" s="333"/>
      <c r="W929" s="333"/>
      <c r="X929" s="333"/>
      <c r="Y929" s="333"/>
      <c r="Z929" s="333"/>
      <c r="AA929" s="333"/>
      <c r="AB929" s="333"/>
      <c r="AC929" s="333"/>
      <c r="AD929" s="333"/>
      <c r="AE929" s="333"/>
      <c r="AF929" s="333"/>
      <c r="AG929" s="333"/>
      <c r="AH929" s="333"/>
      <c r="AI929" s="333"/>
      <c r="AJ929" s="333"/>
      <c r="AK929" s="175"/>
      <c r="AL929" s="54"/>
      <c r="AM929" s="324"/>
      <c r="AN929" s="324"/>
      <c r="AO929" s="324"/>
      <c r="AP929" s="324"/>
      <c r="AQ929" s="324"/>
      <c r="AR929" s="324"/>
      <c r="AS929" s="324"/>
      <c r="AT929" s="324"/>
      <c r="AU929" s="324"/>
      <c r="AV929" s="324"/>
      <c r="AW929" s="324"/>
      <c r="AX929" s="324"/>
      <c r="AY929" s="324"/>
      <c r="AZ929" s="324"/>
      <c r="BA929" s="324"/>
      <c r="BB929" s="324"/>
      <c r="BC929" s="324"/>
      <c r="BD929" s="324"/>
      <c r="BE929" s="324"/>
      <c r="BF929" s="324"/>
      <c r="BG929" s="324"/>
      <c r="BH929" s="324"/>
      <c r="BI929" s="324"/>
      <c r="BJ929" s="324"/>
      <c r="BK929" s="324"/>
      <c r="BL929" s="324"/>
      <c r="BM929" s="324"/>
      <c r="BN929" s="324"/>
      <c r="BO929" s="324"/>
      <c r="BP929" s="324"/>
      <c r="BQ929" s="324"/>
      <c r="BR929" s="324"/>
      <c r="BS929" s="324"/>
      <c r="BT929" s="55"/>
      <c r="BU929" s="54"/>
      <c r="BV929" s="173"/>
      <c r="BW929" s="173"/>
      <c r="BX929" s="173"/>
      <c r="BY929" s="173"/>
      <c r="BZ929" s="173"/>
      <c r="CA929" s="173"/>
      <c r="CB929" s="173"/>
      <c r="CC929" s="173"/>
      <c r="CD929" s="173"/>
      <c r="CE929" s="173"/>
      <c r="CF929" s="173"/>
      <c r="CG929" s="173"/>
      <c r="CH929" s="173"/>
      <c r="CI929" s="173"/>
      <c r="CJ929" s="173"/>
      <c r="CK929" s="55"/>
      <c r="CL929" s="54"/>
      <c r="CM929" s="333"/>
      <c r="CN929" s="333"/>
      <c r="CO929" s="333"/>
      <c r="CP929" s="333"/>
      <c r="CQ929" s="333"/>
      <c r="CR929" s="333"/>
      <c r="CS929" s="333"/>
      <c r="CT929" s="333"/>
      <c r="CU929" s="333"/>
      <c r="CV929" s="333"/>
      <c r="CW929" s="333"/>
      <c r="CX929" s="333"/>
      <c r="CY929" s="333"/>
      <c r="CZ929" s="333"/>
      <c r="DA929" s="333"/>
      <c r="DB929" s="333"/>
      <c r="DC929" s="333"/>
      <c r="DD929" s="333"/>
      <c r="DE929" s="333"/>
      <c r="DF929" s="333"/>
      <c r="DG929" s="333"/>
      <c r="DH929" s="333"/>
      <c r="DI929" s="333"/>
      <c r="DJ929" s="333"/>
      <c r="DK929" s="333"/>
      <c r="DL929" s="333"/>
      <c r="DM929" s="333"/>
      <c r="DN929" s="333"/>
      <c r="DO929" s="333"/>
      <c r="DP929" s="333"/>
      <c r="DQ929" s="333"/>
      <c r="DR929" s="333"/>
      <c r="DS929" s="333"/>
      <c r="DT929" s="333"/>
      <c r="DU929" s="333"/>
      <c r="DV929" s="333"/>
      <c r="DW929" s="333"/>
      <c r="DX929" s="333"/>
      <c r="DY929" s="333"/>
      <c r="DZ929" s="333"/>
      <c r="EA929" s="333"/>
      <c r="EB929" s="333"/>
      <c r="EC929" s="333"/>
      <c r="ED929" s="333"/>
      <c r="EE929" s="333"/>
      <c r="EG929" s="54"/>
      <c r="EH929" s="333"/>
      <c r="EI929" s="333"/>
      <c r="EJ929" s="333"/>
      <c r="EK929" s="333"/>
      <c r="EL929" s="333"/>
      <c r="EM929" s="333"/>
      <c r="EN929" s="333"/>
      <c r="EO929" s="333"/>
      <c r="EP929" s="333"/>
      <c r="EQ929" s="333"/>
      <c r="ER929" s="333"/>
      <c r="ES929" s="333"/>
      <c r="ET929" s="333"/>
      <c r="EU929" s="333"/>
      <c r="EV929" s="333"/>
      <c r="EW929" s="333"/>
      <c r="EX929" s="333"/>
      <c r="EY929" s="333"/>
      <c r="EZ929" s="333"/>
      <c r="FA929" s="333"/>
      <c r="FB929" s="333"/>
      <c r="FC929" s="333"/>
      <c r="FD929" s="333"/>
      <c r="FE929" s="333"/>
      <c r="FF929" s="333"/>
      <c r="FG929" s="333"/>
      <c r="FH929" s="333"/>
      <c r="FI929" s="333"/>
      <c r="FJ929" s="333"/>
      <c r="FK929" s="333"/>
      <c r="FL929" s="333"/>
      <c r="FM929" s="333"/>
      <c r="FN929" s="333"/>
      <c r="FP929" s="54"/>
      <c r="FQ929" s="333"/>
      <c r="FR929" s="333"/>
      <c r="FS929" s="333"/>
      <c r="FT929" s="333"/>
      <c r="FU929" s="333"/>
      <c r="FV929" s="333"/>
      <c r="FW929" s="333"/>
      <c r="FX929" s="333"/>
      <c r="FY929" s="333"/>
      <c r="FZ929" s="333"/>
      <c r="GA929" s="333"/>
      <c r="GB929" s="333"/>
      <c r="GC929" s="333"/>
      <c r="GD929" s="333"/>
      <c r="GE929" s="333"/>
      <c r="GF929" s="333"/>
      <c r="GG929" s="333"/>
      <c r="GH929" s="333"/>
      <c r="GI929" s="333"/>
      <c r="GJ929" s="333"/>
      <c r="GK929" s="333"/>
      <c r="GL929" s="333"/>
      <c r="GM929" s="333"/>
      <c r="GN929" s="333"/>
      <c r="GO929" s="333"/>
      <c r="GP929" s="333"/>
      <c r="GQ929" s="333"/>
      <c r="GR929" s="333"/>
      <c r="GS929" s="333"/>
      <c r="GT929" s="333"/>
      <c r="GU929" s="333"/>
      <c r="GV929" s="333"/>
      <c r="GW929" s="333"/>
      <c r="GY929" s="54"/>
      <c r="GZ929" s="333"/>
      <c r="HA929" s="333"/>
      <c r="HB929" s="333"/>
      <c r="HC929" s="333"/>
      <c r="HD929" s="333"/>
      <c r="HE929" s="333"/>
      <c r="HF929" s="333"/>
      <c r="HG929" s="333"/>
      <c r="HH929" s="333"/>
      <c r="HI929" s="333"/>
      <c r="HJ929" s="333"/>
      <c r="HK929" s="333"/>
      <c r="HL929" s="333"/>
      <c r="HM929" s="333"/>
      <c r="HN929" s="333"/>
      <c r="HO929" s="333"/>
      <c r="HP929" s="333"/>
      <c r="HQ929" s="333"/>
      <c r="HR929" s="333"/>
      <c r="HS929" s="333"/>
      <c r="HT929" s="333"/>
      <c r="HU929" s="333"/>
      <c r="HV929" s="333"/>
      <c r="HW929" s="333"/>
      <c r="HX929" s="333"/>
      <c r="HY929" s="333"/>
      <c r="HZ929" s="333"/>
      <c r="IA929" s="333"/>
      <c r="IB929" s="333"/>
      <c r="IC929" s="333"/>
      <c r="ID929" s="333"/>
      <c r="IE929" s="333"/>
      <c r="IF929" s="333"/>
      <c r="IH929" s="54"/>
      <c r="II929" s="333"/>
      <c r="IJ929" s="333"/>
      <c r="IK929" s="333"/>
      <c r="IL929" s="333"/>
      <c r="IM929" s="333"/>
      <c r="IN929" s="333"/>
      <c r="IO929" s="333"/>
      <c r="IP929" s="333"/>
      <c r="IQ929" s="333"/>
      <c r="IR929" s="333"/>
      <c r="IS929" s="333"/>
      <c r="IT929" s="333"/>
      <c r="IU929" s="333"/>
      <c r="IV929" s="333"/>
      <c r="IW929" s="333"/>
      <c r="IX929" s="333"/>
      <c r="IY929" s="333"/>
      <c r="IZ929" s="333"/>
      <c r="JA929" s="333"/>
      <c r="JB929" s="333"/>
      <c r="JC929" s="333"/>
      <c r="JD929" s="333"/>
      <c r="JE929" s="333"/>
      <c r="JF929" s="333"/>
      <c r="JG929" s="333"/>
      <c r="JH929" s="333"/>
      <c r="JI929" s="333"/>
      <c r="JJ929" s="333"/>
      <c r="JK929" s="333"/>
      <c r="JL929" s="333"/>
      <c r="JM929" s="333"/>
      <c r="JN929" s="333"/>
      <c r="JO929" s="333"/>
      <c r="JQ929" s="54"/>
      <c r="JR929" s="324"/>
      <c r="JS929" s="324"/>
      <c r="JT929" s="324"/>
      <c r="JU929" s="324"/>
      <c r="JV929" s="324"/>
      <c r="JW929" s="324"/>
      <c r="JX929" s="324"/>
      <c r="JY929" s="324"/>
      <c r="JZ929" s="324"/>
      <c r="KA929" s="324"/>
      <c r="KB929" s="324"/>
      <c r="KC929" s="324"/>
      <c r="KD929" s="324"/>
      <c r="KE929" s="324"/>
      <c r="KF929" s="324"/>
      <c r="KG929" s="324"/>
      <c r="KH929" s="324"/>
      <c r="KI929" s="324"/>
      <c r="KJ929" s="324"/>
      <c r="KK929" s="324"/>
      <c r="KL929" s="324"/>
      <c r="KM929" s="324"/>
      <c r="KN929" s="324"/>
      <c r="KO929" s="324"/>
      <c r="KP929" s="324"/>
      <c r="KQ929" s="324"/>
      <c r="KR929" s="324"/>
      <c r="KS929" s="324"/>
      <c r="KT929" s="324"/>
      <c r="KU929" s="324"/>
      <c r="KV929" s="324"/>
      <c r="KW929" s="324"/>
      <c r="KX929" s="324"/>
    </row>
    <row r="930" spans="1:311" ht="12.75" x14ac:dyDescent="0.2">
      <c r="A930" s="54"/>
      <c r="B930" s="54"/>
      <c r="C930" s="54"/>
      <c r="D930" s="333"/>
      <c r="E930" s="333"/>
      <c r="F930" s="333"/>
      <c r="G930" s="333"/>
      <c r="H930" s="333"/>
      <c r="I930" s="333"/>
      <c r="J930" s="333"/>
      <c r="K930" s="333"/>
      <c r="L930" s="333"/>
      <c r="M930" s="333"/>
      <c r="N930" s="333"/>
      <c r="O930" s="333"/>
      <c r="P930" s="333"/>
      <c r="Q930" s="333"/>
      <c r="R930" s="333"/>
      <c r="S930" s="333"/>
      <c r="T930" s="333"/>
      <c r="U930" s="333"/>
      <c r="V930" s="333"/>
      <c r="W930" s="333"/>
      <c r="X930" s="333"/>
      <c r="Y930" s="333"/>
      <c r="Z930" s="333"/>
      <c r="AA930" s="333"/>
      <c r="AB930" s="333"/>
      <c r="AC930" s="333"/>
      <c r="AD930" s="333"/>
      <c r="AE930" s="333"/>
      <c r="AF930" s="333"/>
      <c r="AG930" s="333"/>
      <c r="AH930" s="333"/>
      <c r="AI930" s="333"/>
      <c r="AJ930" s="333"/>
      <c r="AK930" s="175"/>
      <c r="AL930" s="54"/>
      <c r="AM930" s="324"/>
      <c r="AN930" s="324"/>
      <c r="AO930" s="324"/>
      <c r="AP930" s="324"/>
      <c r="AQ930" s="324"/>
      <c r="AR930" s="324"/>
      <c r="AS930" s="324"/>
      <c r="AT930" s="324"/>
      <c r="AU930" s="324"/>
      <c r="AV930" s="324"/>
      <c r="AW930" s="324"/>
      <c r="AX930" s="324"/>
      <c r="AY930" s="324"/>
      <c r="AZ930" s="324"/>
      <c r="BA930" s="324"/>
      <c r="BB930" s="324"/>
      <c r="BC930" s="324"/>
      <c r="BD930" s="324"/>
      <c r="BE930" s="324"/>
      <c r="BF930" s="324"/>
      <c r="BG930" s="324"/>
      <c r="BH930" s="324"/>
      <c r="BI930" s="324"/>
      <c r="BJ930" s="324"/>
      <c r="BK930" s="324"/>
      <c r="BL930" s="324"/>
      <c r="BM930" s="324"/>
      <c r="BN930" s="324"/>
      <c r="BO930" s="324"/>
      <c r="BP930" s="324"/>
      <c r="BQ930" s="324"/>
      <c r="BR930" s="324"/>
      <c r="BS930" s="324"/>
      <c r="BT930" s="55"/>
      <c r="BU930" s="54"/>
      <c r="BV930" s="173"/>
      <c r="BW930" s="173"/>
      <c r="BX930" s="173"/>
      <c r="BY930" s="173"/>
      <c r="BZ930" s="173"/>
      <c r="CA930" s="173"/>
      <c r="CB930" s="173"/>
      <c r="CC930" s="173"/>
      <c r="CD930" s="173"/>
      <c r="CE930" s="173"/>
      <c r="CF930" s="173"/>
      <c r="CG930" s="173"/>
      <c r="CH930" s="173"/>
      <c r="CI930" s="173"/>
      <c r="CJ930" s="173"/>
      <c r="CK930" s="55"/>
      <c r="CL930" s="54"/>
      <c r="CM930" s="333"/>
      <c r="CN930" s="333"/>
      <c r="CO930" s="333"/>
      <c r="CP930" s="333"/>
      <c r="CQ930" s="333"/>
      <c r="CR930" s="333"/>
      <c r="CS930" s="333"/>
      <c r="CT930" s="333"/>
      <c r="CU930" s="333"/>
      <c r="CV930" s="333"/>
      <c r="CW930" s="333"/>
      <c r="CX930" s="333"/>
      <c r="CY930" s="333"/>
      <c r="CZ930" s="333"/>
      <c r="DA930" s="333"/>
      <c r="DB930" s="333"/>
      <c r="DC930" s="333"/>
      <c r="DD930" s="333"/>
      <c r="DE930" s="333"/>
      <c r="DF930" s="333"/>
      <c r="DG930" s="333"/>
      <c r="DH930" s="333"/>
      <c r="DI930" s="333"/>
      <c r="DJ930" s="333"/>
      <c r="DK930" s="333"/>
      <c r="DL930" s="333"/>
      <c r="DM930" s="333"/>
      <c r="DN930" s="333"/>
      <c r="DO930" s="333"/>
      <c r="DP930" s="333"/>
      <c r="DQ930" s="333"/>
      <c r="DR930" s="333"/>
      <c r="DS930" s="333"/>
      <c r="DT930" s="333"/>
      <c r="DU930" s="333"/>
      <c r="DV930" s="333"/>
      <c r="DW930" s="333"/>
      <c r="DX930" s="333"/>
      <c r="DY930" s="333"/>
      <c r="DZ930" s="333"/>
      <c r="EA930" s="333"/>
      <c r="EB930" s="333"/>
      <c r="EC930" s="333"/>
      <c r="ED930" s="333"/>
      <c r="EE930" s="333"/>
      <c r="EG930" s="54"/>
      <c r="EH930" s="333"/>
      <c r="EI930" s="333"/>
      <c r="EJ930" s="333"/>
      <c r="EK930" s="333"/>
      <c r="EL930" s="333"/>
      <c r="EM930" s="333"/>
      <c r="EN930" s="333"/>
      <c r="EO930" s="333"/>
      <c r="EP930" s="333"/>
      <c r="EQ930" s="333"/>
      <c r="ER930" s="333"/>
      <c r="ES930" s="333"/>
      <c r="ET930" s="333"/>
      <c r="EU930" s="333"/>
      <c r="EV930" s="333"/>
      <c r="EW930" s="333"/>
      <c r="EX930" s="333"/>
      <c r="EY930" s="333"/>
      <c r="EZ930" s="333"/>
      <c r="FA930" s="333"/>
      <c r="FB930" s="333"/>
      <c r="FC930" s="333"/>
      <c r="FD930" s="333"/>
      <c r="FE930" s="333"/>
      <c r="FF930" s="333"/>
      <c r="FG930" s="333"/>
      <c r="FH930" s="333"/>
      <c r="FI930" s="333"/>
      <c r="FJ930" s="333"/>
      <c r="FK930" s="333"/>
      <c r="FL930" s="333"/>
      <c r="FM930" s="333"/>
      <c r="FN930" s="333"/>
      <c r="FP930" s="54"/>
      <c r="FQ930" s="333"/>
      <c r="FR930" s="333"/>
      <c r="FS930" s="333"/>
      <c r="FT930" s="333"/>
      <c r="FU930" s="333"/>
      <c r="FV930" s="333"/>
      <c r="FW930" s="333"/>
      <c r="FX930" s="333"/>
      <c r="FY930" s="333"/>
      <c r="FZ930" s="333"/>
      <c r="GA930" s="333"/>
      <c r="GB930" s="333"/>
      <c r="GC930" s="333"/>
      <c r="GD930" s="333"/>
      <c r="GE930" s="333"/>
      <c r="GF930" s="333"/>
      <c r="GG930" s="333"/>
      <c r="GH930" s="333"/>
      <c r="GI930" s="333"/>
      <c r="GJ930" s="333"/>
      <c r="GK930" s="333"/>
      <c r="GL930" s="333"/>
      <c r="GM930" s="333"/>
      <c r="GN930" s="333"/>
      <c r="GO930" s="333"/>
      <c r="GP930" s="333"/>
      <c r="GQ930" s="333"/>
      <c r="GR930" s="333"/>
      <c r="GS930" s="333"/>
      <c r="GT930" s="333"/>
      <c r="GU930" s="333"/>
      <c r="GV930" s="333"/>
      <c r="GW930" s="333"/>
      <c r="GY930" s="54"/>
      <c r="GZ930" s="333"/>
      <c r="HA930" s="333"/>
      <c r="HB930" s="333"/>
      <c r="HC930" s="333"/>
      <c r="HD930" s="333"/>
      <c r="HE930" s="333"/>
      <c r="HF930" s="333"/>
      <c r="HG930" s="333"/>
      <c r="HH930" s="333"/>
      <c r="HI930" s="333"/>
      <c r="HJ930" s="333"/>
      <c r="HK930" s="333"/>
      <c r="HL930" s="333"/>
      <c r="HM930" s="333"/>
      <c r="HN930" s="333"/>
      <c r="HO930" s="333"/>
      <c r="HP930" s="333"/>
      <c r="HQ930" s="333"/>
      <c r="HR930" s="333"/>
      <c r="HS930" s="333"/>
      <c r="HT930" s="333"/>
      <c r="HU930" s="333"/>
      <c r="HV930" s="333"/>
      <c r="HW930" s="333"/>
      <c r="HX930" s="333"/>
      <c r="HY930" s="333"/>
      <c r="HZ930" s="333"/>
      <c r="IA930" s="333"/>
      <c r="IB930" s="333"/>
      <c r="IC930" s="333"/>
      <c r="ID930" s="333"/>
      <c r="IE930" s="333"/>
      <c r="IF930" s="333"/>
      <c r="IH930" s="54"/>
      <c r="II930" s="333"/>
      <c r="IJ930" s="333"/>
      <c r="IK930" s="333"/>
      <c r="IL930" s="333"/>
      <c r="IM930" s="333"/>
      <c r="IN930" s="333"/>
      <c r="IO930" s="333"/>
      <c r="IP930" s="333"/>
      <c r="IQ930" s="333"/>
      <c r="IR930" s="333"/>
      <c r="IS930" s="333"/>
      <c r="IT930" s="333"/>
      <c r="IU930" s="333"/>
      <c r="IV930" s="333"/>
      <c r="IW930" s="333"/>
      <c r="IX930" s="333"/>
      <c r="IY930" s="333"/>
      <c r="IZ930" s="333"/>
      <c r="JA930" s="333"/>
      <c r="JB930" s="333"/>
      <c r="JC930" s="333"/>
      <c r="JD930" s="333"/>
      <c r="JE930" s="333"/>
      <c r="JF930" s="333"/>
      <c r="JG930" s="333"/>
      <c r="JH930" s="333"/>
      <c r="JI930" s="333"/>
      <c r="JJ930" s="333"/>
      <c r="JK930" s="333"/>
      <c r="JL930" s="333"/>
      <c r="JM930" s="333"/>
      <c r="JN930" s="333"/>
      <c r="JO930" s="333"/>
      <c r="JQ930" s="54"/>
      <c r="JR930" s="324"/>
      <c r="JS930" s="324"/>
      <c r="JT930" s="324"/>
      <c r="JU930" s="324"/>
      <c r="JV930" s="324"/>
      <c r="JW930" s="324"/>
      <c r="JX930" s="324"/>
      <c r="JY930" s="324"/>
      <c r="JZ930" s="324"/>
      <c r="KA930" s="324"/>
      <c r="KB930" s="324"/>
      <c r="KC930" s="324"/>
      <c r="KD930" s="324"/>
      <c r="KE930" s="324"/>
      <c r="KF930" s="324"/>
      <c r="KG930" s="324"/>
      <c r="KH930" s="324"/>
      <c r="KI930" s="324"/>
      <c r="KJ930" s="324"/>
      <c r="KK930" s="324"/>
      <c r="KL930" s="324"/>
      <c r="KM930" s="324"/>
      <c r="KN930" s="324"/>
      <c r="KO930" s="324"/>
      <c r="KP930" s="324"/>
      <c r="KQ930" s="324"/>
      <c r="KR930" s="324"/>
      <c r="KS930" s="324"/>
      <c r="KT930" s="324"/>
      <c r="KU930" s="324"/>
      <c r="KV930" s="324"/>
      <c r="KW930" s="324"/>
      <c r="KX930" s="324"/>
    </row>
    <row r="931" spans="1:311" ht="12.75" x14ac:dyDescent="0.2">
      <c r="A931" s="54"/>
      <c r="B931" s="54"/>
      <c r="C931" s="54"/>
      <c r="D931" s="333"/>
      <c r="E931" s="333"/>
      <c r="F931" s="333"/>
      <c r="G931" s="333"/>
      <c r="H931" s="333"/>
      <c r="I931" s="333"/>
      <c r="J931" s="333"/>
      <c r="K931" s="333"/>
      <c r="L931" s="333"/>
      <c r="M931" s="333"/>
      <c r="N931" s="333"/>
      <c r="O931" s="333"/>
      <c r="P931" s="333"/>
      <c r="Q931" s="333"/>
      <c r="R931" s="333"/>
      <c r="S931" s="333"/>
      <c r="T931" s="333"/>
      <c r="U931" s="333"/>
      <c r="V931" s="333"/>
      <c r="W931" s="333"/>
      <c r="X931" s="333"/>
      <c r="Y931" s="333"/>
      <c r="Z931" s="333"/>
      <c r="AA931" s="333"/>
      <c r="AB931" s="333"/>
      <c r="AC931" s="333"/>
      <c r="AD931" s="333"/>
      <c r="AE931" s="333"/>
      <c r="AF931" s="333"/>
      <c r="AG931" s="333"/>
      <c r="AH931" s="333"/>
      <c r="AI931" s="333"/>
      <c r="AJ931" s="333"/>
      <c r="AK931" s="175"/>
      <c r="AL931" s="54"/>
      <c r="AM931" s="324"/>
      <c r="AN931" s="324"/>
      <c r="AO931" s="324"/>
      <c r="AP931" s="324"/>
      <c r="AQ931" s="324"/>
      <c r="AR931" s="324"/>
      <c r="AS931" s="324"/>
      <c r="AT931" s="324"/>
      <c r="AU931" s="324"/>
      <c r="AV931" s="324"/>
      <c r="AW931" s="324"/>
      <c r="AX931" s="324"/>
      <c r="AY931" s="324"/>
      <c r="AZ931" s="324"/>
      <c r="BA931" s="324"/>
      <c r="BB931" s="324"/>
      <c r="BC931" s="324"/>
      <c r="BD931" s="324"/>
      <c r="BE931" s="324"/>
      <c r="BF931" s="324"/>
      <c r="BG931" s="324"/>
      <c r="BH931" s="324"/>
      <c r="BI931" s="324"/>
      <c r="BJ931" s="324"/>
      <c r="BK931" s="324"/>
      <c r="BL931" s="324"/>
      <c r="BM931" s="324"/>
      <c r="BN931" s="324"/>
      <c r="BO931" s="324"/>
      <c r="BP931" s="324"/>
      <c r="BQ931" s="324"/>
      <c r="BR931" s="324"/>
      <c r="BS931" s="324"/>
      <c r="BT931" s="55"/>
      <c r="BU931" s="54"/>
      <c r="BV931" s="173"/>
      <c r="BW931" s="173"/>
      <c r="BX931" s="173"/>
      <c r="BY931" s="173"/>
      <c r="BZ931" s="173"/>
      <c r="CA931" s="173"/>
      <c r="CB931" s="173"/>
      <c r="CC931" s="173"/>
      <c r="CD931" s="173"/>
      <c r="CE931" s="173"/>
      <c r="CF931" s="173"/>
      <c r="CG931" s="173"/>
      <c r="CH931" s="173"/>
      <c r="CI931" s="173"/>
      <c r="CJ931" s="173"/>
      <c r="CK931" s="55"/>
      <c r="CL931" s="54"/>
      <c r="CM931" s="333"/>
      <c r="CN931" s="333"/>
      <c r="CO931" s="333"/>
      <c r="CP931" s="333"/>
      <c r="CQ931" s="333"/>
      <c r="CR931" s="333"/>
      <c r="CS931" s="333"/>
      <c r="CT931" s="333"/>
      <c r="CU931" s="333"/>
      <c r="CV931" s="333"/>
      <c r="CW931" s="333"/>
      <c r="CX931" s="333"/>
      <c r="CY931" s="333"/>
      <c r="CZ931" s="333"/>
      <c r="DA931" s="333"/>
      <c r="DB931" s="333"/>
      <c r="DC931" s="333"/>
      <c r="DD931" s="333"/>
      <c r="DE931" s="333"/>
      <c r="DF931" s="333"/>
      <c r="DG931" s="333"/>
      <c r="DH931" s="333"/>
      <c r="DI931" s="333"/>
      <c r="DJ931" s="333"/>
      <c r="DK931" s="333"/>
      <c r="DL931" s="333"/>
      <c r="DM931" s="333"/>
      <c r="DN931" s="333"/>
      <c r="DO931" s="333"/>
      <c r="DP931" s="333"/>
      <c r="DQ931" s="333"/>
      <c r="DR931" s="333"/>
      <c r="DS931" s="333"/>
      <c r="DT931" s="333"/>
      <c r="DU931" s="333"/>
      <c r="DV931" s="333"/>
      <c r="DW931" s="333"/>
      <c r="DX931" s="333"/>
      <c r="DY931" s="333"/>
      <c r="DZ931" s="333"/>
      <c r="EA931" s="333"/>
      <c r="EB931" s="333"/>
      <c r="EC931" s="333"/>
      <c r="ED931" s="333"/>
      <c r="EE931" s="333"/>
      <c r="EG931" s="54"/>
      <c r="EH931" s="333"/>
      <c r="EI931" s="333"/>
      <c r="EJ931" s="333"/>
      <c r="EK931" s="333"/>
      <c r="EL931" s="333"/>
      <c r="EM931" s="333"/>
      <c r="EN931" s="333"/>
      <c r="EO931" s="333"/>
      <c r="EP931" s="333"/>
      <c r="EQ931" s="333"/>
      <c r="ER931" s="333"/>
      <c r="ES931" s="333"/>
      <c r="ET931" s="333"/>
      <c r="EU931" s="333"/>
      <c r="EV931" s="333"/>
      <c r="EW931" s="333"/>
      <c r="EX931" s="333"/>
      <c r="EY931" s="333"/>
      <c r="EZ931" s="333"/>
      <c r="FA931" s="333"/>
      <c r="FB931" s="333"/>
      <c r="FC931" s="333"/>
      <c r="FD931" s="333"/>
      <c r="FE931" s="333"/>
      <c r="FF931" s="333"/>
      <c r="FG931" s="333"/>
      <c r="FH931" s="333"/>
      <c r="FI931" s="333"/>
      <c r="FJ931" s="333"/>
      <c r="FK931" s="333"/>
      <c r="FL931" s="333"/>
      <c r="FM931" s="333"/>
      <c r="FN931" s="333"/>
      <c r="FP931" s="54"/>
      <c r="FQ931" s="333"/>
      <c r="FR931" s="333"/>
      <c r="FS931" s="333"/>
      <c r="FT931" s="333"/>
      <c r="FU931" s="333"/>
      <c r="FV931" s="333"/>
      <c r="FW931" s="333"/>
      <c r="FX931" s="333"/>
      <c r="FY931" s="333"/>
      <c r="FZ931" s="333"/>
      <c r="GA931" s="333"/>
      <c r="GB931" s="333"/>
      <c r="GC931" s="333"/>
      <c r="GD931" s="333"/>
      <c r="GE931" s="333"/>
      <c r="GF931" s="333"/>
      <c r="GG931" s="333"/>
      <c r="GH931" s="333"/>
      <c r="GI931" s="333"/>
      <c r="GJ931" s="333"/>
      <c r="GK931" s="333"/>
      <c r="GL931" s="333"/>
      <c r="GM931" s="333"/>
      <c r="GN931" s="333"/>
      <c r="GO931" s="333"/>
      <c r="GP931" s="333"/>
      <c r="GQ931" s="333"/>
      <c r="GR931" s="333"/>
      <c r="GS931" s="333"/>
      <c r="GT931" s="333"/>
      <c r="GU931" s="333"/>
      <c r="GV931" s="333"/>
      <c r="GW931" s="333"/>
      <c r="GY931" s="54"/>
      <c r="GZ931" s="333"/>
      <c r="HA931" s="333"/>
      <c r="HB931" s="333"/>
      <c r="HC931" s="333"/>
      <c r="HD931" s="333"/>
      <c r="HE931" s="333"/>
      <c r="HF931" s="333"/>
      <c r="HG931" s="333"/>
      <c r="HH931" s="333"/>
      <c r="HI931" s="333"/>
      <c r="HJ931" s="333"/>
      <c r="HK931" s="333"/>
      <c r="HL931" s="333"/>
      <c r="HM931" s="333"/>
      <c r="HN931" s="333"/>
      <c r="HO931" s="333"/>
      <c r="HP931" s="333"/>
      <c r="HQ931" s="333"/>
      <c r="HR931" s="333"/>
      <c r="HS931" s="333"/>
      <c r="HT931" s="333"/>
      <c r="HU931" s="333"/>
      <c r="HV931" s="333"/>
      <c r="HW931" s="333"/>
      <c r="HX931" s="333"/>
      <c r="HY931" s="333"/>
      <c r="HZ931" s="333"/>
      <c r="IA931" s="333"/>
      <c r="IB931" s="333"/>
      <c r="IC931" s="333"/>
      <c r="ID931" s="333"/>
      <c r="IE931" s="333"/>
      <c r="IF931" s="333"/>
      <c r="IH931" s="54"/>
      <c r="II931" s="333"/>
      <c r="IJ931" s="333"/>
      <c r="IK931" s="333"/>
      <c r="IL931" s="333"/>
      <c r="IM931" s="333"/>
      <c r="IN931" s="333"/>
      <c r="IO931" s="333"/>
      <c r="IP931" s="333"/>
      <c r="IQ931" s="333"/>
      <c r="IR931" s="333"/>
      <c r="IS931" s="333"/>
      <c r="IT931" s="333"/>
      <c r="IU931" s="333"/>
      <c r="IV931" s="333"/>
      <c r="IW931" s="333"/>
      <c r="IX931" s="333"/>
      <c r="IY931" s="333"/>
      <c r="IZ931" s="333"/>
      <c r="JA931" s="333"/>
      <c r="JB931" s="333"/>
      <c r="JC931" s="333"/>
      <c r="JD931" s="333"/>
      <c r="JE931" s="333"/>
      <c r="JF931" s="333"/>
      <c r="JG931" s="333"/>
      <c r="JH931" s="333"/>
      <c r="JI931" s="333"/>
      <c r="JJ931" s="333"/>
      <c r="JK931" s="333"/>
      <c r="JL931" s="333"/>
      <c r="JM931" s="333"/>
      <c r="JN931" s="333"/>
      <c r="JO931" s="333"/>
      <c r="JQ931" s="54"/>
      <c r="JR931" s="324"/>
      <c r="JS931" s="324"/>
      <c r="JT931" s="324"/>
      <c r="JU931" s="324"/>
      <c r="JV931" s="324"/>
      <c r="JW931" s="324"/>
      <c r="JX931" s="324"/>
      <c r="JY931" s="324"/>
      <c r="JZ931" s="324"/>
      <c r="KA931" s="324"/>
      <c r="KB931" s="324"/>
      <c r="KC931" s="324"/>
      <c r="KD931" s="324"/>
      <c r="KE931" s="324"/>
      <c r="KF931" s="324"/>
      <c r="KG931" s="324"/>
      <c r="KH931" s="324"/>
      <c r="KI931" s="324"/>
      <c r="KJ931" s="324"/>
      <c r="KK931" s="324"/>
      <c r="KL931" s="324"/>
      <c r="KM931" s="324"/>
      <c r="KN931" s="324"/>
      <c r="KO931" s="324"/>
      <c r="KP931" s="324"/>
      <c r="KQ931" s="324"/>
      <c r="KR931" s="324"/>
      <c r="KS931" s="324"/>
      <c r="KT931" s="324"/>
      <c r="KU931" s="324"/>
      <c r="KV931" s="324"/>
      <c r="KW931" s="324"/>
      <c r="KX931" s="324"/>
    </row>
    <row r="932" spans="1:311" ht="12.75" x14ac:dyDescent="0.2">
      <c r="A932" s="54"/>
      <c r="B932" s="54"/>
      <c r="C932" s="54"/>
      <c r="D932" s="333"/>
      <c r="E932" s="333"/>
      <c r="F932" s="333"/>
      <c r="G932" s="333"/>
      <c r="H932" s="333"/>
      <c r="I932" s="333"/>
      <c r="J932" s="333"/>
      <c r="K932" s="333"/>
      <c r="L932" s="333"/>
      <c r="M932" s="333"/>
      <c r="N932" s="333"/>
      <c r="O932" s="333"/>
      <c r="P932" s="333"/>
      <c r="Q932" s="333"/>
      <c r="R932" s="333"/>
      <c r="S932" s="333"/>
      <c r="T932" s="333"/>
      <c r="U932" s="333"/>
      <c r="V932" s="333"/>
      <c r="W932" s="333"/>
      <c r="X932" s="333"/>
      <c r="Y932" s="333"/>
      <c r="Z932" s="333"/>
      <c r="AA932" s="333"/>
      <c r="AB932" s="333"/>
      <c r="AC932" s="333"/>
      <c r="AD932" s="333"/>
      <c r="AE932" s="333"/>
      <c r="AF932" s="333"/>
      <c r="AG932" s="333"/>
      <c r="AH932" s="333"/>
      <c r="AI932" s="333"/>
      <c r="AJ932" s="333"/>
      <c r="AK932" s="175"/>
      <c r="AL932" s="54"/>
      <c r="AM932" s="324"/>
      <c r="AN932" s="324"/>
      <c r="AO932" s="324"/>
      <c r="AP932" s="324"/>
      <c r="AQ932" s="324"/>
      <c r="AR932" s="324"/>
      <c r="AS932" s="324"/>
      <c r="AT932" s="324"/>
      <c r="AU932" s="324"/>
      <c r="AV932" s="324"/>
      <c r="AW932" s="324"/>
      <c r="AX932" s="324"/>
      <c r="AY932" s="324"/>
      <c r="AZ932" s="324"/>
      <c r="BA932" s="324"/>
      <c r="BB932" s="324"/>
      <c r="BC932" s="324"/>
      <c r="BD932" s="324"/>
      <c r="BE932" s="324"/>
      <c r="BF932" s="324"/>
      <c r="BG932" s="324"/>
      <c r="BH932" s="324"/>
      <c r="BI932" s="324"/>
      <c r="BJ932" s="324"/>
      <c r="BK932" s="324"/>
      <c r="BL932" s="324"/>
      <c r="BM932" s="324"/>
      <c r="BN932" s="324"/>
      <c r="BO932" s="324"/>
      <c r="BP932" s="324"/>
      <c r="BQ932" s="324"/>
      <c r="BR932" s="324"/>
      <c r="BS932" s="324"/>
      <c r="BT932" s="55"/>
      <c r="BU932" s="54"/>
      <c r="BV932" s="173"/>
      <c r="BW932" s="173"/>
      <c r="BX932" s="173"/>
      <c r="BY932" s="173"/>
      <c r="BZ932" s="173"/>
      <c r="CA932" s="173"/>
      <c r="CB932" s="173"/>
      <c r="CC932" s="173"/>
      <c r="CD932" s="173"/>
      <c r="CE932" s="173"/>
      <c r="CF932" s="173"/>
      <c r="CG932" s="173"/>
      <c r="CH932" s="173"/>
      <c r="CI932" s="173"/>
      <c r="CJ932" s="173"/>
      <c r="CK932" s="55"/>
      <c r="CL932" s="54"/>
      <c r="CM932" s="333"/>
      <c r="CN932" s="333"/>
      <c r="CO932" s="333"/>
      <c r="CP932" s="333"/>
      <c r="CQ932" s="333"/>
      <c r="CR932" s="333"/>
      <c r="CS932" s="333"/>
      <c r="CT932" s="333"/>
      <c r="CU932" s="333"/>
      <c r="CV932" s="333"/>
      <c r="CW932" s="333"/>
      <c r="CX932" s="333"/>
      <c r="CY932" s="333"/>
      <c r="CZ932" s="333"/>
      <c r="DA932" s="333"/>
      <c r="DB932" s="333"/>
      <c r="DC932" s="333"/>
      <c r="DD932" s="333"/>
      <c r="DE932" s="333"/>
      <c r="DF932" s="333"/>
      <c r="DG932" s="333"/>
      <c r="DH932" s="333"/>
      <c r="DI932" s="333"/>
      <c r="DJ932" s="333"/>
      <c r="DK932" s="333"/>
      <c r="DL932" s="333"/>
      <c r="DM932" s="333"/>
      <c r="DN932" s="333"/>
      <c r="DO932" s="333"/>
      <c r="DP932" s="333"/>
      <c r="DQ932" s="333"/>
      <c r="DR932" s="333"/>
      <c r="DS932" s="333"/>
      <c r="DT932" s="333"/>
      <c r="DU932" s="333"/>
      <c r="DV932" s="333"/>
      <c r="DW932" s="333"/>
      <c r="DX932" s="333"/>
      <c r="DY932" s="333"/>
      <c r="DZ932" s="333"/>
      <c r="EA932" s="333"/>
      <c r="EB932" s="333"/>
      <c r="EC932" s="333"/>
      <c r="ED932" s="333"/>
      <c r="EE932" s="333"/>
      <c r="EG932" s="54"/>
      <c r="EH932" s="333"/>
      <c r="EI932" s="333"/>
      <c r="EJ932" s="333"/>
      <c r="EK932" s="333"/>
      <c r="EL932" s="333"/>
      <c r="EM932" s="333"/>
      <c r="EN932" s="333"/>
      <c r="EO932" s="333"/>
      <c r="EP932" s="333"/>
      <c r="EQ932" s="333"/>
      <c r="ER932" s="333"/>
      <c r="ES932" s="333"/>
      <c r="ET932" s="333"/>
      <c r="EU932" s="333"/>
      <c r="EV932" s="333"/>
      <c r="EW932" s="333"/>
      <c r="EX932" s="333"/>
      <c r="EY932" s="333"/>
      <c r="EZ932" s="333"/>
      <c r="FA932" s="333"/>
      <c r="FB932" s="333"/>
      <c r="FC932" s="333"/>
      <c r="FD932" s="333"/>
      <c r="FE932" s="333"/>
      <c r="FF932" s="333"/>
      <c r="FG932" s="333"/>
      <c r="FH932" s="333"/>
      <c r="FI932" s="333"/>
      <c r="FJ932" s="333"/>
      <c r="FK932" s="333"/>
      <c r="FL932" s="333"/>
      <c r="FM932" s="333"/>
      <c r="FN932" s="333"/>
      <c r="FP932" s="54"/>
      <c r="FQ932" s="333"/>
      <c r="FR932" s="333"/>
      <c r="FS932" s="333"/>
      <c r="FT932" s="333"/>
      <c r="FU932" s="333"/>
      <c r="FV932" s="333"/>
      <c r="FW932" s="333"/>
      <c r="FX932" s="333"/>
      <c r="FY932" s="333"/>
      <c r="FZ932" s="333"/>
      <c r="GA932" s="333"/>
      <c r="GB932" s="333"/>
      <c r="GC932" s="333"/>
      <c r="GD932" s="333"/>
      <c r="GE932" s="333"/>
      <c r="GF932" s="333"/>
      <c r="GG932" s="333"/>
      <c r="GH932" s="333"/>
      <c r="GI932" s="333"/>
      <c r="GJ932" s="333"/>
      <c r="GK932" s="333"/>
      <c r="GL932" s="333"/>
      <c r="GM932" s="333"/>
      <c r="GN932" s="333"/>
      <c r="GO932" s="333"/>
      <c r="GP932" s="333"/>
      <c r="GQ932" s="333"/>
      <c r="GR932" s="333"/>
      <c r="GS932" s="333"/>
      <c r="GT932" s="333"/>
      <c r="GU932" s="333"/>
      <c r="GV932" s="333"/>
      <c r="GW932" s="333"/>
      <c r="GY932" s="54"/>
      <c r="GZ932" s="333"/>
      <c r="HA932" s="333"/>
      <c r="HB932" s="333"/>
      <c r="HC932" s="333"/>
      <c r="HD932" s="333"/>
      <c r="HE932" s="333"/>
      <c r="HF932" s="333"/>
      <c r="HG932" s="333"/>
      <c r="HH932" s="333"/>
      <c r="HI932" s="333"/>
      <c r="HJ932" s="333"/>
      <c r="HK932" s="333"/>
      <c r="HL932" s="333"/>
      <c r="HM932" s="333"/>
      <c r="HN932" s="333"/>
      <c r="HO932" s="333"/>
      <c r="HP932" s="333"/>
      <c r="HQ932" s="333"/>
      <c r="HR932" s="333"/>
      <c r="HS932" s="333"/>
      <c r="HT932" s="333"/>
      <c r="HU932" s="333"/>
      <c r="HV932" s="333"/>
      <c r="HW932" s="333"/>
      <c r="HX932" s="333"/>
      <c r="HY932" s="333"/>
      <c r="HZ932" s="333"/>
      <c r="IA932" s="333"/>
      <c r="IB932" s="333"/>
      <c r="IC932" s="333"/>
      <c r="ID932" s="333"/>
      <c r="IE932" s="333"/>
      <c r="IF932" s="333"/>
      <c r="IH932" s="54"/>
      <c r="II932" s="333"/>
      <c r="IJ932" s="333"/>
      <c r="IK932" s="333"/>
      <c r="IL932" s="333"/>
      <c r="IM932" s="333"/>
      <c r="IN932" s="333"/>
      <c r="IO932" s="333"/>
      <c r="IP932" s="333"/>
      <c r="IQ932" s="333"/>
      <c r="IR932" s="333"/>
      <c r="IS932" s="333"/>
      <c r="IT932" s="333"/>
      <c r="IU932" s="333"/>
      <c r="IV932" s="333"/>
      <c r="IW932" s="333"/>
      <c r="IX932" s="333"/>
      <c r="IY932" s="333"/>
      <c r="IZ932" s="333"/>
      <c r="JA932" s="333"/>
      <c r="JB932" s="333"/>
      <c r="JC932" s="333"/>
      <c r="JD932" s="333"/>
      <c r="JE932" s="333"/>
      <c r="JF932" s="333"/>
      <c r="JG932" s="333"/>
      <c r="JH932" s="333"/>
      <c r="JI932" s="333"/>
      <c r="JJ932" s="333"/>
      <c r="JK932" s="333"/>
      <c r="JL932" s="333"/>
      <c r="JM932" s="333"/>
      <c r="JN932" s="333"/>
      <c r="JO932" s="333"/>
      <c r="JQ932" s="54"/>
      <c r="JR932" s="324"/>
      <c r="JS932" s="324"/>
      <c r="JT932" s="324"/>
      <c r="JU932" s="324"/>
      <c r="JV932" s="324"/>
      <c r="JW932" s="324"/>
      <c r="JX932" s="324"/>
      <c r="JY932" s="324"/>
      <c r="JZ932" s="324"/>
      <c r="KA932" s="324"/>
      <c r="KB932" s="324"/>
      <c r="KC932" s="324"/>
      <c r="KD932" s="324"/>
      <c r="KE932" s="324"/>
      <c r="KF932" s="324"/>
      <c r="KG932" s="324"/>
      <c r="KH932" s="324"/>
      <c r="KI932" s="324"/>
      <c r="KJ932" s="324"/>
      <c r="KK932" s="324"/>
      <c r="KL932" s="324"/>
      <c r="KM932" s="324"/>
      <c r="KN932" s="324"/>
      <c r="KO932" s="324"/>
      <c r="KP932" s="324"/>
      <c r="KQ932" s="324"/>
      <c r="KR932" s="324"/>
      <c r="KS932" s="324"/>
      <c r="KT932" s="324"/>
      <c r="KU932" s="324"/>
      <c r="KV932" s="324"/>
      <c r="KW932" s="324"/>
      <c r="KX932" s="324"/>
    </row>
    <row r="933" spans="1:311" ht="12.75" x14ac:dyDescent="0.2">
      <c r="A933" s="54"/>
      <c r="B933" s="54"/>
      <c r="C933" s="54"/>
      <c r="D933" s="333"/>
      <c r="E933" s="333"/>
      <c r="F933" s="333"/>
      <c r="G933" s="333"/>
      <c r="H933" s="333"/>
      <c r="I933" s="333"/>
      <c r="J933" s="333"/>
      <c r="K933" s="333"/>
      <c r="L933" s="333"/>
      <c r="M933" s="333"/>
      <c r="N933" s="333"/>
      <c r="O933" s="333"/>
      <c r="P933" s="333"/>
      <c r="Q933" s="333"/>
      <c r="R933" s="333"/>
      <c r="S933" s="333"/>
      <c r="T933" s="333"/>
      <c r="U933" s="333"/>
      <c r="V933" s="333"/>
      <c r="W933" s="333"/>
      <c r="X933" s="333"/>
      <c r="Y933" s="333"/>
      <c r="Z933" s="333"/>
      <c r="AA933" s="333"/>
      <c r="AB933" s="333"/>
      <c r="AC933" s="333"/>
      <c r="AD933" s="333"/>
      <c r="AE933" s="333"/>
      <c r="AF933" s="333"/>
      <c r="AG933" s="333"/>
      <c r="AH933" s="333"/>
      <c r="AI933" s="333"/>
      <c r="AJ933" s="333"/>
      <c r="AK933" s="175"/>
      <c r="AL933" s="54"/>
      <c r="AM933" s="324"/>
      <c r="AN933" s="324"/>
      <c r="AO933" s="324"/>
      <c r="AP933" s="324"/>
      <c r="AQ933" s="324"/>
      <c r="AR933" s="324"/>
      <c r="AS933" s="324"/>
      <c r="AT933" s="324"/>
      <c r="AU933" s="324"/>
      <c r="AV933" s="324"/>
      <c r="AW933" s="324"/>
      <c r="AX933" s="324"/>
      <c r="AY933" s="324"/>
      <c r="AZ933" s="324"/>
      <c r="BA933" s="324"/>
      <c r="BB933" s="324"/>
      <c r="BC933" s="324"/>
      <c r="BD933" s="324"/>
      <c r="BE933" s="324"/>
      <c r="BF933" s="324"/>
      <c r="BG933" s="324"/>
      <c r="BH933" s="324"/>
      <c r="BI933" s="324"/>
      <c r="BJ933" s="324"/>
      <c r="BK933" s="324"/>
      <c r="BL933" s="324"/>
      <c r="BM933" s="324"/>
      <c r="BN933" s="324"/>
      <c r="BO933" s="324"/>
      <c r="BP933" s="324"/>
      <c r="BQ933" s="324"/>
      <c r="BR933" s="324"/>
      <c r="BS933" s="324"/>
      <c r="BT933" s="55"/>
      <c r="BU933" s="54"/>
      <c r="BV933" s="173"/>
      <c r="BW933" s="173"/>
      <c r="BX933" s="173"/>
      <c r="BY933" s="173"/>
      <c r="BZ933" s="173"/>
      <c r="CA933" s="173"/>
      <c r="CB933" s="173"/>
      <c r="CC933" s="173"/>
      <c r="CD933" s="173"/>
      <c r="CE933" s="173"/>
      <c r="CF933" s="173"/>
      <c r="CG933" s="173"/>
      <c r="CH933" s="173"/>
      <c r="CI933" s="173"/>
      <c r="CJ933" s="173"/>
      <c r="CK933" s="55"/>
      <c r="CL933" s="54"/>
      <c r="CM933" s="333"/>
      <c r="CN933" s="333"/>
      <c r="CO933" s="333"/>
      <c r="CP933" s="333"/>
      <c r="CQ933" s="333"/>
      <c r="CR933" s="333"/>
      <c r="CS933" s="333"/>
      <c r="CT933" s="333"/>
      <c r="CU933" s="333"/>
      <c r="CV933" s="333"/>
      <c r="CW933" s="333"/>
      <c r="CX933" s="333"/>
      <c r="CY933" s="333"/>
      <c r="CZ933" s="333"/>
      <c r="DA933" s="333"/>
      <c r="DB933" s="333"/>
      <c r="DC933" s="333"/>
      <c r="DD933" s="333"/>
      <c r="DE933" s="333"/>
      <c r="DF933" s="333"/>
      <c r="DG933" s="333"/>
      <c r="DH933" s="333"/>
      <c r="DI933" s="333"/>
      <c r="DJ933" s="333"/>
      <c r="DK933" s="333"/>
      <c r="DL933" s="333"/>
      <c r="DM933" s="333"/>
      <c r="DN933" s="333"/>
      <c r="DO933" s="333"/>
      <c r="DP933" s="333"/>
      <c r="DQ933" s="333"/>
      <c r="DR933" s="333"/>
      <c r="DS933" s="333"/>
      <c r="DT933" s="333"/>
      <c r="DU933" s="333"/>
      <c r="DV933" s="333"/>
      <c r="DW933" s="333"/>
      <c r="DX933" s="333"/>
      <c r="DY933" s="333"/>
      <c r="DZ933" s="333"/>
      <c r="EA933" s="333"/>
      <c r="EB933" s="333"/>
      <c r="EC933" s="333"/>
      <c r="ED933" s="333"/>
      <c r="EE933" s="333"/>
      <c r="EG933" s="54"/>
      <c r="EH933" s="333"/>
      <c r="EI933" s="333"/>
      <c r="EJ933" s="333"/>
      <c r="EK933" s="333"/>
      <c r="EL933" s="333"/>
      <c r="EM933" s="333"/>
      <c r="EN933" s="333"/>
      <c r="EO933" s="333"/>
      <c r="EP933" s="333"/>
      <c r="EQ933" s="333"/>
      <c r="ER933" s="333"/>
      <c r="ES933" s="333"/>
      <c r="ET933" s="333"/>
      <c r="EU933" s="333"/>
      <c r="EV933" s="333"/>
      <c r="EW933" s="333"/>
      <c r="EX933" s="333"/>
      <c r="EY933" s="333"/>
      <c r="EZ933" s="333"/>
      <c r="FA933" s="333"/>
      <c r="FB933" s="333"/>
      <c r="FC933" s="333"/>
      <c r="FD933" s="333"/>
      <c r="FE933" s="333"/>
      <c r="FF933" s="333"/>
      <c r="FG933" s="333"/>
      <c r="FH933" s="333"/>
      <c r="FI933" s="333"/>
      <c r="FJ933" s="333"/>
      <c r="FK933" s="333"/>
      <c r="FL933" s="333"/>
      <c r="FM933" s="333"/>
      <c r="FN933" s="333"/>
      <c r="FP933" s="54"/>
      <c r="FQ933" s="333"/>
      <c r="FR933" s="333"/>
      <c r="FS933" s="333"/>
      <c r="FT933" s="333"/>
      <c r="FU933" s="333"/>
      <c r="FV933" s="333"/>
      <c r="FW933" s="333"/>
      <c r="FX933" s="333"/>
      <c r="FY933" s="333"/>
      <c r="FZ933" s="333"/>
      <c r="GA933" s="333"/>
      <c r="GB933" s="333"/>
      <c r="GC933" s="333"/>
      <c r="GD933" s="333"/>
      <c r="GE933" s="333"/>
      <c r="GF933" s="333"/>
      <c r="GG933" s="333"/>
      <c r="GH933" s="333"/>
      <c r="GI933" s="333"/>
      <c r="GJ933" s="333"/>
      <c r="GK933" s="333"/>
      <c r="GL933" s="333"/>
      <c r="GM933" s="333"/>
      <c r="GN933" s="333"/>
      <c r="GO933" s="333"/>
      <c r="GP933" s="333"/>
      <c r="GQ933" s="333"/>
      <c r="GR933" s="333"/>
      <c r="GS933" s="333"/>
      <c r="GT933" s="333"/>
      <c r="GU933" s="333"/>
      <c r="GV933" s="333"/>
      <c r="GW933" s="333"/>
      <c r="GY933" s="54"/>
      <c r="GZ933" s="333"/>
      <c r="HA933" s="333"/>
      <c r="HB933" s="333"/>
      <c r="HC933" s="333"/>
      <c r="HD933" s="333"/>
      <c r="HE933" s="333"/>
      <c r="HF933" s="333"/>
      <c r="HG933" s="333"/>
      <c r="HH933" s="333"/>
      <c r="HI933" s="333"/>
      <c r="HJ933" s="333"/>
      <c r="HK933" s="333"/>
      <c r="HL933" s="333"/>
      <c r="HM933" s="333"/>
      <c r="HN933" s="333"/>
      <c r="HO933" s="333"/>
      <c r="HP933" s="333"/>
      <c r="HQ933" s="333"/>
      <c r="HR933" s="333"/>
      <c r="HS933" s="333"/>
      <c r="HT933" s="333"/>
      <c r="HU933" s="333"/>
      <c r="HV933" s="333"/>
      <c r="HW933" s="333"/>
      <c r="HX933" s="333"/>
      <c r="HY933" s="333"/>
      <c r="HZ933" s="333"/>
      <c r="IA933" s="333"/>
      <c r="IB933" s="333"/>
      <c r="IC933" s="333"/>
      <c r="ID933" s="333"/>
      <c r="IE933" s="333"/>
      <c r="IF933" s="333"/>
      <c r="IH933" s="54"/>
      <c r="II933" s="333"/>
      <c r="IJ933" s="333"/>
      <c r="IK933" s="333"/>
      <c r="IL933" s="333"/>
      <c r="IM933" s="333"/>
      <c r="IN933" s="333"/>
      <c r="IO933" s="333"/>
      <c r="IP933" s="333"/>
      <c r="IQ933" s="333"/>
      <c r="IR933" s="333"/>
      <c r="IS933" s="333"/>
      <c r="IT933" s="333"/>
      <c r="IU933" s="333"/>
      <c r="IV933" s="333"/>
      <c r="IW933" s="333"/>
      <c r="IX933" s="333"/>
      <c r="IY933" s="333"/>
      <c r="IZ933" s="333"/>
      <c r="JA933" s="333"/>
      <c r="JB933" s="333"/>
      <c r="JC933" s="333"/>
      <c r="JD933" s="333"/>
      <c r="JE933" s="333"/>
      <c r="JF933" s="333"/>
      <c r="JG933" s="333"/>
      <c r="JH933" s="333"/>
      <c r="JI933" s="333"/>
      <c r="JJ933" s="333"/>
      <c r="JK933" s="333"/>
      <c r="JL933" s="333"/>
      <c r="JM933" s="333"/>
      <c r="JN933" s="333"/>
      <c r="JO933" s="333"/>
      <c r="JQ933" s="54"/>
      <c r="JR933" s="324"/>
      <c r="JS933" s="324"/>
      <c r="JT933" s="324"/>
      <c r="JU933" s="324"/>
      <c r="JV933" s="324"/>
      <c r="JW933" s="324"/>
      <c r="JX933" s="324"/>
      <c r="JY933" s="324"/>
      <c r="JZ933" s="324"/>
      <c r="KA933" s="324"/>
      <c r="KB933" s="324"/>
      <c r="KC933" s="324"/>
      <c r="KD933" s="324"/>
      <c r="KE933" s="324"/>
      <c r="KF933" s="324"/>
      <c r="KG933" s="324"/>
      <c r="KH933" s="324"/>
      <c r="KI933" s="324"/>
      <c r="KJ933" s="324"/>
      <c r="KK933" s="324"/>
      <c r="KL933" s="324"/>
      <c r="KM933" s="324"/>
      <c r="KN933" s="324"/>
      <c r="KO933" s="324"/>
      <c r="KP933" s="324"/>
      <c r="KQ933" s="324"/>
      <c r="KR933" s="324"/>
      <c r="KS933" s="324"/>
      <c r="KT933" s="324"/>
      <c r="KU933" s="324"/>
      <c r="KV933" s="324"/>
      <c r="KW933" s="324"/>
      <c r="KX933" s="324"/>
    </row>
    <row r="934" spans="1:311" ht="12.75" x14ac:dyDescent="0.2">
      <c r="A934" s="54"/>
      <c r="B934" s="54"/>
      <c r="C934" s="54"/>
      <c r="D934" s="333"/>
      <c r="E934" s="333"/>
      <c r="F934" s="333"/>
      <c r="G934" s="333"/>
      <c r="H934" s="333"/>
      <c r="I934" s="333"/>
      <c r="J934" s="333"/>
      <c r="K934" s="333"/>
      <c r="L934" s="333"/>
      <c r="M934" s="333"/>
      <c r="N934" s="333"/>
      <c r="O934" s="333"/>
      <c r="P934" s="333"/>
      <c r="Q934" s="333"/>
      <c r="R934" s="333"/>
      <c r="S934" s="333"/>
      <c r="T934" s="333"/>
      <c r="U934" s="333"/>
      <c r="V934" s="333"/>
      <c r="W934" s="333"/>
      <c r="X934" s="333"/>
      <c r="Y934" s="333"/>
      <c r="Z934" s="333"/>
      <c r="AA934" s="333"/>
      <c r="AB934" s="333"/>
      <c r="AC934" s="333"/>
      <c r="AD934" s="333"/>
      <c r="AE934" s="333"/>
      <c r="AF934" s="333"/>
      <c r="AG934" s="333"/>
      <c r="AH934" s="333"/>
      <c r="AI934" s="333"/>
      <c r="AJ934" s="333"/>
      <c r="AK934" s="175"/>
      <c r="AL934" s="54"/>
      <c r="AM934" s="324"/>
      <c r="AN934" s="324"/>
      <c r="AO934" s="324"/>
      <c r="AP934" s="324"/>
      <c r="AQ934" s="324"/>
      <c r="AR934" s="324"/>
      <c r="AS934" s="324"/>
      <c r="AT934" s="324"/>
      <c r="AU934" s="324"/>
      <c r="AV934" s="324"/>
      <c r="AW934" s="324"/>
      <c r="AX934" s="324"/>
      <c r="AY934" s="324"/>
      <c r="AZ934" s="324"/>
      <c r="BA934" s="324"/>
      <c r="BB934" s="324"/>
      <c r="BC934" s="324"/>
      <c r="BD934" s="324"/>
      <c r="BE934" s="324"/>
      <c r="BF934" s="324"/>
      <c r="BG934" s="324"/>
      <c r="BH934" s="324"/>
      <c r="BI934" s="324"/>
      <c r="BJ934" s="324"/>
      <c r="BK934" s="324"/>
      <c r="BL934" s="324"/>
      <c r="BM934" s="324"/>
      <c r="BN934" s="324"/>
      <c r="BO934" s="324"/>
      <c r="BP934" s="324"/>
      <c r="BQ934" s="324"/>
      <c r="BR934" s="324"/>
      <c r="BS934" s="324"/>
      <c r="BT934" s="55"/>
      <c r="BU934" s="54"/>
      <c r="BV934" s="173"/>
      <c r="BW934" s="173"/>
      <c r="BX934" s="173"/>
      <c r="BY934" s="173"/>
      <c r="BZ934" s="173"/>
      <c r="CA934" s="173"/>
      <c r="CB934" s="173"/>
      <c r="CC934" s="173"/>
      <c r="CD934" s="173"/>
      <c r="CE934" s="173"/>
      <c r="CF934" s="173"/>
      <c r="CG934" s="173"/>
      <c r="CH934" s="173"/>
      <c r="CI934" s="173"/>
      <c r="CJ934" s="173"/>
      <c r="CK934" s="55"/>
      <c r="CL934" s="54"/>
      <c r="CM934" s="333"/>
      <c r="CN934" s="333"/>
      <c r="CO934" s="333"/>
      <c r="CP934" s="333"/>
      <c r="CQ934" s="333"/>
      <c r="CR934" s="333"/>
      <c r="CS934" s="333"/>
      <c r="CT934" s="333"/>
      <c r="CU934" s="333"/>
      <c r="CV934" s="333"/>
      <c r="CW934" s="333"/>
      <c r="CX934" s="333"/>
      <c r="CY934" s="333"/>
      <c r="CZ934" s="333"/>
      <c r="DA934" s="333"/>
      <c r="DB934" s="333"/>
      <c r="DC934" s="333"/>
      <c r="DD934" s="333"/>
      <c r="DE934" s="333"/>
      <c r="DF934" s="333"/>
      <c r="DG934" s="333"/>
      <c r="DH934" s="333"/>
      <c r="DI934" s="333"/>
      <c r="DJ934" s="333"/>
      <c r="DK934" s="333"/>
      <c r="DL934" s="333"/>
      <c r="DM934" s="333"/>
      <c r="DN934" s="333"/>
      <c r="DO934" s="333"/>
      <c r="DP934" s="333"/>
      <c r="DQ934" s="333"/>
      <c r="DR934" s="333"/>
      <c r="DS934" s="333"/>
      <c r="DT934" s="333"/>
      <c r="DU934" s="333"/>
      <c r="DV934" s="333"/>
      <c r="DW934" s="333"/>
      <c r="DX934" s="333"/>
      <c r="DY934" s="333"/>
      <c r="DZ934" s="333"/>
      <c r="EA934" s="333"/>
      <c r="EB934" s="333"/>
      <c r="EC934" s="333"/>
      <c r="ED934" s="333"/>
      <c r="EE934" s="333"/>
      <c r="EG934" s="54"/>
      <c r="EH934" s="333"/>
      <c r="EI934" s="333"/>
      <c r="EJ934" s="333"/>
      <c r="EK934" s="333"/>
      <c r="EL934" s="333"/>
      <c r="EM934" s="333"/>
      <c r="EN934" s="333"/>
      <c r="EO934" s="333"/>
      <c r="EP934" s="333"/>
      <c r="EQ934" s="333"/>
      <c r="ER934" s="333"/>
      <c r="ES934" s="333"/>
      <c r="ET934" s="333"/>
      <c r="EU934" s="333"/>
      <c r="EV934" s="333"/>
      <c r="EW934" s="333"/>
      <c r="EX934" s="333"/>
      <c r="EY934" s="333"/>
      <c r="EZ934" s="333"/>
      <c r="FA934" s="333"/>
      <c r="FB934" s="333"/>
      <c r="FC934" s="333"/>
      <c r="FD934" s="333"/>
      <c r="FE934" s="333"/>
      <c r="FF934" s="333"/>
      <c r="FG934" s="333"/>
      <c r="FH934" s="333"/>
      <c r="FI934" s="333"/>
      <c r="FJ934" s="333"/>
      <c r="FK934" s="333"/>
      <c r="FL934" s="333"/>
      <c r="FM934" s="333"/>
      <c r="FN934" s="333"/>
      <c r="FP934" s="54"/>
      <c r="FQ934" s="333"/>
      <c r="FR934" s="333"/>
      <c r="FS934" s="333"/>
      <c r="FT934" s="333"/>
      <c r="FU934" s="333"/>
      <c r="FV934" s="333"/>
      <c r="FW934" s="333"/>
      <c r="FX934" s="333"/>
      <c r="FY934" s="333"/>
      <c r="FZ934" s="333"/>
      <c r="GA934" s="333"/>
      <c r="GB934" s="333"/>
      <c r="GC934" s="333"/>
      <c r="GD934" s="333"/>
      <c r="GE934" s="333"/>
      <c r="GF934" s="333"/>
      <c r="GG934" s="333"/>
      <c r="GH934" s="333"/>
      <c r="GI934" s="333"/>
      <c r="GJ934" s="333"/>
      <c r="GK934" s="333"/>
      <c r="GL934" s="333"/>
      <c r="GM934" s="333"/>
      <c r="GN934" s="333"/>
      <c r="GO934" s="333"/>
      <c r="GP934" s="333"/>
      <c r="GQ934" s="333"/>
      <c r="GR934" s="333"/>
      <c r="GS934" s="333"/>
      <c r="GT934" s="333"/>
      <c r="GU934" s="333"/>
      <c r="GV934" s="333"/>
      <c r="GW934" s="333"/>
      <c r="GY934" s="54"/>
      <c r="GZ934" s="333"/>
      <c r="HA934" s="333"/>
      <c r="HB934" s="333"/>
      <c r="HC934" s="333"/>
      <c r="HD934" s="333"/>
      <c r="HE934" s="333"/>
      <c r="HF934" s="333"/>
      <c r="HG934" s="333"/>
      <c r="HH934" s="333"/>
      <c r="HI934" s="333"/>
      <c r="HJ934" s="333"/>
      <c r="HK934" s="333"/>
      <c r="HL934" s="333"/>
      <c r="HM934" s="333"/>
      <c r="HN934" s="333"/>
      <c r="HO934" s="333"/>
      <c r="HP934" s="333"/>
      <c r="HQ934" s="333"/>
      <c r="HR934" s="333"/>
      <c r="HS934" s="333"/>
      <c r="HT934" s="333"/>
      <c r="HU934" s="333"/>
      <c r="HV934" s="333"/>
      <c r="HW934" s="333"/>
      <c r="HX934" s="333"/>
      <c r="HY934" s="333"/>
      <c r="HZ934" s="333"/>
      <c r="IA934" s="333"/>
      <c r="IB934" s="333"/>
      <c r="IC934" s="333"/>
      <c r="ID934" s="333"/>
      <c r="IE934" s="333"/>
      <c r="IF934" s="333"/>
      <c r="IH934" s="54"/>
      <c r="II934" s="333"/>
      <c r="IJ934" s="333"/>
      <c r="IK934" s="333"/>
      <c r="IL934" s="333"/>
      <c r="IM934" s="333"/>
      <c r="IN934" s="333"/>
      <c r="IO934" s="333"/>
      <c r="IP934" s="333"/>
      <c r="IQ934" s="333"/>
      <c r="IR934" s="333"/>
      <c r="IS934" s="333"/>
      <c r="IT934" s="333"/>
      <c r="IU934" s="333"/>
      <c r="IV934" s="333"/>
      <c r="IW934" s="333"/>
      <c r="IX934" s="333"/>
      <c r="IY934" s="333"/>
      <c r="IZ934" s="333"/>
      <c r="JA934" s="333"/>
      <c r="JB934" s="333"/>
      <c r="JC934" s="333"/>
      <c r="JD934" s="333"/>
      <c r="JE934" s="333"/>
      <c r="JF934" s="333"/>
      <c r="JG934" s="333"/>
      <c r="JH934" s="333"/>
      <c r="JI934" s="333"/>
      <c r="JJ934" s="333"/>
      <c r="JK934" s="333"/>
      <c r="JL934" s="333"/>
      <c r="JM934" s="333"/>
      <c r="JN934" s="333"/>
      <c r="JO934" s="333"/>
      <c r="JQ934" s="54"/>
      <c r="JR934" s="324"/>
      <c r="JS934" s="324"/>
      <c r="JT934" s="324"/>
      <c r="JU934" s="324"/>
      <c r="JV934" s="324"/>
      <c r="JW934" s="324"/>
      <c r="JX934" s="324"/>
      <c r="JY934" s="324"/>
      <c r="JZ934" s="324"/>
      <c r="KA934" s="324"/>
      <c r="KB934" s="324"/>
      <c r="KC934" s="324"/>
      <c r="KD934" s="324"/>
      <c r="KE934" s="324"/>
      <c r="KF934" s="324"/>
      <c r="KG934" s="324"/>
      <c r="KH934" s="324"/>
      <c r="KI934" s="324"/>
      <c r="KJ934" s="324"/>
      <c r="KK934" s="324"/>
      <c r="KL934" s="324"/>
      <c r="KM934" s="324"/>
      <c r="KN934" s="324"/>
      <c r="KO934" s="324"/>
      <c r="KP934" s="324"/>
      <c r="KQ934" s="324"/>
      <c r="KR934" s="324"/>
      <c r="KS934" s="324"/>
      <c r="KT934" s="324"/>
      <c r="KU934" s="324"/>
      <c r="KV934" s="324"/>
      <c r="KW934" s="324"/>
      <c r="KX934" s="324"/>
    </row>
    <row r="935" spans="1:311" ht="12.75" x14ac:dyDescent="0.2">
      <c r="A935" s="54"/>
      <c r="B935" s="54"/>
      <c r="C935" s="54"/>
      <c r="D935" s="333"/>
      <c r="E935" s="333"/>
      <c r="F935" s="333"/>
      <c r="G935" s="333"/>
      <c r="H935" s="333"/>
      <c r="I935" s="333"/>
      <c r="J935" s="333"/>
      <c r="K935" s="333"/>
      <c r="L935" s="333"/>
      <c r="M935" s="333"/>
      <c r="N935" s="333"/>
      <c r="O935" s="333"/>
      <c r="P935" s="333"/>
      <c r="Q935" s="333"/>
      <c r="R935" s="333"/>
      <c r="S935" s="333"/>
      <c r="T935" s="333"/>
      <c r="U935" s="333"/>
      <c r="V935" s="333"/>
      <c r="W935" s="333"/>
      <c r="X935" s="333"/>
      <c r="Y935" s="333"/>
      <c r="Z935" s="333"/>
      <c r="AA935" s="333"/>
      <c r="AB935" s="333"/>
      <c r="AC935" s="333"/>
      <c r="AD935" s="333"/>
      <c r="AE935" s="333"/>
      <c r="AF935" s="333"/>
      <c r="AG935" s="333"/>
      <c r="AH935" s="333"/>
      <c r="AI935" s="333"/>
      <c r="AJ935" s="333"/>
      <c r="AK935" s="175"/>
      <c r="AL935" s="54"/>
      <c r="AM935" s="324"/>
      <c r="AN935" s="324"/>
      <c r="AO935" s="324"/>
      <c r="AP935" s="324"/>
      <c r="AQ935" s="324"/>
      <c r="AR935" s="324"/>
      <c r="AS935" s="324"/>
      <c r="AT935" s="324"/>
      <c r="AU935" s="324"/>
      <c r="AV935" s="324"/>
      <c r="AW935" s="324"/>
      <c r="AX935" s="324"/>
      <c r="AY935" s="324"/>
      <c r="AZ935" s="324"/>
      <c r="BA935" s="324"/>
      <c r="BB935" s="324"/>
      <c r="BC935" s="324"/>
      <c r="BD935" s="324"/>
      <c r="BE935" s="324"/>
      <c r="BF935" s="324"/>
      <c r="BG935" s="324"/>
      <c r="BH935" s="324"/>
      <c r="BI935" s="324"/>
      <c r="BJ935" s="324"/>
      <c r="BK935" s="324"/>
      <c r="BL935" s="324"/>
      <c r="BM935" s="324"/>
      <c r="BN935" s="324"/>
      <c r="BO935" s="324"/>
      <c r="BP935" s="324"/>
      <c r="BQ935" s="324"/>
      <c r="BR935" s="324"/>
      <c r="BS935" s="324"/>
      <c r="BT935" s="55"/>
      <c r="BU935" s="54"/>
      <c r="BV935" s="173"/>
      <c r="BW935" s="173"/>
      <c r="BX935" s="173"/>
      <c r="BY935" s="173"/>
      <c r="BZ935" s="173"/>
      <c r="CA935" s="173"/>
      <c r="CB935" s="173"/>
      <c r="CC935" s="173"/>
      <c r="CD935" s="173"/>
      <c r="CE935" s="173"/>
      <c r="CF935" s="173"/>
      <c r="CG935" s="173"/>
      <c r="CH935" s="173"/>
      <c r="CI935" s="173"/>
      <c r="CJ935" s="173"/>
      <c r="CK935" s="55"/>
      <c r="CL935" s="54"/>
      <c r="CM935" s="333"/>
      <c r="CN935" s="333"/>
      <c r="CO935" s="333"/>
      <c r="CP935" s="333"/>
      <c r="CQ935" s="333"/>
      <c r="CR935" s="333"/>
      <c r="CS935" s="333"/>
      <c r="CT935" s="333"/>
      <c r="CU935" s="333"/>
      <c r="CV935" s="333"/>
      <c r="CW935" s="333"/>
      <c r="CX935" s="333"/>
      <c r="CY935" s="333"/>
      <c r="CZ935" s="333"/>
      <c r="DA935" s="333"/>
      <c r="DB935" s="333"/>
      <c r="DC935" s="333"/>
      <c r="DD935" s="333"/>
      <c r="DE935" s="333"/>
      <c r="DF935" s="333"/>
      <c r="DG935" s="333"/>
      <c r="DH935" s="333"/>
      <c r="DI935" s="333"/>
      <c r="DJ935" s="333"/>
      <c r="DK935" s="333"/>
      <c r="DL935" s="333"/>
      <c r="DM935" s="333"/>
      <c r="DN935" s="333"/>
      <c r="DO935" s="333"/>
      <c r="DP935" s="333"/>
      <c r="DQ935" s="333"/>
      <c r="DR935" s="333"/>
      <c r="DS935" s="333"/>
      <c r="DT935" s="333"/>
      <c r="DU935" s="333"/>
      <c r="DV935" s="333"/>
      <c r="DW935" s="333"/>
      <c r="DX935" s="333"/>
      <c r="DY935" s="333"/>
      <c r="DZ935" s="333"/>
      <c r="EA935" s="333"/>
      <c r="EB935" s="333"/>
      <c r="EC935" s="333"/>
      <c r="ED935" s="333"/>
      <c r="EE935" s="333"/>
      <c r="EG935" s="54"/>
      <c r="EH935" s="333"/>
      <c r="EI935" s="333"/>
      <c r="EJ935" s="333"/>
      <c r="EK935" s="333"/>
      <c r="EL935" s="333"/>
      <c r="EM935" s="333"/>
      <c r="EN935" s="333"/>
      <c r="EO935" s="333"/>
      <c r="EP935" s="333"/>
      <c r="EQ935" s="333"/>
      <c r="ER935" s="333"/>
      <c r="ES935" s="333"/>
      <c r="ET935" s="333"/>
      <c r="EU935" s="333"/>
      <c r="EV935" s="333"/>
      <c r="EW935" s="333"/>
      <c r="EX935" s="333"/>
      <c r="EY935" s="333"/>
      <c r="EZ935" s="333"/>
      <c r="FA935" s="333"/>
      <c r="FB935" s="333"/>
      <c r="FC935" s="333"/>
      <c r="FD935" s="333"/>
      <c r="FE935" s="333"/>
      <c r="FF935" s="333"/>
      <c r="FG935" s="333"/>
      <c r="FH935" s="333"/>
      <c r="FI935" s="333"/>
      <c r="FJ935" s="333"/>
      <c r="FK935" s="333"/>
      <c r="FL935" s="333"/>
      <c r="FM935" s="333"/>
      <c r="FN935" s="333"/>
      <c r="FP935" s="54"/>
      <c r="FQ935" s="333"/>
      <c r="FR935" s="333"/>
      <c r="FS935" s="333"/>
      <c r="FT935" s="333"/>
      <c r="FU935" s="333"/>
      <c r="FV935" s="333"/>
      <c r="FW935" s="333"/>
      <c r="FX935" s="333"/>
      <c r="FY935" s="333"/>
      <c r="FZ935" s="333"/>
      <c r="GA935" s="333"/>
      <c r="GB935" s="333"/>
      <c r="GC935" s="333"/>
      <c r="GD935" s="333"/>
      <c r="GE935" s="333"/>
      <c r="GF935" s="333"/>
      <c r="GG935" s="333"/>
      <c r="GH935" s="333"/>
      <c r="GI935" s="333"/>
      <c r="GJ935" s="333"/>
      <c r="GK935" s="333"/>
      <c r="GL935" s="333"/>
      <c r="GM935" s="333"/>
      <c r="GN935" s="333"/>
      <c r="GO935" s="333"/>
      <c r="GP935" s="333"/>
      <c r="GQ935" s="333"/>
      <c r="GR935" s="333"/>
      <c r="GS935" s="333"/>
      <c r="GT935" s="333"/>
      <c r="GU935" s="333"/>
      <c r="GV935" s="333"/>
      <c r="GW935" s="333"/>
      <c r="GY935" s="54"/>
      <c r="GZ935" s="333"/>
      <c r="HA935" s="333"/>
      <c r="HB935" s="333"/>
      <c r="HC935" s="333"/>
      <c r="HD935" s="333"/>
      <c r="HE935" s="333"/>
      <c r="HF935" s="333"/>
      <c r="HG935" s="333"/>
      <c r="HH935" s="333"/>
      <c r="HI935" s="333"/>
      <c r="HJ935" s="333"/>
      <c r="HK935" s="333"/>
      <c r="HL935" s="333"/>
      <c r="HM935" s="333"/>
      <c r="HN935" s="333"/>
      <c r="HO935" s="333"/>
      <c r="HP935" s="333"/>
      <c r="HQ935" s="333"/>
      <c r="HR935" s="333"/>
      <c r="HS935" s="333"/>
      <c r="HT935" s="333"/>
      <c r="HU935" s="333"/>
      <c r="HV935" s="333"/>
      <c r="HW935" s="333"/>
      <c r="HX935" s="333"/>
      <c r="HY935" s="333"/>
      <c r="HZ935" s="333"/>
      <c r="IA935" s="333"/>
      <c r="IB935" s="333"/>
      <c r="IC935" s="333"/>
      <c r="ID935" s="333"/>
      <c r="IE935" s="333"/>
      <c r="IF935" s="333"/>
      <c r="IH935" s="54"/>
      <c r="II935" s="333"/>
      <c r="IJ935" s="333"/>
      <c r="IK935" s="333"/>
      <c r="IL935" s="333"/>
      <c r="IM935" s="333"/>
      <c r="IN935" s="333"/>
      <c r="IO935" s="333"/>
      <c r="IP935" s="333"/>
      <c r="IQ935" s="333"/>
      <c r="IR935" s="333"/>
      <c r="IS935" s="333"/>
      <c r="IT935" s="333"/>
      <c r="IU935" s="333"/>
      <c r="IV935" s="333"/>
      <c r="IW935" s="333"/>
      <c r="IX935" s="333"/>
      <c r="IY935" s="333"/>
      <c r="IZ935" s="333"/>
      <c r="JA935" s="333"/>
      <c r="JB935" s="333"/>
      <c r="JC935" s="333"/>
      <c r="JD935" s="333"/>
      <c r="JE935" s="333"/>
      <c r="JF935" s="333"/>
      <c r="JG935" s="333"/>
      <c r="JH935" s="333"/>
      <c r="JI935" s="333"/>
      <c r="JJ935" s="333"/>
      <c r="JK935" s="333"/>
      <c r="JL935" s="333"/>
      <c r="JM935" s="333"/>
      <c r="JN935" s="333"/>
      <c r="JO935" s="333"/>
      <c r="JQ935" s="54"/>
      <c r="JR935" s="324"/>
      <c r="JS935" s="324"/>
      <c r="JT935" s="324"/>
      <c r="JU935" s="324"/>
      <c r="JV935" s="324"/>
      <c r="JW935" s="324"/>
      <c r="JX935" s="324"/>
      <c r="JY935" s="324"/>
      <c r="JZ935" s="324"/>
      <c r="KA935" s="324"/>
      <c r="KB935" s="324"/>
      <c r="KC935" s="324"/>
      <c r="KD935" s="324"/>
      <c r="KE935" s="324"/>
      <c r="KF935" s="324"/>
      <c r="KG935" s="324"/>
      <c r="KH935" s="324"/>
      <c r="KI935" s="324"/>
      <c r="KJ935" s="324"/>
      <c r="KK935" s="324"/>
      <c r="KL935" s="324"/>
      <c r="KM935" s="324"/>
      <c r="KN935" s="324"/>
      <c r="KO935" s="324"/>
      <c r="KP935" s="324"/>
      <c r="KQ935" s="324"/>
      <c r="KR935" s="324"/>
      <c r="KS935" s="324"/>
      <c r="KT935" s="324"/>
      <c r="KU935" s="324"/>
      <c r="KV935" s="324"/>
      <c r="KW935" s="324"/>
      <c r="KX935" s="324"/>
    </row>
    <row r="936" spans="1:311" ht="12.75" x14ac:dyDescent="0.2">
      <c r="A936" s="54"/>
      <c r="B936" s="54"/>
      <c r="C936" s="54"/>
      <c r="D936" s="333"/>
      <c r="E936" s="333"/>
      <c r="F936" s="333"/>
      <c r="G936" s="333"/>
      <c r="H936" s="333"/>
      <c r="I936" s="333"/>
      <c r="J936" s="333"/>
      <c r="K936" s="333"/>
      <c r="L936" s="333"/>
      <c r="M936" s="333"/>
      <c r="N936" s="333"/>
      <c r="O936" s="333"/>
      <c r="P936" s="333"/>
      <c r="Q936" s="333"/>
      <c r="R936" s="333"/>
      <c r="S936" s="333"/>
      <c r="T936" s="333"/>
      <c r="U936" s="333"/>
      <c r="V936" s="333"/>
      <c r="W936" s="333"/>
      <c r="X936" s="333"/>
      <c r="Y936" s="333"/>
      <c r="Z936" s="333"/>
      <c r="AA936" s="333"/>
      <c r="AB936" s="333"/>
      <c r="AC936" s="333"/>
      <c r="AD936" s="333"/>
      <c r="AE936" s="333"/>
      <c r="AF936" s="333"/>
      <c r="AG936" s="333"/>
      <c r="AH936" s="333"/>
      <c r="AI936" s="333"/>
      <c r="AJ936" s="333"/>
      <c r="AK936" s="175"/>
      <c r="AL936" s="54"/>
      <c r="AM936" s="324"/>
      <c r="AN936" s="324"/>
      <c r="AO936" s="324"/>
      <c r="AP936" s="324"/>
      <c r="AQ936" s="324"/>
      <c r="AR936" s="324"/>
      <c r="AS936" s="324"/>
      <c r="AT936" s="324"/>
      <c r="AU936" s="324"/>
      <c r="AV936" s="324"/>
      <c r="AW936" s="324"/>
      <c r="AX936" s="324"/>
      <c r="AY936" s="324"/>
      <c r="AZ936" s="324"/>
      <c r="BA936" s="324"/>
      <c r="BB936" s="324"/>
      <c r="BC936" s="324"/>
      <c r="BD936" s="324"/>
      <c r="BE936" s="324"/>
      <c r="BF936" s="324"/>
      <c r="BG936" s="324"/>
      <c r="BH936" s="324"/>
      <c r="BI936" s="324"/>
      <c r="BJ936" s="324"/>
      <c r="BK936" s="324"/>
      <c r="BL936" s="324"/>
      <c r="BM936" s="324"/>
      <c r="BN936" s="324"/>
      <c r="BO936" s="324"/>
      <c r="BP936" s="324"/>
      <c r="BQ936" s="324"/>
      <c r="BR936" s="324"/>
      <c r="BS936" s="324"/>
      <c r="BT936" s="55"/>
      <c r="BU936" s="54"/>
      <c r="BV936" s="173"/>
      <c r="BW936" s="173"/>
      <c r="BX936" s="173"/>
      <c r="BY936" s="173"/>
      <c r="BZ936" s="173"/>
      <c r="CA936" s="173"/>
      <c r="CB936" s="173"/>
      <c r="CC936" s="173"/>
      <c r="CD936" s="173"/>
      <c r="CE936" s="173"/>
      <c r="CF936" s="173"/>
      <c r="CG936" s="173"/>
      <c r="CH936" s="173"/>
      <c r="CI936" s="173"/>
      <c r="CJ936" s="173"/>
      <c r="CK936" s="55"/>
      <c r="CL936" s="54"/>
      <c r="CM936" s="333"/>
      <c r="CN936" s="333"/>
      <c r="CO936" s="333"/>
      <c r="CP936" s="333"/>
      <c r="CQ936" s="333"/>
      <c r="CR936" s="333"/>
      <c r="CS936" s="333"/>
      <c r="CT936" s="333"/>
      <c r="CU936" s="333"/>
      <c r="CV936" s="333"/>
      <c r="CW936" s="333"/>
      <c r="CX936" s="333"/>
      <c r="CY936" s="333"/>
      <c r="CZ936" s="333"/>
      <c r="DA936" s="333"/>
      <c r="DB936" s="333"/>
      <c r="DC936" s="333"/>
      <c r="DD936" s="333"/>
      <c r="DE936" s="333"/>
      <c r="DF936" s="333"/>
      <c r="DG936" s="333"/>
      <c r="DH936" s="333"/>
      <c r="DI936" s="333"/>
      <c r="DJ936" s="333"/>
      <c r="DK936" s="333"/>
      <c r="DL936" s="333"/>
      <c r="DM936" s="333"/>
      <c r="DN936" s="333"/>
      <c r="DO936" s="333"/>
      <c r="DP936" s="333"/>
      <c r="DQ936" s="333"/>
      <c r="DR936" s="333"/>
      <c r="DS936" s="333"/>
      <c r="DT936" s="333"/>
      <c r="DU936" s="333"/>
      <c r="DV936" s="333"/>
      <c r="DW936" s="333"/>
      <c r="DX936" s="333"/>
      <c r="DY936" s="333"/>
      <c r="DZ936" s="333"/>
      <c r="EA936" s="333"/>
      <c r="EB936" s="333"/>
      <c r="EC936" s="333"/>
      <c r="ED936" s="333"/>
      <c r="EE936" s="333"/>
      <c r="EG936" s="54"/>
      <c r="EH936" s="333"/>
      <c r="EI936" s="333"/>
      <c r="EJ936" s="333"/>
      <c r="EK936" s="333"/>
      <c r="EL936" s="333"/>
      <c r="EM936" s="333"/>
      <c r="EN936" s="333"/>
      <c r="EO936" s="333"/>
      <c r="EP936" s="333"/>
      <c r="EQ936" s="333"/>
      <c r="ER936" s="333"/>
      <c r="ES936" s="333"/>
      <c r="ET936" s="333"/>
      <c r="EU936" s="333"/>
      <c r="EV936" s="333"/>
      <c r="EW936" s="333"/>
      <c r="EX936" s="333"/>
      <c r="EY936" s="333"/>
      <c r="EZ936" s="333"/>
      <c r="FA936" s="333"/>
      <c r="FB936" s="333"/>
      <c r="FC936" s="333"/>
      <c r="FD936" s="333"/>
      <c r="FE936" s="333"/>
      <c r="FF936" s="333"/>
      <c r="FG936" s="333"/>
      <c r="FH936" s="333"/>
      <c r="FI936" s="333"/>
      <c r="FJ936" s="333"/>
      <c r="FK936" s="333"/>
      <c r="FL936" s="333"/>
      <c r="FM936" s="333"/>
      <c r="FN936" s="333"/>
      <c r="FP936" s="54"/>
      <c r="FQ936" s="333"/>
      <c r="FR936" s="333"/>
      <c r="FS936" s="333"/>
      <c r="FT936" s="333"/>
      <c r="FU936" s="333"/>
      <c r="FV936" s="333"/>
      <c r="FW936" s="333"/>
      <c r="FX936" s="333"/>
      <c r="FY936" s="333"/>
      <c r="FZ936" s="333"/>
      <c r="GA936" s="333"/>
      <c r="GB936" s="333"/>
      <c r="GC936" s="333"/>
      <c r="GD936" s="333"/>
      <c r="GE936" s="333"/>
      <c r="GF936" s="333"/>
      <c r="GG936" s="333"/>
      <c r="GH936" s="333"/>
      <c r="GI936" s="333"/>
      <c r="GJ936" s="333"/>
      <c r="GK936" s="333"/>
      <c r="GL936" s="333"/>
      <c r="GM936" s="333"/>
      <c r="GN936" s="333"/>
      <c r="GO936" s="333"/>
      <c r="GP936" s="333"/>
      <c r="GQ936" s="333"/>
      <c r="GR936" s="333"/>
      <c r="GS936" s="333"/>
      <c r="GT936" s="333"/>
      <c r="GU936" s="333"/>
      <c r="GV936" s="333"/>
      <c r="GW936" s="333"/>
      <c r="GY936" s="54"/>
      <c r="GZ936" s="333"/>
      <c r="HA936" s="333"/>
      <c r="HB936" s="333"/>
      <c r="HC936" s="333"/>
      <c r="HD936" s="333"/>
      <c r="HE936" s="333"/>
      <c r="HF936" s="333"/>
      <c r="HG936" s="333"/>
      <c r="HH936" s="333"/>
      <c r="HI936" s="333"/>
      <c r="HJ936" s="333"/>
      <c r="HK936" s="333"/>
      <c r="HL936" s="333"/>
      <c r="HM936" s="333"/>
      <c r="HN936" s="333"/>
      <c r="HO936" s="333"/>
      <c r="HP936" s="333"/>
      <c r="HQ936" s="333"/>
      <c r="HR936" s="333"/>
      <c r="HS936" s="333"/>
      <c r="HT936" s="333"/>
      <c r="HU936" s="333"/>
      <c r="HV936" s="333"/>
      <c r="HW936" s="333"/>
      <c r="HX936" s="333"/>
      <c r="HY936" s="333"/>
      <c r="HZ936" s="333"/>
      <c r="IA936" s="333"/>
      <c r="IB936" s="333"/>
      <c r="IC936" s="333"/>
      <c r="ID936" s="333"/>
      <c r="IE936" s="333"/>
      <c r="IF936" s="333"/>
      <c r="IH936" s="54"/>
      <c r="II936" s="333"/>
      <c r="IJ936" s="333"/>
      <c r="IK936" s="333"/>
      <c r="IL936" s="333"/>
      <c r="IM936" s="333"/>
      <c r="IN936" s="333"/>
      <c r="IO936" s="333"/>
      <c r="IP936" s="333"/>
      <c r="IQ936" s="333"/>
      <c r="IR936" s="333"/>
      <c r="IS936" s="333"/>
      <c r="IT936" s="333"/>
      <c r="IU936" s="333"/>
      <c r="IV936" s="333"/>
      <c r="IW936" s="333"/>
      <c r="IX936" s="333"/>
      <c r="IY936" s="333"/>
      <c r="IZ936" s="333"/>
      <c r="JA936" s="333"/>
      <c r="JB936" s="333"/>
      <c r="JC936" s="333"/>
      <c r="JD936" s="333"/>
      <c r="JE936" s="333"/>
      <c r="JF936" s="333"/>
      <c r="JG936" s="333"/>
      <c r="JH936" s="333"/>
      <c r="JI936" s="333"/>
      <c r="JJ936" s="333"/>
      <c r="JK936" s="333"/>
      <c r="JL936" s="333"/>
      <c r="JM936" s="333"/>
      <c r="JN936" s="333"/>
      <c r="JO936" s="333"/>
      <c r="JQ936" s="54"/>
      <c r="JR936" s="324"/>
      <c r="JS936" s="324"/>
      <c r="JT936" s="324"/>
      <c r="JU936" s="324"/>
      <c r="JV936" s="324"/>
      <c r="JW936" s="324"/>
      <c r="JX936" s="324"/>
      <c r="JY936" s="324"/>
      <c r="JZ936" s="324"/>
      <c r="KA936" s="324"/>
      <c r="KB936" s="324"/>
      <c r="KC936" s="324"/>
      <c r="KD936" s="324"/>
      <c r="KE936" s="324"/>
      <c r="KF936" s="324"/>
      <c r="KG936" s="324"/>
      <c r="KH936" s="324"/>
      <c r="KI936" s="324"/>
      <c r="KJ936" s="324"/>
      <c r="KK936" s="324"/>
      <c r="KL936" s="324"/>
      <c r="KM936" s="324"/>
      <c r="KN936" s="324"/>
      <c r="KO936" s="324"/>
      <c r="KP936" s="324"/>
      <c r="KQ936" s="324"/>
      <c r="KR936" s="324"/>
      <c r="KS936" s="324"/>
      <c r="KT936" s="324"/>
      <c r="KU936" s="324"/>
      <c r="KV936" s="324"/>
      <c r="KW936" s="324"/>
      <c r="KX936" s="324"/>
    </row>
    <row r="937" spans="1:311" ht="12.75" x14ac:dyDescent="0.2">
      <c r="A937" s="54"/>
      <c r="B937" s="54"/>
      <c r="C937" s="54"/>
      <c r="D937" s="333"/>
      <c r="E937" s="333"/>
      <c r="F937" s="333"/>
      <c r="G937" s="333"/>
      <c r="H937" s="333"/>
      <c r="I937" s="333"/>
      <c r="J937" s="333"/>
      <c r="K937" s="333"/>
      <c r="L937" s="333"/>
      <c r="M937" s="333"/>
      <c r="N937" s="333"/>
      <c r="O937" s="333"/>
      <c r="P937" s="333"/>
      <c r="Q937" s="333"/>
      <c r="R937" s="333"/>
      <c r="S937" s="333"/>
      <c r="T937" s="333"/>
      <c r="U937" s="333"/>
      <c r="V937" s="333"/>
      <c r="W937" s="333"/>
      <c r="X937" s="333"/>
      <c r="Y937" s="333"/>
      <c r="Z937" s="333"/>
      <c r="AA937" s="333"/>
      <c r="AB937" s="333"/>
      <c r="AC937" s="333"/>
      <c r="AD937" s="333"/>
      <c r="AE937" s="333"/>
      <c r="AF937" s="333"/>
      <c r="AG937" s="333"/>
      <c r="AH937" s="333"/>
      <c r="AI937" s="333"/>
      <c r="AJ937" s="333"/>
      <c r="AK937" s="175"/>
      <c r="AL937" s="54"/>
      <c r="AM937" s="324"/>
      <c r="AN937" s="324"/>
      <c r="AO937" s="324"/>
      <c r="AP937" s="324"/>
      <c r="AQ937" s="324"/>
      <c r="AR937" s="324"/>
      <c r="AS937" s="324"/>
      <c r="AT937" s="324"/>
      <c r="AU937" s="324"/>
      <c r="AV937" s="324"/>
      <c r="AW937" s="324"/>
      <c r="AX937" s="324"/>
      <c r="AY937" s="324"/>
      <c r="AZ937" s="324"/>
      <c r="BA937" s="324"/>
      <c r="BB937" s="324"/>
      <c r="BC937" s="324"/>
      <c r="BD937" s="324"/>
      <c r="BE937" s="324"/>
      <c r="BF937" s="324"/>
      <c r="BG937" s="324"/>
      <c r="BH937" s="324"/>
      <c r="BI937" s="324"/>
      <c r="BJ937" s="324"/>
      <c r="BK937" s="324"/>
      <c r="BL937" s="324"/>
      <c r="BM937" s="324"/>
      <c r="BN937" s="324"/>
      <c r="BO937" s="324"/>
      <c r="BP937" s="324"/>
      <c r="BQ937" s="324"/>
      <c r="BR937" s="324"/>
      <c r="BS937" s="324"/>
      <c r="BT937" s="55"/>
      <c r="BU937" s="54"/>
      <c r="BV937" s="173"/>
      <c r="BW937" s="173"/>
      <c r="BX937" s="173"/>
      <c r="BY937" s="173"/>
      <c r="BZ937" s="173"/>
      <c r="CA937" s="173"/>
      <c r="CB937" s="173"/>
      <c r="CC937" s="173"/>
      <c r="CD937" s="173"/>
      <c r="CE937" s="173"/>
      <c r="CF937" s="173"/>
      <c r="CG937" s="173"/>
      <c r="CH937" s="173"/>
      <c r="CI937" s="173"/>
      <c r="CJ937" s="173"/>
      <c r="CK937" s="55"/>
      <c r="CL937" s="54"/>
      <c r="CM937" s="333"/>
      <c r="CN937" s="333"/>
      <c r="CO937" s="333"/>
      <c r="CP937" s="333"/>
      <c r="CQ937" s="333"/>
      <c r="CR937" s="333"/>
      <c r="CS937" s="333"/>
      <c r="CT937" s="333"/>
      <c r="CU937" s="333"/>
      <c r="CV937" s="333"/>
      <c r="CW937" s="333"/>
      <c r="CX937" s="333"/>
      <c r="CY937" s="333"/>
      <c r="CZ937" s="333"/>
      <c r="DA937" s="333"/>
      <c r="DB937" s="333"/>
      <c r="DC937" s="333"/>
      <c r="DD937" s="333"/>
      <c r="DE937" s="333"/>
      <c r="DF937" s="333"/>
      <c r="DG937" s="333"/>
      <c r="DH937" s="333"/>
      <c r="DI937" s="333"/>
      <c r="DJ937" s="333"/>
      <c r="DK937" s="333"/>
      <c r="DL937" s="333"/>
      <c r="DM937" s="333"/>
      <c r="DN937" s="333"/>
      <c r="DO937" s="333"/>
      <c r="DP937" s="333"/>
      <c r="DQ937" s="333"/>
      <c r="DR937" s="333"/>
      <c r="DS937" s="333"/>
      <c r="DT937" s="333"/>
      <c r="DU937" s="333"/>
      <c r="DV937" s="333"/>
      <c r="DW937" s="333"/>
      <c r="DX937" s="333"/>
      <c r="DY937" s="333"/>
      <c r="DZ937" s="333"/>
      <c r="EA937" s="333"/>
      <c r="EB937" s="333"/>
      <c r="EC937" s="333"/>
      <c r="ED937" s="333"/>
      <c r="EE937" s="333"/>
      <c r="EG937" s="54"/>
      <c r="EH937" s="333"/>
      <c r="EI937" s="333"/>
      <c r="EJ937" s="333"/>
      <c r="EK937" s="333"/>
      <c r="EL937" s="333"/>
      <c r="EM937" s="333"/>
      <c r="EN937" s="333"/>
      <c r="EO937" s="333"/>
      <c r="EP937" s="333"/>
      <c r="EQ937" s="333"/>
      <c r="ER937" s="333"/>
      <c r="ES937" s="333"/>
      <c r="ET937" s="333"/>
      <c r="EU937" s="333"/>
      <c r="EV937" s="333"/>
      <c r="EW937" s="333"/>
      <c r="EX937" s="333"/>
      <c r="EY937" s="333"/>
      <c r="EZ937" s="333"/>
      <c r="FA937" s="333"/>
      <c r="FB937" s="333"/>
      <c r="FC937" s="333"/>
      <c r="FD937" s="333"/>
      <c r="FE937" s="333"/>
      <c r="FF937" s="333"/>
      <c r="FG937" s="333"/>
      <c r="FH937" s="333"/>
      <c r="FI937" s="333"/>
      <c r="FJ937" s="333"/>
      <c r="FK937" s="333"/>
      <c r="FL937" s="333"/>
      <c r="FM937" s="333"/>
      <c r="FN937" s="333"/>
      <c r="FP937" s="54"/>
      <c r="FQ937" s="333"/>
      <c r="FR937" s="333"/>
      <c r="FS937" s="333"/>
      <c r="FT937" s="333"/>
      <c r="FU937" s="333"/>
      <c r="FV937" s="333"/>
      <c r="FW937" s="333"/>
      <c r="FX937" s="333"/>
      <c r="FY937" s="333"/>
      <c r="FZ937" s="333"/>
      <c r="GA937" s="333"/>
      <c r="GB937" s="333"/>
      <c r="GC937" s="333"/>
      <c r="GD937" s="333"/>
      <c r="GE937" s="333"/>
      <c r="GF937" s="333"/>
      <c r="GG937" s="333"/>
      <c r="GH937" s="333"/>
      <c r="GI937" s="333"/>
      <c r="GJ937" s="333"/>
      <c r="GK937" s="333"/>
      <c r="GL937" s="333"/>
      <c r="GM937" s="333"/>
      <c r="GN937" s="333"/>
      <c r="GO937" s="333"/>
      <c r="GP937" s="333"/>
      <c r="GQ937" s="333"/>
      <c r="GR937" s="333"/>
      <c r="GS937" s="333"/>
      <c r="GT937" s="333"/>
      <c r="GU937" s="333"/>
      <c r="GV937" s="333"/>
      <c r="GW937" s="333"/>
      <c r="GY937" s="54"/>
      <c r="GZ937" s="333"/>
      <c r="HA937" s="333"/>
      <c r="HB937" s="333"/>
      <c r="HC937" s="333"/>
      <c r="HD937" s="333"/>
      <c r="HE937" s="333"/>
      <c r="HF937" s="333"/>
      <c r="HG937" s="333"/>
      <c r="HH937" s="333"/>
      <c r="HI937" s="333"/>
      <c r="HJ937" s="333"/>
      <c r="HK937" s="333"/>
      <c r="HL937" s="333"/>
      <c r="HM937" s="333"/>
      <c r="HN937" s="333"/>
      <c r="HO937" s="333"/>
      <c r="HP937" s="333"/>
      <c r="HQ937" s="333"/>
      <c r="HR937" s="333"/>
      <c r="HS937" s="333"/>
      <c r="HT937" s="333"/>
      <c r="HU937" s="333"/>
      <c r="HV937" s="333"/>
      <c r="HW937" s="333"/>
      <c r="HX937" s="333"/>
      <c r="HY937" s="333"/>
      <c r="HZ937" s="333"/>
      <c r="IA937" s="333"/>
      <c r="IB937" s="333"/>
      <c r="IC937" s="333"/>
      <c r="ID937" s="333"/>
      <c r="IE937" s="333"/>
      <c r="IF937" s="333"/>
      <c r="IH937" s="54"/>
      <c r="II937" s="333"/>
      <c r="IJ937" s="333"/>
      <c r="IK937" s="333"/>
      <c r="IL937" s="333"/>
      <c r="IM937" s="333"/>
      <c r="IN937" s="333"/>
      <c r="IO937" s="333"/>
      <c r="IP937" s="333"/>
      <c r="IQ937" s="333"/>
      <c r="IR937" s="333"/>
      <c r="IS937" s="333"/>
      <c r="IT937" s="333"/>
      <c r="IU937" s="333"/>
      <c r="IV937" s="333"/>
      <c r="IW937" s="333"/>
      <c r="IX937" s="333"/>
      <c r="IY937" s="333"/>
      <c r="IZ937" s="333"/>
      <c r="JA937" s="333"/>
      <c r="JB937" s="333"/>
      <c r="JC937" s="333"/>
      <c r="JD937" s="333"/>
      <c r="JE937" s="333"/>
      <c r="JF937" s="333"/>
      <c r="JG937" s="333"/>
      <c r="JH937" s="333"/>
      <c r="JI937" s="333"/>
      <c r="JJ937" s="333"/>
      <c r="JK937" s="333"/>
      <c r="JL937" s="333"/>
      <c r="JM937" s="333"/>
      <c r="JN937" s="333"/>
      <c r="JO937" s="333"/>
      <c r="JQ937" s="54"/>
      <c r="JR937" s="324"/>
      <c r="JS937" s="324"/>
      <c r="JT937" s="324"/>
      <c r="JU937" s="324"/>
      <c r="JV937" s="324"/>
      <c r="JW937" s="324"/>
      <c r="JX937" s="324"/>
      <c r="JY937" s="324"/>
      <c r="JZ937" s="324"/>
      <c r="KA937" s="324"/>
      <c r="KB937" s="324"/>
      <c r="KC937" s="324"/>
      <c r="KD937" s="324"/>
      <c r="KE937" s="324"/>
      <c r="KF937" s="324"/>
      <c r="KG937" s="324"/>
      <c r="KH937" s="324"/>
      <c r="KI937" s="324"/>
      <c r="KJ937" s="324"/>
      <c r="KK937" s="324"/>
      <c r="KL937" s="324"/>
      <c r="KM937" s="324"/>
      <c r="KN937" s="324"/>
      <c r="KO937" s="324"/>
      <c r="KP937" s="324"/>
      <c r="KQ937" s="324"/>
      <c r="KR937" s="324"/>
      <c r="KS937" s="324"/>
      <c r="KT937" s="324"/>
      <c r="KU937" s="324"/>
      <c r="KV937" s="324"/>
      <c r="KW937" s="324"/>
      <c r="KX937" s="324"/>
    </row>
    <row r="938" spans="1:311" ht="12.75" x14ac:dyDescent="0.2">
      <c r="A938" s="54"/>
      <c r="B938" s="54"/>
      <c r="C938" s="54"/>
      <c r="D938" s="81"/>
      <c r="E938" s="81"/>
      <c r="F938" s="81"/>
      <c r="G938" s="81"/>
      <c r="H938" s="81"/>
      <c r="I938" s="81"/>
      <c r="J938" s="81"/>
      <c r="K938" s="81"/>
      <c r="L938" s="81"/>
      <c r="M938" s="81"/>
      <c r="N938" s="81"/>
      <c r="O938" s="81"/>
      <c r="P938" s="81"/>
      <c r="Q938" s="81"/>
      <c r="R938" s="81"/>
      <c r="S938" s="81"/>
      <c r="T938" s="81"/>
      <c r="U938" s="81"/>
      <c r="V938" s="81"/>
      <c r="W938" s="81"/>
      <c r="X938" s="81"/>
      <c r="Y938" s="81"/>
      <c r="Z938" s="81"/>
      <c r="AA938" s="81"/>
      <c r="AB938" s="81"/>
      <c r="AC938" s="81"/>
      <c r="AD938" s="81"/>
      <c r="AE938" s="81"/>
      <c r="AF938" s="81"/>
      <c r="AG938" s="81"/>
      <c r="AH938" s="81"/>
      <c r="AI938" s="81"/>
      <c r="AJ938" s="91"/>
      <c r="AK938" s="182"/>
      <c r="AL938" s="54"/>
      <c r="AM938" s="54"/>
      <c r="AY938" s="55"/>
      <c r="AZ938" s="55"/>
      <c r="BA938" s="55"/>
      <c r="BB938" s="55"/>
      <c r="BC938" s="55"/>
      <c r="BD938" s="55"/>
      <c r="BE938" s="55"/>
      <c r="BF938" s="55"/>
      <c r="BG938" s="55"/>
      <c r="BH938" s="55"/>
      <c r="BI938" s="55"/>
      <c r="BJ938" s="55"/>
      <c r="BK938" s="55"/>
      <c r="BL938" s="55"/>
      <c r="BM938" s="55"/>
      <c r="BN938" s="55"/>
      <c r="BO938" s="55"/>
      <c r="BP938" s="55"/>
      <c r="BQ938" s="55"/>
      <c r="BR938" s="55"/>
      <c r="BS938" s="55"/>
      <c r="BT938" s="55"/>
      <c r="BU938" s="54"/>
      <c r="BV938" s="54"/>
      <c r="BW938" s="55"/>
      <c r="BX938" s="55"/>
      <c r="BY938" s="55"/>
      <c r="BZ938" s="55"/>
      <c r="CA938" s="173"/>
      <c r="CB938" s="173"/>
      <c r="CC938" s="173"/>
      <c r="CD938" s="173"/>
      <c r="CE938" s="173"/>
      <c r="CF938" s="173"/>
      <c r="CI938" s="55"/>
      <c r="CJ938" s="55"/>
      <c r="CK938" s="55"/>
      <c r="CL938" s="54"/>
      <c r="CM938" s="54"/>
      <c r="CN938" s="55"/>
      <c r="CO938" s="55"/>
      <c r="CP938" s="55"/>
      <c r="CQ938" s="55"/>
      <c r="DJ938" s="55"/>
      <c r="DK938" s="55"/>
      <c r="DL938" s="55"/>
      <c r="DM938" s="55"/>
      <c r="DN938" s="55"/>
      <c r="DO938" s="55"/>
      <c r="DP938" s="55"/>
      <c r="DQ938" s="55"/>
      <c r="DR938" s="55"/>
      <c r="DS938" s="55"/>
      <c r="DT938" s="55"/>
      <c r="DU938" s="55"/>
      <c r="DV938" s="55"/>
      <c r="FP938" s="54"/>
      <c r="FQ938" s="175"/>
      <c r="FR938" s="175"/>
      <c r="FS938" s="175"/>
      <c r="FT938" s="175"/>
      <c r="FU938" s="175"/>
      <c r="FV938" s="175"/>
      <c r="FW938" s="175"/>
      <c r="FX938" s="175"/>
      <c r="FY938" s="175"/>
      <c r="FZ938" s="175"/>
      <c r="GA938" s="175"/>
      <c r="GB938" s="175"/>
      <c r="GC938" s="175"/>
      <c r="GD938" s="175"/>
      <c r="GE938" s="175"/>
      <c r="GF938" s="175"/>
      <c r="GG938" s="175"/>
      <c r="GH938" s="175"/>
      <c r="GI938" s="175"/>
      <c r="GJ938" s="175"/>
      <c r="GK938" s="175"/>
      <c r="GL938" s="175"/>
      <c r="GM938" s="175"/>
      <c r="GN938" s="175"/>
      <c r="GO938" s="175"/>
      <c r="GP938" s="175"/>
      <c r="GQ938" s="175"/>
      <c r="GR938" s="175"/>
      <c r="GS938" s="175"/>
      <c r="GT938" s="175"/>
      <c r="GU938" s="175"/>
      <c r="GV938" s="175"/>
      <c r="GW938" s="175"/>
      <c r="GY938" s="54"/>
      <c r="GZ938" s="175"/>
      <c r="HA938" s="175"/>
      <c r="HB938" s="175"/>
      <c r="HC938" s="175"/>
      <c r="HD938" s="175"/>
      <c r="HE938" s="175"/>
      <c r="HF938" s="175"/>
      <c r="HG938" s="175"/>
      <c r="HH938" s="175"/>
      <c r="HI938" s="175"/>
      <c r="HJ938" s="175"/>
      <c r="HK938" s="175"/>
      <c r="HL938" s="175"/>
      <c r="HM938" s="175"/>
      <c r="HN938" s="175"/>
      <c r="HO938" s="175"/>
      <c r="HP938" s="175"/>
      <c r="HQ938" s="175"/>
      <c r="HR938" s="175"/>
      <c r="HS938" s="175"/>
      <c r="HT938" s="175"/>
      <c r="HU938" s="175"/>
      <c r="HV938" s="175"/>
      <c r="HW938" s="175"/>
      <c r="HX938" s="175"/>
      <c r="HY938" s="175"/>
      <c r="HZ938" s="175"/>
      <c r="IA938" s="175"/>
      <c r="IB938" s="175"/>
      <c r="IC938" s="175"/>
      <c r="ID938" s="175"/>
      <c r="IE938" s="175"/>
      <c r="IF938" s="175"/>
      <c r="IH938" s="54"/>
      <c r="II938" s="175"/>
      <c r="IJ938" s="175"/>
      <c r="IK938" s="175"/>
      <c r="IL938" s="175"/>
      <c r="IM938" s="175"/>
      <c r="IN938" s="175"/>
      <c r="IO938" s="175"/>
      <c r="IP938" s="175"/>
      <c r="IQ938" s="175"/>
      <c r="IR938" s="175"/>
      <c r="IS938" s="175"/>
      <c r="IT938" s="175"/>
      <c r="IU938" s="175"/>
      <c r="IV938" s="175"/>
      <c r="IW938" s="175"/>
      <c r="IX938" s="175"/>
      <c r="IY938" s="175"/>
      <c r="IZ938" s="175"/>
      <c r="JA938" s="175"/>
      <c r="JB938" s="175"/>
      <c r="JC938" s="175"/>
      <c r="JD938" s="175"/>
      <c r="JE938" s="175"/>
      <c r="JF938" s="175"/>
      <c r="JG938" s="175"/>
      <c r="JH938" s="175"/>
      <c r="JI938" s="175"/>
      <c r="JJ938" s="175"/>
      <c r="JK938" s="175"/>
      <c r="JL938" s="175"/>
      <c r="JM938" s="175"/>
      <c r="JN938" s="175"/>
      <c r="JO938" s="175"/>
      <c r="JQ938" s="54"/>
      <c r="JR938" s="175"/>
      <c r="JS938" s="175"/>
      <c r="JT938" s="175"/>
      <c r="JU938" s="175"/>
      <c r="JV938" s="175"/>
      <c r="JW938" s="175"/>
      <c r="JX938" s="175"/>
      <c r="JY938" s="175"/>
      <c r="JZ938" s="175"/>
      <c r="KA938" s="175"/>
      <c r="KB938" s="175"/>
      <c r="KC938" s="175"/>
      <c r="KD938" s="175"/>
      <c r="KE938" s="175"/>
      <c r="KF938" s="175"/>
      <c r="KG938" s="175"/>
      <c r="KH938" s="175"/>
      <c r="KI938" s="175"/>
      <c r="KJ938" s="175"/>
      <c r="KK938" s="175"/>
      <c r="KL938" s="175"/>
      <c r="KM938" s="175"/>
      <c r="KN938" s="175"/>
      <c r="KO938" s="175"/>
      <c r="KP938" s="175"/>
      <c r="KQ938" s="175"/>
      <c r="KR938" s="175"/>
      <c r="KS938" s="175"/>
      <c r="KT938" s="175"/>
      <c r="KU938" s="175"/>
      <c r="KV938" s="175"/>
      <c r="KW938" s="175"/>
      <c r="KX938" s="175"/>
    </row>
    <row r="939" spans="1:311" ht="12.75" customHeight="1" x14ac:dyDescent="0.2">
      <c r="A939" s="54"/>
      <c r="B939" s="54"/>
      <c r="C939" s="54"/>
      <c r="D939" s="315" t="str">
        <f>IF( $O$61="Embebido",$BV$939,
          IF( OR($O$64 ="Hilti HIT-RE 500-SD",$O$64 ="Hilti HIT-HY 200-R",$O$64 ="Hilti HIT-MM Plus",$O$64 ="Inyectable"),$II$939,
                    IF( OR($O$64 ="Hilti HDA",$O$64 ="Sobre-excavado"),$GZ$939,
                            IF( OR($O$64 ="Hilti HSL-3",$O$64 ="Expansivo de camisa"),$FQ$939,
                                         IF( OR($O$64 ="Hilti KH-EZ",$O$64 ="Hilti KH",$O$64 ="Hilti KH-EZ-I",$O$64 ="Hilti KH-I",$O$64 ="Atornillado"),$EH$939,
                                                      IF( OR( $O$64 ="Hilti HKB3",$O$64 ="Expansivo de cuña"),$CM$939,
                                                                    IF( OR($O$64 ="Hilti HVA",$O$64 ="Capsula"),$JR$939,
                                                                                  $AM$939                                                                        )
                                                          )
                                              )
                                 )
                        )
             )
   )</f>
        <v>3.      Las varillas corrugadas de refuerzo deben ser A706 Grado 60.</v>
      </c>
      <c r="E939" s="315"/>
      <c r="F939" s="315"/>
      <c r="G939" s="315"/>
      <c r="H939" s="315"/>
      <c r="I939" s="315"/>
      <c r="J939" s="315"/>
      <c r="K939" s="315"/>
      <c r="L939" s="315"/>
      <c r="M939" s="315"/>
      <c r="N939" s="315"/>
      <c r="O939" s="315"/>
      <c r="P939" s="315"/>
      <c r="Q939" s="315"/>
      <c r="R939" s="315"/>
      <c r="S939" s="315"/>
      <c r="T939" s="315"/>
      <c r="U939" s="315"/>
      <c r="V939" s="315"/>
      <c r="W939" s="315"/>
      <c r="X939" s="315"/>
      <c r="Y939" s="315"/>
      <c r="Z939" s="315"/>
      <c r="AA939" s="315"/>
      <c r="AB939" s="315"/>
      <c r="AC939" s="315"/>
      <c r="AD939" s="315"/>
      <c r="AE939" s="315"/>
      <c r="AF939" s="315"/>
      <c r="AG939" s="315"/>
      <c r="AH939" s="315"/>
      <c r="AI939" s="315"/>
      <c r="AJ939" s="315"/>
      <c r="AK939" s="177"/>
      <c r="AL939" s="54"/>
      <c r="AM939" s="315" t="s">
        <v>608</v>
      </c>
      <c r="AN939" s="315"/>
      <c r="AO939" s="315"/>
      <c r="AP939" s="315"/>
      <c r="AQ939" s="315"/>
      <c r="AR939" s="315"/>
      <c r="AS939" s="315"/>
      <c r="AT939" s="315"/>
      <c r="AU939" s="315"/>
      <c r="AV939" s="315"/>
      <c r="AW939" s="315"/>
      <c r="AX939" s="315"/>
      <c r="AY939" s="315"/>
      <c r="AZ939" s="315"/>
      <c r="BA939" s="315"/>
      <c r="BB939" s="315"/>
      <c r="BC939" s="315"/>
      <c r="BD939" s="315"/>
      <c r="BE939" s="315"/>
      <c r="BF939" s="315"/>
      <c r="BG939" s="315"/>
      <c r="BH939" s="315"/>
      <c r="BI939" s="315"/>
      <c r="BJ939" s="315"/>
      <c r="BK939" s="315"/>
      <c r="BL939" s="315"/>
      <c r="BM939" s="315"/>
      <c r="BN939" s="315"/>
      <c r="BO939" s="315"/>
      <c r="BP939" s="315"/>
      <c r="BQ939" s="315"/>
      <c r="BR939" s="315"/>
      <c r="BS939" s="315"/>
      <c r="BT939" s="55"/>
      <c r="BU939" s="54"/>
      <c r="BV939" s="177" t="s">
        <v>608</v>
      </c>
      <c r="BW939" s="177"/>
      <c r="BX939" s="177"/>
      <c r="BY939" s="177"/>
      <c r="BZ939" s="177"/>
      <c r="CG939" s="177"/>
      <c r="CH939" s="177"/>
      <c r="CI939" s="177"/>
      <c r="CJ939" s="177"/>
      <c r="CK939" s="55"/>
      <c r="CL939" s="54"/>
      <c r="CM939" s="315" t="s">
        <v>608</v>
      </c>
      <c r="CN939" s="315"/>
      <c r="CO939" s="315"/>
      <c r="CP939" s="315"/>
      <c r="CQ939" s="315"/>
      <c r="CR939" s="315"/>
      <c r="CS939" s="315"/>
      <c r="CT939" s="315"/>
      <c r="CU939" s="315"/>
      <c r="CV939" s="315"/>
      <c r="CW939" s="315"/>
      <c r="CX939" s="315"/>
      <c r="CY939" s="315"/>
      <c r="CZ939" s="315"/>
      <c r="DA939" s="315"/>
      <c r="DB939" s="315"/>
      <c r="DC939" s="315"/>
      <c r="DD939" s="315"/>
      <c r="DE939" s="315"/>
      <c r="DF939" s="315"/>
      <c r="DG939" s="315"/>
      <c r="DH939" s="315"/>
      <c r="DI939" s="315"/>
      <c r="DJ939" s="315"/>
      <c r="DK939" s="315"/>
      <c r="DL939" s="315"/>
      <c r="DM939" s="315"/>
      <c r="DN939" s="315"/>
      <c r="DO939" s="315"/>
      <c r="DP939" s="315"/>
      <c r="DQ939" s="315"/>
      <c r="DR939" s="315"/>
      <c r="DS939" s="315"/>
      <c r="DT939" s="315"/>
      <c r="DU939" s="315"/>
      <c r="DV939" s="315"/>
      <c r="DW939" s="315"/>
      <c r="DX939" s="315"/>
      <c r="DY939" s="315"/>
      <c r="DZ939" s="315"/>
      <c r="EA939" s="315"/>
      <c r="EB939" s="315"/>
      <c r="EC939" s="315"/>
      <c r="ED939" s="315"/>
      <c r="EE939" s="315"/>
      <c r="EH939" s="315" t="s">
        <v>608</v>
      </c>
      <c r="EI939" s="315"/>
      <c r="EJ939" s="315"/>
      <c r="EK939" s="315"/>
      <c r="EL939" s="315"/>
      <c r="EM939" s="315"/>
      <c r="EN939" s="315"/>
      <c r="EO939" s="315"/>
      <c r="EP939" s="315"/>
      <c r="EQ939" s="315"/>
      <c r="ER939" s="315"/>
      <c r="ES939" s="315"/>
      <c r="ET939" s="315"/>
      <c r="EU939" s="315"/>
      <c r="EV939" s="315"/>
      <c r="EW939" s="315"/>
      <c r="EX939" s="315"/>
      <c r="EY939" s="315"/>
      <c r="EZ939" s="315"/>
      <c r="FA939" s="315"/>
      <c r="FB939" s="315"/>
      <c r="FC939" s="315"/>
      <c r="FD939" s="315"/>
      <c r="FE939" s="315"/>
      <c r="FF939" s="315"/>
      <c r="FG939" s="315"/>
      <c r="FH939" s="315"/>
      <c r="FI939" s="315"/>
      <c r="FJ939" s="315"/>
      <c r="FK939" s="315"/>
      <c r="FL939" s="315"/>
      <c r="FM939" s="315"/>
      <c r="FN939" s="315"/>
      <c r="FP939" s="54"/>
      <c r="FQ939" s="315" t="s">
        <v>608</v>
      </c>
      <c r="FR939" s="315"/>
      <c r="FS939" s="315"/>
      <c r="FT939" s="315"/>
      <c r="FU939" s="315"/>
      <c r="FV939" s="315"/>
      <c r="FW939" s="315"/>
      <c r="FX939" s="315"/>
      <c r="FY939" s="315"/>
      <c r="FZ939" s="315"/>
      <c r="GA939" s="315"/>
      <c r="GB939" s="315"/>
      <c r="GC939" s="315"/>
      <c r="GD939" s="315"/>
      <c r="GE939" s="315"/>
      <c r="GF939" s="315"/>
      <c r="GG939" s="315"/>
      <c r="GH939" s="315"/>
      <c r="GI939" s="315"/>
      <c r="GJ939" s="315"/>
      <c r="GK939" s="315"/>
      <c r="GL939" s="315"/>
      <c r="GM939" s="315"/>
      <c r="GN939" s="315"/>
      <c r="GO939" s="315"/>
      <c r="GP939" s="315"/>
      <c r="GQ939" s="315"/>
      <c r="GR939" s="315"/>
      <c r="GS939" s="315"/>
      <c r="GT939" s="315"/>
      <c r="GU939" s="315"/>
      <c r="GV939" s="315"/>
      <c r="GW939" s="315"/>
      <c r="GY939" s="54"/>
      <c r="GZ939" s="315" t="s">
        <v>608</v>
      </c>
      <c r="HA939" s="315"/>
      <c r="HB939" s="315"/>
      <c r="HC939" s="315"/>
      <c r="HD939" s="315"/>
      <c r="HE939" s="315"/>
      <c r="HF939" s="315"/>
      <c r="HG939" s="315"/>
      <c r="HH939" s="315"/>
      <c r="HI939" s="315"/>
      <c r="HJ939" s="315"/>
      <c r="HK939" s="315"/>
      <c r="HL939" s="315"/>
      <c r="HM939" s="315"/>
      <c r="HN939" s="315"/>
      <c r="HO939" s="315"/>
      <c r="HP939" s="315"/>
      <c r="HQ939" s="315"/>
      <c r="HR939" s="315"/>
      <c r="HS939" s="315"/>
      <c r="HT939" s="315"/>
      <c r="HU939" s="315"/>
      <c r="HV939" s="315"/>
      <c r="HW939" s="315"/>
      <c r="HX939" s="315"/>
      <c r="HY939" s="315"/>
      <c r="HZ939" s="315"/>
      <c r="IA939" s="315"/>
      <c r="IB939" s="315"/>
      <c r="IC939" s="315"/>
      <c r="ID939" s="315"/>
      <c r="IE939" s="315"/>
      <c r="IF939" s="315"/>
      <c r="IH939" s="54"/>
      <c r="II939" s="315" t="s">
        <v>608</v>
      </c>
      <c r="IJ939" s="315"/>
      <c r="IK939" s="315"/>
      <c r="IL939" s="315"/>
      <c r="IM939" s="315"/>
      <c r="IN939" s="315"/>
      <c r="IO939" s="315"/>
      <c r="IP939" s="315"/>
      <c r="IQ939" s="315"/>
      <c r="IR939" s="315"/>
      <c r="IS939" s="315"/>
      <c r="IT939" s="315"/>
      <c r="IU939" s="315"/>
      <c r="IV939" s="315"/>
      <c r="IW939" s="315"/>
      <c r="IX939" s="315"/>
      <c r="IY939" s="315"/>
      <c r="IZ939" s="315"/>
      <c r="JA939" s="315"/>
      <c r="JB939" s="315"/>
      <c r="JC939" s="315"/>
      <c r="JD939" s="315"/>
      <c r="JE939" s="315"/>
      <c r="JF939" s="315"/>
      <c r="JG939" s="315"/>
      <c r="JH939" s="315"/>
      <c r="JI939" s="315"/>
      <c r="JJ939" s="315"/>
      <c r="JK939" s="315"/>
      <c r="JL939" s="315"/>
      <c r="JM939" s="315"/>
      <c r="JN939" s="315"/>
      <c r="JO939" s="315"/>
      <c r="JQ939" s="54"/>
      <c r="JR939" s="315" t="s">
        <v>610</v>
      </c>
      <c r="JS939" s="315"/>
      <c r="JT939" s="315"/>
      <c r="JU939" s="315"/>
      <c r="JV939" s="315"/>
      <c r="JW939" s="315"/>
      <c r="JX939" s="315"/>
      <c r="JY939" s="315"/>
      <c r="JZ939" s="315"/>
      <c r="KA939" s="315"/>
      <c r="KB939" s="315"/>
      <c r="KC939" s="315"/>
      <c r="KD939" s="315"/>
      <c r="KE939" s="315"/>
      <c r="KF939" s="315"/>
      <c r="KG939" s="315"/>
      <c r="KH939" s="315"/>
      <c r="KI939" s="315"/>
      <c r="KJ939" s="315"/>
      <c r="KK939" s="315"/>
      <c r="KL939" s="315"/>
      <c r="KM939" s="315"/>
      <c r="KN939" s="315"/>
      <c r="KO939" s="315"/>
      <c r="KP939" s="315"/>
      <c r="KQ939" s="315"/>
      <c r="KR939" s="315"/>
      <c r="KS939" s="315"/>
      <c r="KT939" s="315"/>
      <c r="KU939" s="315"/>
      <c r="KV939" s="315"/>
      <c r="KW939" s="315"/>
      <c r="KX939" s="315"/>
      <c r="KY939" s="315"/>
    </row>
    <row r="940" spans="1:311" ht="12.75" x14ac:dyDescent="0.2">
      <c r="A940" s="54"/>
      <c r="B940" s="54"/>
      <c r="C940" s="54"/>
      <c r="D940" s="315"/>
      <c r="E940" s="315"/>
      <c r="F940" s="315"/>
      <c r="G940" s="315"/>
      <c r="H940" s="315"/>
      <c r="I940" s="315"/>
      <c r="J940" s="315"/>
      <c r="K940" s="315"/>
      <c r="L940" s="315"/>
      <c r="M940" s="315"/>
      <c r="N940" s="315"/>
      <c r="O940" s="315"/>
      <c r="P940" s="315"/>
      <c r="Q940" s="315"/>
      <c r="R940" s="315"/>
      <c r="S940" s="315"/>
      <c r="T940" s="315"/>
      <c r="U940" s="315"/>
      <c r="V940" s="315"/>
      <c r="W940" s="315"/>
      <c r="X940" s="315"/>
      <c r="Y940" s="315"/>
      <c r="Z940" s="315"/>
      <c r="AA940" s="315"/>
      <c r="AB940" s="315"/>
      <c r="AC940" s="315"/>
      <c r="AD940" s="315"/>
      <c r="AE940" s="315"/>
      <c r="AF940" s="315"/>
      <c r="AG940" s="315"/>
      <c r="AH940" s="315"/>
      <c r="AI940" s="315"/>
      <c r="AJ940" s="315"/>
      <c r="AK940" s="177"/>
      <c r="AM940" s="315"/>
      <c r="AN940" s="315"/>
      <c r="AO940" s="315"/>
      <c r="AP940" s="315"/>
      <c r="AQ940" s="315"/>
      <c r="AR940" s="315"/>
      <c r="AS940" s="315"/>
      <c r="AT940" s="315"/>
      <c r="AU940" s="315"/>
      <c r="AV940" s="315"/>
      <c r="AW940" s="315"/>
      <c r="AX940" s="315"/>
      <c r="AY940" s="315"/>
      <c r="AZ940" s="315"/>
      <c r="BA940" s="315"/>
      <c r="BB940" s="315"/>
      <c r="BC940" s="315"/>
      <c r="BD940" s="315"/>
      <c r="BE940" s="315"/>
      <c r="BF940" s="315"/>
      <c r="BG940" s="315"/>
      <c r="BH940" s="315"/>
      <c r="BI940" s="315"/>
      <c r="BJ940" s="315"/>
      <c r="BK940" s="315"/>
      <c r="BL940" s="315"/>
      <c r="BM940" s="315"/>
      <c r="BN940" s="315"/>
      <c r="BO940" s="315"/>
      <c r="BP940" s="315"/>
      <c r="BQ940" s="315"/>
      <c r="BR940" s="315"/>
      <c r="BS940" s="315"/>
      <c r="BT940" s="55"/>
      <c r="BU940" s="55"/>
      <c r="BV940" s="177"/>
      <c r="BW940" s="177"/>
      <c r="BX940" s="177"/>
      <c r="BY940" s="177"/>
      <c r="BZ940" s="177"/>
      <c r="CA940" s="177"/>
      <c r="CB940" s="177"/>
      <c r="CC940" s="177"/>
      <c r="CD940" s="177"/>
      <c r="CE940" s="177"/>
      <c r="CF940" s="177"/>
      <c r="CG940" s="177"/>
      <c r="CH940" s="177"/>
      <c r="CI940" s="177"/>
      <c r="CJ940" s="177"/>
      <c r="CK940" s="55"/>
      <c r="CL940" s="55"/>
      <c r="CM940" s="315"/>
      <c r="CN940" s="315"/>
      <c r="CO940" s="315"/>
      <c r="CP940" s="315"/>
      <c r="CQ940" s="315"/>
      <c r="CR940" s="315"/>
      <c r="CS940" s="315"/>
      <c r="CT940" s="315"/>
      <c r="CU940" s="315"/>
      <c r="CV940" s="315"/>
      <c r="CW940" s="315"/>
      <c r="CX940" s="315"/>
      <c r="CY940" s="315"/>
      <c r="CZ940" s="315"/>
      <c r="DA940" s="315"/>
      <c r="DB940" s="315"/>
      <c r="DC940" s="315"/>
      <c r="DD940" s="315"/>
      <c r="DE940" s="315"/>
      <c r="DF940" s="315"/>
      <c r="DG940" s="315"/>
      <c r="DH940" s="315"/>
      <c r="DI940" s="315"/>
      <c r="DJ940" s="315"/>
      <c r="DK940" s="315"/>
      <c r="DL940" s="315"/>
      <c r="DM940" s="315"/>
      <c r="DN940" s="315"/>
      <c r="DO940" s="315"/>
      <c r="DP940" s="315"/>
      <c r="DQ940" s="315"/>
      <c r="DR940" s="315"/>
      <c r="DS940" s="315"/>
      <c r="DT940" s="315"/>
      <c r="DU940" s="315"/>
      <c r="DV940" s="315"/>
      <c r="DW940" s="315"/>
      <c r="DX940" s="315"/>
      <c r="DY940" s="315"/>
      <c r="DZ940" s="315"/>
      <c r="EA940" s="315"/>
      <c r="EB940" s="315"/>
      <c r="EC940" s="315"/>
      <c r="ED940" s="315"/>
      <c r="EE940" s="315"/>
      <c r="EH940" s="315"/>
      <c r="EI940" s="315"/>
      <c r="EJ940" s="315"/>
      <c r="EK940" s="315"/>
      <c r="EL940" s="315"/>
      <c r="EM940" s="315"/>
      <c r="EN940" s="315"/>
      <c r="EO940" s="315"/>
      <c r="EP940" s="315"/>
      <c r="EQ940" s="315"/>
      <c r="ER940" s="315"/>
      <c r="ES940" s="315"/>
      <c r="ET940" s="315"/>
      <c r="EU940" s="315"/>
      <c r="EV940" s="315"/>
      <c r="EW940" s="315"/>
      <c r="EX940" s="315"/>
      <c r="EY940" s="315"/>
      <c r="EZ940" s="315"/>
      <c r="FA940" s="315"/>
      <c r="FB940" s="315"/>
      <c r="FC940" s="315"/>
      <c r="FD940" s="315"/>
      <c r="FE940" s="315"/>
      <c r="FF940" s="315"/>
      <c r="FG940" s="315"/>
      <c r="FH940" s="315"/>
      <c r="FI940" s="315"/>
      <c r="FJ940" s="315"/>
      <c r="FK940" s="315"/>
      <c r="FL940" s="315"/>
      <c r="FM940" s="315"/>
      <c r="FN940" s="315"/>
      <c r="FP940" s="54"/>
      <c r="FQ940" s="315"/>
      <c r="FR940" s="315"/>
      <c r="FS940" s="315"/>
      <c r="FT940" s="315"/>
      <c r="FU940" s="315"/>
      <c r="FV940" s="315"/>
      <c r="FW940" s="315"/>
      <c r="FX940" s="315"/>
      <c r="FY940" s="315"/>
      <c r="FZ940" s="315"/>
      <c r="GA940" s="315"/>
      <c r="GB940" s="315"/>
      <c r="GC940" s="315"/>
      <c r="GD940" s="315"/>
      <c r="GE940" s="315"/>
      <c r="GF940" s="315"/>
      <c r="GG940" s="315"/>
      <c r="GH940" s="315"/>
      <c r="GI940" s="315"/>
      <c r="GJ940" s="315"/>
      <c r="GK940" s="315"/>
      <c r="GL940" s="315"/>
      <c r="GM940" s="315"/>
      <c r="GN940" s="315"/>
      <c r="GO940" s="315"/>
      <c r="GP940" s="315"/>
      <c r="GQ940" s="315"/>
      <c r="GR940" s="315"/>
      <c r="GS940" s="315"/>
      <c r="GT940" s="315"/>
      <c r="GU940" s="315"/>
      <c r="GV940" s="315"/>
      <c r="GW940" s="315"/>
      <c r="GY940" s="54"/>
      <c r="GZ940" s="315"/>
      <c r="HA940" s="315"/>
      <c r="HB940" s="315"/>
      <c r="HC940" s="315"/>
      <c r="HD940" s="315"/>
      <c r="HE940" s="315"/>
      <c r="HF940" s="315"/>
      <c r="HG940" s="315"/>
      <c r="HH940" s="315"/>
      <c r="HI940" s="315"/>
      <c r="HJ940" s="315"/>
      <c r="HK940" s="315"/>
      <c r="HL940" s="315"/>
      <c r="HM940" s="315"/>
      <c r="HN940" s="315"/>
      <c r="HO940" s="315"/>
      <c r="HP940" s="315"/>
      <c r="HQ940" s="315"/>
      <c r="HR940" s="315"/>
      <c r="HS940" s="315"/>
      <c r="HT940" s="315"/>
      <c r="HU940" s="315"/>
      <c r="HV940" s="315"/>
      <c r="HW940" s="315"/>
      <c r="HX940" s="315"/>
      <c r="HY940" s="315"/>
      <c r="HZ940" s="315"/>
      <c r="IA940" s="315"/>
      <c r="IB940" s="315"/>
      <c r="IC940" s="315"/>
      <c r="ID940" s="315"/>
      <c r="IE940" s="315"/>
      <c r="IF940" s="315"/>
      <c r="IH940" s="54"/>
      <c r="II940" s="315"/>
      <c r="IJ940" s="315"/>
      <c r="IK940" s="315"/>
      <c r="IL940" s="315"/>
      <c r="IM940" s="315"/>
      <c r="IN940" s="315"/>
      <c r="IO940" s="315"/>
      <c r="IP940" s="315"/>
      <c r="IQ940" s="315"/>
      <c r="IR940" s="315"/>
      <c r="IS940" s="315"/>
      <c r="IT940" s="315"/>
      <c r="IU940" s="315"/>
      <c r="IV940" s="315"/>
      <c r="IW940" s="315"/>
      <c r="IX940" s="315"/>
      <c r="IY940" s="315"/>
      <c r="IZ940" s="315"/>
      <c r="JA940" s="315"/>
      <c r="JB940" s="315"/>
      <c r="JC940" s="315"/>
      <c r="JD940" s="315"/>
      <c r="JE940" s="315"/>
      <c r="JF940" s="315"/>
      <c r="JG940" s="315"/>
      <c r="JH940" s="315"/>
      <c r="JI940" s="315"/>
      <c r="JJ940" s="315"/>
      <c r="JK940" s="315"/>
      <c r="JL940" s="315"/>
      <c r="JM940" s="315"/>
      <c r="JN940" s="315"/>
      <c r="JO940" s="315"/>
      <c r="JQ940" s="54"/>
      <c r="JR940" s="315"/>
      <c r="JS940" s="315"/>
      <c r="JT940" s="315"/>
      <c r="JU940" s="315"/>
      <c r="JV940" s="315"/>
      <c r="JW940" s="315"/>
      <c r="JX940" s="315"/>
      <c r="JY940" s="315"/>
      <c r="JZ940" s="315"/>
      <c r="KA940" s="315"/>
      <c r="KB940" s="315"/>
      <c r="KC940" s="315"/>
      <c r="KD940" s="315"/>
      <c r="KE940" s="315"/>
      <c r="KF940" s="315"/>
      <c r="KG940" s="315"/>
      <c r="KH940" s="315"/>
      <c r="KI940" s="315"/>
      <c r="KJ940" s="315"/>
      <c r="KK940" s="315"/>
      <c r="KL940" s="315"/>
      <c r="KM940" s="315"/>
      <c r="KN940" s="315"/>
      <c r="KO940" s="315"/>
      <c r="KP940" s="315"/>
      <c r="KQ940" s="315"/>
      <c r="KR940" s="315"/>
      <c r="KS940" s="315"/>
      <c r="KT940" s="315"/>
      <c r="KU940" s="315"/>
      <c r="KV940" s="315"/>
      <c r="KW940" s="315"/>
      <c r="KX940" s="315"/>
      <c r="KY940" s="315"/>
    </row>
    <row r="941" spans="1:311" ht="12.75" x14ac:dyDescent="0.2">
      <c r="A941" s="54"/>
      <c r="B941" s="54"/>
      <c r="C941" s="54"/>
      <c r="D941" s="81"/>
      <c r="E941" s="81"/>
      <c r="F941" s="81"/>
      <c r="G941" s="81"/>
      <c r="H941" s="81"/>
      <c r="I941" s="81"/>
      <c r="J941" s="81"/>
      <c r="K941" s="81"/>
      <c r="L941" s="81"/>
      <c r="M941" s="81"/>
      <c r="N941" s="81"/>
      <c r="O941" s="81"/>
      <c r="P941" s="81"/>
      <c r="Q941" s="81"/>
      <c r="R941" s="81"/>
      <c r="S941" s="81"/>
      <c r="T941" s="81"/>
      <c r="U941" s="81"/>
      <c r="V941" s="81"/>
      <c r="W941" s="81"/>
      <c r="X941" s="81"/>
      <c r="Y941" s="81"/>
      <c r="Z941" s="81"/>
      <c r="AA941" s="81"/>
      <c r="AB941" s="81"/>
      <c r="AC941" s="81"/>
      <c r="AD941" s="81"/>
      <c r="AE941" s="81"/>
      <c r="AF941" s="81"/>
      <c r="AG941" s="81"/>
      <c r="AH941" s="81"/>
      <c r="AI941" s="81"/>
      <c r="AJ941" s="91"/>
      <c r="AK941" s="182"/>
      <c r="AY941" s="55"/>
      <c r="AZ941" s="55"/>
      <c r="BA941" s="55"/>
      <c r="BB941" s="55"/>
      <c r="BC941" s="55"/>
      <c r="BD941" s="55"/>
      <c r="BE941" s="55"/>
      <c r="BF941" s="55"/>
      <c r="BG941" s="55"/>
      <c r="BH941" s="55"/>
      <c r="BI941" s="55"/>
      <c r="BJ941" s="55"/>
      <c r="BK941" s="55"/>
      <c r="BL941" s="55"/>
      <c r="BM941" s="55"/>
      <c r="BN941" s="55"/>
      <c r="BO941" s="55"/>
      <c r="BP941" s="55"/>
      <c r="BQ941" s="55"/>
      <c r="BR941" s="55"/>
      <c r="BS941" s="55"/>
      <c r="BT941" s="55"/>
      <c r="BU941" s="55"/>
      <c r="BV941" s="55"/>
      <c r="BW941" s="55"/>
      <c r="BX941" s="55"/>
      <c r="BY941" s="55"/>
      <c r="BZ941" s="55"/>
      <c r="CA941" s="177"/>
      <c r="CB941" s="177"/>
      <c r="CC941" s="177"/>
      <c r="CD941" s="177"/>
      <c r="CE941" s="177"/>
      <c r="CF941" s="177"/>
      <c r="CI941" s="55"/>
      <c r="CJ941" s="55"/>
      <c r="CK941" s="55"/>
      <c r="CL941" s="55"/>
      <c r="CM941" s="55"/>
      <c r="CN941" s="55"/>
      <c r="CO941" s="55"/>
      <c r="CP941" s="55"/>
      <c r="CQ941" s="55"/>
      <c r="DJ941" s="55"/>
      <c r="DK941" s="55"/>
      <c r="DL941" s="55"/>
      <c r="DM941" s="55"/>
      <c r="DN941" s="55"/>
      <c r="DO941" s="55"/>
      <c r="DP941" s="55"/>
      <c r="DQ941" s="55"/>
      <c r="DR941" s="55"/>
      <c r="DS941" s="55"/>
      <c r="DT941" s="55"/>
      <c r="DU941" s="55"/>
      <c r="DV941" s="55"/>
      <c r="FP941" s="54"/>
      <c r="FQ941" s="175"/>
      <c r="FR941" s="175"/>
      <c r="FS941" s="175"/>
      <c r="FT941" s="175"/>
      <c r="FU941" s="175"/>
      <c r="FV941" s="175"/>
      <c r="FW941" s="175"/>
      <c r="FX941" s="175"/>
      <c r="FY941" s="175"/>
      <c r="FZ941" s="175"/>
      <c r="GA941" s="175"/>
      <c r="GB941" s="175"/>
      <c r="GC941" s="175"/>
      <c r="GD941" s="175"/>
      <c r="GE941" s="175"/>
      <c r="GF941" s="175"/>
      <c r="GG941" s="175"/>
      <c r="GH941" s="175"/>
      <c r="GI941" s="175"/>
      <c r="GJ941" s="175"/>
      <c r="GK941" s="175"/>
      <c r="GL941" s="175"/>
      <c r="GM941" s="175"/>
      <c r="GN941" s="175"/>
      <c r="GO941" s="175"/>
      <c r="GP941" s="175"/>
      <c r="GQ941" s="175"/>
      <c r="GR941" s="175"/>
      <c r="GS941" s="175"/>
      <c r="GT941" s="175"/>
      <c r="GU941" s="175"/>
      <c r="GV941" s="175"/>
      <c r="GW941" s="175"/>
      <c r="GY941" s="54"/>
      <c r="GZ941" s="175"/>
      <c r="HA941" s="175"/>
      <c r="HB941" s="175"/>
      <c r="HC941" s="175"/>
      <c r="HD941" s="175"/>
      <c r="HE941" s="175"/>
      <c r="HF941" s="175"/>
      <c r="HG941" s="175"/>
      <c r="HH941" s="175"/>
      <c r="HI941" s="175"/>
      <c r="HJ941" s="175"/>
      <c r="HK941" s="175"/>
      <c r="HL941" s="175"/>
      <c r="HM941" s="175"/>
      <c r="HN941" s="175"/>
      <c r="HO941" s="175"/>
      <c r="HP941" s="175"/>
      <c r="HQ941" s="175"/>
      <c r="HR941" s="175"/>
      <c r="HS941" s="175"/>
      <c r="HT941" s="175"/>
      <c r="HU941" s="175"/>
      <c r="HV941" s="175"/>
      <c r="HW941" s="175"/>
      <c r="HX941" s="175"/>
      <c r="HY941" s="175"/>
      <c r="HZ941" s="175"/>
      <c r="IA941" s="175"/>
      <c r="IB941" s="175"/>
      <c r="IC941" s="175"/>
      <c r="ID941" s="175"/>
      <c r="IE941" s="175"/>
      <c r="IF941" s="175"/>
      <c r="IH941" s="54"/>
      <c r="II941" s="175"/>
      <c r="IJ941" s="175"/>
      <c r="IK941" s="175"/>
      <c r="IL941" s="175"/>
      <c r="IM941" s="175"/>
      <c r="IN941" s="175"/>
      <c r="IO941" s="175"/>
      <c r="IP941" s="175"/>
      <c r="IQ941" s="175"/>
      <c r="IR941" s="175"/>
      <c r="IS941" s="175"/>
      <c r="IT941" s="175"/>
      <c r="IU941" s="175"/>
      <c r="IV941" s="175"/>
      <c r="IW941" s="175"/>
      <c r="IX941" s="175"/>
      <c r="IY941" s="175"/>
      <c r="IZ941" s="175"/>
      <c r="JA941" s="175"/>
      <c r="JB941" s="175"/>
      <c r="JC941" s="175"/>
      <c r="JD941" s="175"/>
      <c r="JE941" s="175"/>
      <c r="JF941" s="175"/>
      <c r="JG941" s="175"/>
      <c r="JH941" s="175"/>
      <c r="JI941" s="175"/>
      <c r="JJ941" s="175"/>
      <c r="JK941" s="175"/>
      <c r="JL941" s="175"/>
      <c r="JM941" s="175"/>
      <c r="JN941" s="175"/>
      <c r="JO941" s="175"/>
      <c r="JQ941" s="54"/>
      <c r="JR941" s="175"/>
      <c r="JS941" s="175"/>
      <c r="JT941" s="175"/>
      <c r="JU941" s="175"/>
      <c r="JV941" s="175"/>
      <c r="JW941" s="175"/>
      <c r="JX941" s="175"/>
      <c r="JY941" s="175"/>
      <c r="JZ941" s="175"/>
      <c r="KA941" s="175"/>
      <c r="KB941" s="175"/>
      <c r="KC941" s="175"/>
      <c r="KD941" s="175"/>
      <c r="KE941" s="175"/>
      <c r="KF941" s="175"/>
      <c r="KG941" s="175"/>
      <c r="KH941" s="175"/>
      <c r="KI941" s="175"/>
      <c r="KJ941" s="175"/>
      <c r="KK941" s="175"/>
      <c r="KL941" s="175"/>
      <c r="KM941" s="175"/>
      <c r="KN941" s="175"/>
      <c r="KO941" s="175"/>
      <c r="KP941" s="175"/>
      <c r="KQ941" s="175"/>
      <c r="KR941" s="175"/>
      <c r="KS941" s="175"/>
      <c r="KT941" s="175"/>
      <c r="KU941" s="175"/>
      <c r="KV941" s="175"/>
      <c r="KW941" s="175"/>
      <c r="KX941" s="175"/>
    </row>
    <row r="942" spans="1:311" ht="12.75" customHeight="1" x14ac:dyDescent="0.2">
      <c r="A942" s="54"/>
      <c r="B942" s="54"/>
      <c r="C942" s="54"/>
      <c r="D942" s="315" t="str">
        <f>IF( $O$61="Embebido",$BV$942,
          IF( OR($O$64 ="Hilti HIT-RE 500-SD",$O$64 ="Hilti HIT-HY 200-R",$O$64 ="Hilti HIT-MM Plus",$O$64 ="Inyectable"),$II$942,
                    IF( OR($O$64 ="Hilti HDA",$O$64 ="Sobre-excavado"),$GZ$942,
                            IF( OR($O$64 ="Hilti HSL-3",$O$64 ="Expansivo de camisa"),$FQ$942,
                                         IF( OR($O$64 ="Hilti KH-EZ",$O$64 ="Hilti KH",$O$64 ="Hilti KH-EZ-I",$O$64 ="Hilti KH-I",$O$64 ="Atornillado"),$EH$942,
                                                      IF( OR( $O$64 ="Hilti HKB3",$O$64 ="Expansivo de cuña"),$CM$942,
                                                                    IF( OR($O$64 ="Hilti HVA",$O$64 ="Capsula"),$JR$942,
                                                                                  $AM$942                                                                        )
                                                          )
                                              )
                                 )
                        )
             )
   )</f>
        <v>4.      Las varillas corrugadas de refuerzo deben ser A706 Grado 60.</v>
      </c>
      <c r="E942" s="315"/>
      <c r="F942" s="315"/>
      <c r="G942" s="315"/>
      <c r="H942" s="315"/>
      <c r="I942" s="315"/>
      <c r="J942" s="315"/>
      <c r="K942" s="315"/>
      <c r="L942" s="315"/>
      <c r="M942" s="315"/>
      <c r="N942" s="315"/>
      <c r="O942" s="315"/>
      <c r="P942" s="315"/>
      <c r="Q942" s="315"/>
      <c r="R942" s="315"/>
      <c r="S942" s="315"/>
      <c r="T942" s="315"/>
      <c r="U942" s="315"/>
      <c r="V942" s="315"/>
      <c r="W942" s="315"/>
      <c r="X942" s="315"/>
      <c r="Y942" s="315"/>
      <c r="Z942" s="315"/>
      <c r="AA942" s="315"/>
      <c r="AB942" s="315"/>
      <c r="AC942" s="315"/>
      <c r="AD942" s="315"/>
      <c r="AE942" s="315"/>
      <c r="AF942" s="315"/>
      <c r="AG942" s="315"/>
      <c r="AH942" s="315"/>
      <c r="AI942" s="315"/>
      <c r="AJ942" s="315"/>
      <c r="AK942" s="177"/>
      <c r="AL942" s="54"/>
      <c r="AM942" s="315" t="s">
        <v>853</v>
      </c>
      <c r="AN942" s="315"/>
      <c r="AO942" s="315"/>
      <c r="AP942" s="315"/>
      <c r="AQ942" s="315"/>
      <c r="AR942" s="315"/>
      <c r="AS942" s="315"/>
      <c r="AT942" s="315"/>
      <c r="AU942" s="315"/>
      <c r="AV942" s="315"/>
      <c r="AW942" s="315"/>
      <c r="AX942" s="315"/>
      <c r="AY942" s="315"/>
      <c r="AZ942" s="315"/>
      <c r="BA942" s="315"/>
      <c r="BB942" s="315"/>
      <c r="BC942" s="315"/>
      <c r="BD942" s="315"/>
      <c r="BE942" s="315"/>
      <c r="BF942" s="315"/>
      <c r="BG942" s="315"/>
      <c r="BH942" s="315"/>
      <c r="BI942" s="315"/>
      <c r="BJ942" s="315"/>
      <c r="BK942" s="315"/>
      <c r="BL942" s="315"/>
      <c r="BM942" s="315"/>
      <c r="BN942" s="315"/>
      <c r="BO942" s="315"/>
      <c r="BP942" s="315"/>
      <c r="BQ942" s="315"/>
      <c r="BR942" s="315"/>
      <c r="BS942" s="315"/>
      <c r="BT942" s="55"/>
      <c r="BU942" s="54"/>
      <c r="BV942" s="177" t="s">
        <v>853</v>
      </c>
      <c r="BW942" s="177"/>
      <c r="BX942" s="177"/>
      <c r="BY942" s="177"/>
      <c r="BZ942" s="177"/>
      <c r="CG942" s="177"/>
      <c r="CH942" s="177"/>
      <c r="CI942" s="177"/>
      <c r="CJ942" s="177"/>
      <c r="CK942" s="55"/>
      <c r="CL942" s="54"/>
      <c r="CM942" s="315" t="s">
        <v>853</v>
      </c>
      <c r="CN942" s="315"/>
      <c r="CO942" s="315"/>
      <c r="CP942" s="315"/>
      <c r="CQ942" s="315"/>
      <c r="CR942" s="315"/>
      <c r="CS942" s="315"/>
      <c r="CT942" s="315"/>
      <c r="CU942" s="315"/>
      <c r="CV942" s="315"/>
      <c r="CW942" s="315"/>
      <c r="CX942" s="315"/>
      <c r="CY942" s="315"/>
      <c r="CZ942" s="315"/>
      <c r="DA942" s="315"/>
      <c r="DB942" s="315"/>
      <c r="DC942" s="315"/>
      <c r="DD942" s="315"/>
      <c r="DE942" s="315"/>
      <c r="DF942" s="315"/>
      <c r="DG942" s="315"/>
      <c r="DH942" s="315"/>
      <c r="DI942" s="315"/>
      <c r="DJ942" s="315"/>
      <c r="DK942" s="315"/>
      <c r="DL942" s="315"/>
      <c r="DM942" s="315"/>
      <c r="DN942" s="315"/>
      <c r="DO942" s="315"/>
      <c r="DP942" s="315"/>
      <c r="DQ942" s="315"/>
      <c r="DR942" s="315"/>
      <c r="DS942" s="315"/>
      <c r="DT942" s="315"/>
      <c r="DU942" s="315"/>
      <c r="DV942" s="315"/>
      <c r="DW942" s="315"/>
      <c r="DX942" s="315"/>
      <c r="DY942" s="315"/>
      <c r="DZ942" s="315"/>
      <c r="EA942" s="315"/>
      <c r="EB942" s="315"/>
      <c r="EC942" s="315"/>
      <c r="ED942" s="315"/>
      <c r="EE942" s="315"/>
      <c r="EH942" s="315" t="s">
        <v>853</v>
      </c>
      <c r="EI942" s="315"/>
      <c r="EJ942" s="315"/>
      <c r="EK942" s="315"/>
      <c r="EL942" s="315"/>
      <c r="EM942" s="315"/>
      <c r="EN942" s="315"/>
      <c r="EO942" s="315"/>
      <c r="EP942" s="315"/>
      <c r="EQ942" s="315"/>
      <c r="ER942" s="315"/>
      <c r="ES942" s="315"/>
      <c r="ET942" s="315"/>
      <c r="EU942" s="315"/>
      <c r="EV942" s="315"/>
      <c r="EW942" s="315"/>
      <c r="EX942" s="315"/>
      <c r="EY942" s="315"/>
      <c r="EZ942" s="315"/>
      <c r="FA942" s="315"/>
      <c r="FB942" s="315"/>
      <c r="FC942" s="315"/>
      <c r="FD942" s="315"/>
      <c r="FE942" s="315"/>
      <c r="FF942" s="315"/>
      <c r="FG942" s="315"/>
      <c r="FH942" s="315"/>
      <c r="FI942" s="315"/>
      <c r="FJ942" s="315"/>
      <c r="FK942" s="315"/>
      <c r="FL942" s="315"/>
      <c r="FM942" s="315"/>
      <c r="FN942" s="315"/>
      <c r="FP942" s="54"/>
      <c r="FQ942" s="315" t="s">
        <v>853</v>
      </c>
      <c r="FR942" s="315"/>
      <c r="FS942" s="315"/>
      <c r="FT942" s="315"/>
      <c r="FU942" s="315"/>
      <c r="FV942" s="315"/>
      <c r="FW942" s="315"/>
      <c r="FX942" s="315"/>
      <c r="FY942" s="315"/>
      <c r="FZ942" s="315"/>
      <c r="GA942" s="315"/>
      <c r="GB942" s="315"/>
      <c r="GC942" s="315"/>
      <c r="GD942" s="315"/>
      <c r="GE942" s="315"/>
      <c r="GF942" s="315"/>
      <c r="GG942" s="315"/>
      <c r="GH942" s="315"/>
      <c r="GI942" s="315"/>
      <c r="GJ942" s="315"/>
      <c r="GK942" s="315"/>
      <c r="GL942" s="315"/>
      <c r="GM942" s="315"/>
      <c r="GN942" s="315"/>
      <c r="GO942" s="315"/>
      <c r="GP942" s="315"/>
      <c r="GQ942" s="315"/>
      <c r="GR942" s="315"/>
      <c r="GS942" s="315"/>
      <c r="GT942" s="315"/>
      <c r="GU942" s="315"/>
      <c r="GV942" s="315"/>
      <c r="GW942" s="315"/>
      <c r="GY942" s="54"/>
      <c r="GZ942" s="315" t="s">
        <v>853</v>
      </c>
      <c r="HA942" s="315"/>
      <c r="HB942" s="315"/>
      <c r="HC942" s="315"/>
      <c r="HD942" s="315"/>
      <c r="HE942" s="315"/>
      <c r="HF942" s="315"/>
      <c r="HG942" s="315"/>
      <c r="HH942" s="315"/>
      <c r="HI942" s="315"/>
      <c r="HJ942" s="315"/>
      <c r="HK942" s="315"/>
      <c r="HL942" s="315"/>
      <c r="HM942" s="315"/>
      <c r="HN942" s="315"/>
      <c r="HO942" s="315"/>
      <c r="HP942" s="315"/>
      <c r="HQ942" s="315"/>
      <c r="HR942" s="315"/>
      <c r="HS942" s="315"/>
      <c r="HT942" s="315"/>
      <c r="HU942" s="315"/>
      <c r="HV942" s="315"/>
      <c r="HW942" s="315"/>
      <c r="HX942" s="315"/>
      <c r="HY942" s="315"/>
      <c r="HZ942" s="315"/>
      <c r="IA942" s="315"/>
      <c r="IB942" s="315"/>
      <c r="IC942" s="315"/>
      <c r="ID942" s="315"/>
      <c r="IE942" s="315"/>
      <c r="IF942" s="315"/>
      <c r="IH942" s="54"/>
      <c r="II942" s="315" t="s">
        <v>853</v>
      </c>
      <c r="IJ942" s="315"/>
      <c r="IK942" s="315"/>
      <c r="IL942" s="315"/>
      <c r="IM942" s="315"/>
      <c r="IN942" s="315"/>
      <c r="IO942" s="315"/>
      <c r="IP942" s="315"/>
      <c r="IQ942" s="315"/>
      <c r="IR942" s="315"/>
      <c r="IS942" s="315"/>
      <c r="IT942" s="315"/>
      <c r="IU942" s="315"/>
      <c r="IV942" s="315"/>
      <c r="IW942" s="315"/>
      <c r="IX942" s="315"/>
      <c r="IY942" s="315"/>
      <c r="IZ942" s="315"/>
      <c r="JA942" s="315"/>
      <c r="JB942" s="315"/>
      <c r="JC942" s="315"/>
      <c r="JD942" s="315"/>
      <c r="JE942" s="315"/>
      <c r="JF942" s="315"/>
      <c r="JG942" s="315"/>
      <c r="JH942" s="315"/>
      <c r="JI942" s="315"/>
      <c r="JJ942" s="315"/>
      <c r="JK942" s="315"/>
      <c r="JL942" s="315"/>
      <c r="JM942" s="315"/>
      <c r="JN942" s="315"/>
      <c r="JO942" s="315"/>
      <c r="JQ942" s="54"/>
      <c r="JR942" s="315" t="s">
        <v>852</v>
      </c>
      <c r="JS942" s="315"/>
      <c r="JT942" s="315"/>
      <c r="JU942" s="315"/>
      <c r="JV942" s="315"/>
      <c r="JW942" s="315"/>
      <c r="JX942" s="315"/>
      <c r="JY942" s="315"/>
      <c r="JZ942" s="315"/>
      <c r="KA942" s="315"/>
      <c r="KB942" s="315"/>
      <c r="KC942" s="315"/>
      <c r="KD942" s="315"/>
      <c r="KE942" s="315"/>
      <c r="KF942" s="315"/>
      <c r="KG942" s="315"/>
      <c r="KH942" s="315"/>
      <c r="KI942" s="315"/>
      <c r="KJ942" s="315"/>
      <c r="KK942" s="315"/>
      <c r="KL942" s="315"/>
      <c r="KM942" s="315"/>
      <c r="KN942" s="315"/>
      <c r="KO942" s="315"/>
      <c r="KP942" s="315"/>
      <c r="KQ942" s="315"/>
      <c r="KR942" s="315"/>
      <c r="KS942" s="315"/>
      <c r="KT942" s="315"/>
      <c r="KU942" s="315"/>
      <c r="KV942" s="315"/>
      <c r="KW942" s="315"/>
      <c r="KX942" s="315"/>
      <c r="KY942" s="315"/>
    </row>
    <row r="943" spans="1:311" ht="12.75" x14ac:dyDescent="0.2">
      <c r="A943" s="54"/>
      <c r="B943" s="54"/>
      <c r="C943" s="54"/>
      <c r="D943" s="315"/>
      <c r="E943" s="315"/>
      <c r="F943" s="315"/>
      <c r="G943" s="315"/>
      <c r="H943" s="315"/>
      <c r="I943" s="315"/>
      <c r="J943" s="315"/>
      <c r="K943" s="315"/>
      <c r="L943" s="315"/>
      <c r="M943" s="315"/>
      <c r="N943" s="315"/>
      <c r="O943" s="315"/>
      <c r="P943" s="315"/>
      <c r="Q943" s="315"/>
      <c r="R943" s="315"/>
      <c r="S943" s="315"/>
      <c r="T943" s="315"/>
      <c r="U943" s="315"/>
      <c r="V943" s="315"/>
      <c r="W943" s="315"/>
      <c r="X943" s="315"/>
      <c r="Y943" s="315"/>
      <c r="Z943" s="315"/>
      <c r="AA943" s="315"/>
      <c r="AB943" s="315"/>
      <c r="AC943" s="315"/>
      <c r="AD943" s="315"/>
      <c r="AE943" s="315"/>
      <c r="AF943" s="315"/>
      <c r="AG943" s="315"/>
      <c r="AH943" s="315"/>
      <c r="AI943" s="315"/>
      <c r="AJ943" s="315"/>
      <c r="AK943" s="177"/>
      <c r="AM943" s="315"/>
      <c r="AN943" s="315"/>
      <c r="AO943" s="315"/>
      <c r="AP943" s="315"/>
      <c r="AQ943" s="315"/>
      <c r="AR943" s="315"/>
      <c r="AS943" s="315"/>
      <c r="AT943" s="315"/>
      <c r="AU943" s="315"/>
      <c r="AV943" s="315"/>
      <c r="AW943" s="315"/>
      <c r="AX943" s="315"/>
      <c r="AY943" s="315"/>
      <c r="AZ943" s="315"/>
      <c r="BA943" s="315"/>
      <c r="BB943" s="315"/>
      <c r="BC943" s="315"/>
      <c r="BD943" s="315"/>
      <c r="BE943" s="315"/>
      <c r="BF943" s="315"/>
      <c r="BG943" s="315"/>
      <c r="BH943" s="315"/>
      <c r="BI943" s="315"/>
      <c r="BJ943" s="315"/>
      <c r="BK943" s="315"/>
      <c r="BL943" s="315"/>
      <c r="BM943" s="315"/>
      <c r="BN943" s="315"/>
      <c r="BO943" s="315"/>
      <c r="BP943" s="315"/>
      <c r="BQ943" s="315"/>
      <c r="BR943" s="315"/>
      <c r="BS943" s="315"/>
      <c r="BT943" s="55"/>
      <c r="BU943" s="55"/>
      <c r="BV943" s="177"/>
      <c r="BW943" s="177"/>
      <c r="BX943" s="177"/>
      <c r="BY943" s="177"/>
      <c r="BZ943" s="177"/>
      <c r="CA943" s="177"/>
      <c r="CB943" s="177"/>
      <c r="CC943" s="177"/>
      <c r="CD943" s="177"/>
      <c r="CE943" s="177"/>
      <c r="CF943" s="177"/>
      <c r="CG943" s="177"/>
      <c r="CH943" s="177"/>
      <c r="CI943" s="177"/>
      <c r="CJ943" s="177"/>
      <c r="CK943" s="55"/>
      <c r="CL943" s="55"/>
      <c r="CM943" s="315"/>
      <c r="CN943" s="315"/>
      <c r="CO943" s="315"/>
      <c r="CP943" s="315"/>
      <c r="CQ943" s="315"/>
      <c r="CR943" s="315"/>
      <c r="CS943" s="315"/>
      <c r="CT943" s="315"/>
      <c r="CU943" s="315"/>
      <c r="CV943" s="315"/>
      <c r="CW943" s="315"/>
      <c r="CX943" s="315"/>
      <c r="CY943" s="315"/>
      <c r="CZ943" s="315"/>
      <c r="DA943" s="315"/>
      <c r="DB943" s="315"/>
      <c r="DC943" s="315"/>
      <c r="DD943" s="315"/>
      <c r="DE943" s="315"/>
      <c r="DF943" s="315"/>
      <c r="DG943" s="315"/>
      <c r="DH943" s="315"/>
      <c r="DI943" s="315"/>
      <c r="DJ943" s="315"/>
      <c r="DK943" s="315"/>
      <c r="DL943" s="315"/>
      <c r="DM943" s="315"/>
      <c r="DN943" s="315"/>
      <c r="DO943" s="315"/>
      <c r="DP943" s="315"/>
      <c r="DQ943" s="315"/>
      <c r="DR943" s="315"/>
      <c r="DS943" s="315"/>
      <c r="DT943" s="315"/>
      <c r="DU943" s="315"/>
      <c r="DV943" s="315"/>
      <c r="DW943" s="315"/>
      <c r="DX943" s="315"/>
      <c r="DY943" s="315"/>
      <c r="DZ943" s="315"/>
      <c r="EA943" s="315"/>
      <c r="EB943" s="315"/>
      <c r="EC943" s="315"/>
      <c r="ED943" s="315"/>
      <c r="EE943" s="315"/>
      <c r="EH943" s="315"/>
      <c r="EI943" s="315"/>
      <c r="EJ943" s="315"/>
      <c r="EK943" s="315"/>
      <c r="EL943" s="315"/>
      <c r="EM943" s="315"/>
      <c r="EN943" s="315"/>
      <c r="EO943" s="315"/>
      <c r="EP943" s="315"/>
      <c r="EQ943" s="315"/>
      <c r="ER943" s="315"/>
      <c r="ES943" s="315"/>
      <c r="ET943" s="315"/>
      <c r="EU943" s="315"/>
      <c r="EV943" s="315"/>
      <c r="EW943" s="315"/>
      <c r="EX943" s="315"/>
      <c r="EY943" s="315"/>
      <c r="EZ943" s="315"/>
      <c r="FA943" s="315"/>
      <c r="FB943" s="315"/>
      <c r="FC943" s="315"/>
      <c r="FD943" s="315"/>
      <c r="FE943" s="315"/>
      <c r="FF943" s="315"/>
      <c r="FG943" s="315"/>
      <c r="FH943" s="315"/>
      <c r="FI943" s="315"/>
      <c r="FJ943" s="315"/>
      <c r="FK943" s="315"/>
      <c r="FL943" s="315"/>
      <c r="FM943" s="315"/>
      <c r="FN943" s="315"/>
      <c r="FP943" s="54"/>
      <c r="FQ943" s="315"/>
      <c r="FR943" s="315"/>
      <c r="FS943" s="315"/>
      <c r="FT943" s="315"/>
      <c r="FU943" s="315"/>
      <c r="FV943" s="315"/>
      <c r="FW943" s="315"/>
      <c r="FX943" s="315"/>
      <c r="FY943" s="315"/>
      <c r="FZ943" s="315"/>
      <c r="GA943" s="315"/>
      <c r="GB943" s="315"/>
      <c r="GC943" s="315"/>
      <c r="GD943" s="315"/>
      <c r="GE943" s="315"/>
      <c r="GF943" s="315"/>
      <c r="GG943" s="315"/>
      <c r="GH943" s="315"/>
      <c r="GI943" s="315"/>
      <c r="GJ943" s="315"/>
      <c r="GK943" s="315"/>
      <c r="GL943" s="315"/>
      <c r="GM943" s="315"/>
      <c r="GN943" s="315"/>
      <c r="GO943" s="315"/>
      <c r="GP943" s="315"/>
      <c r="GQ943" s="315"/>
      <c r="GR943" s="315"/>
      <c r="GS943" s="315"/>
      <c r="GT943" s="315"/>
      <c r="GU943" s="315"/>
      <c r="GV943" s="315"/>
      <c r="GW943" s="315"/>
      <c r="GY943" s="54"/>
      <c r="GZ943" s="315"/>
      <c r="HA943" s="315"/>
      <c r="HB943" s="315"/>
      <c r="HC943" s="315"/>
      <c r="HD943" s="315"/>
      <c r="HE943" s="315"/>
      <c r="HF943" s="315"/>
      <c r="HG943" s="315"/>
      <c r="HH943" s="315"/>
      <c r="HI943" s="315"/>
      <c r="HJ943" s="315"/>
      <c r="HK943" s="315"/>
      <c r="HL943" s="315"/>
      <c r="HM943" s="315"/>
      <c r="HN943" s="315"/>
      <c r="HO943" s="315"/>
      <c r="HP943" s="315"/>
      <c r="HQ943" s="315"/>
      <c r="HR943" s="315"/>
      <c r="HS943" s="315"/>
      <c r="HT943" s="315"/>
      <c r="HU943" s="315"/>
      <c r="HV943" s="315"/>
      <c r="HW943" s="315"/>
      <c r="HX943" s="315"/>
      <c r="HY943" s="315"/>
      <c r="HZ943" s="315"/>
      <c r="IA943" s="315"/>
      <c r="IB943" s="315"/>
      <c r="IC943" s="315"/>
      <c r="ID943" s="315"/>
      <c r="IE943" s="315"/>
      <c r="IF943" s="315"/>
      <c r="IH943" s="54"/>
      <c r="II943" s="315"/>
      <c r="IJ943" s="315"/>
      <c r="IK943" s="315"/>
      <c r="IL943" s="315"/>
      <c r="IM943" s="315"/>
      <c r="IN943" s="315"/>
      <c r="IO943" s="315"/>
      <c r="IP943" s="315"/>
      <c r="IQ943" s="315"/>
      <c r="IR943" s="315"/>
      <c r="IS943" s="315"/>
      <c r="IT943" s="315"/>
      <c r="IU943" s="315"/>
      <c r="IV943" s="315"/>
      <c r="IW943" s="315"/>
      <c r="IX943" s="315"/>
      <c r="IY943" s="315"/>
      <c r="IZ943" s="315"/>
      <c r="JA943" s="315"/>
      <c r="JB943" s="315"/>
      <c r="JC943" s="315"/>
      <c r="JD943" s="315"/>
      <c r="JE943" s="315"/>
      <c r="JF943" s="315"/>
      <c r="JG943" s="315"/>
      <c r="JH943" s="315"/>
      <c r="JI943" s="315"/>
      <c r="JJ943" s="315"/>
      <c r="JK943" s="315"/>
      <c r="JL943" s="315"/>
      <c r="JM943" s="315"/>
      <c r="JN943" s="315"/>
      <c r="JO943" s="315"/>
      <c r="JQ943" s="54"/>
      <c r="JR943" s="315"/>
      <c r="JS943" s="315"/>
      <c r="JT943" s="315"/>
      <c r="JU943" s="315"/>
      <c r="JV943" s="315"/>
      <c r="JW943" s="315"/>
      <c r="JX943" s="315"/>
      <c r="JY943" s="315"/>
      <c r="JZ943" s="315"/>
      <c r="KA943" s="315"/>
      <c r="KB943" s="315"/>
      <c r="KC943" s="315"/>
      <c r="KD943" s="315"/>
      <c r="KE943" s="315"/>
      <c r="KF943" s="315"/>
      <c r="KG943" s="315"/>
      <c r="KH943" s="315"/>
      <c r="KI943" s="315"/>
      <c r="KJ943" s="315"/>
      <c r="KK943" s="315"/>
      <c r="KL943" s="315"/>
      <c r="KM943" s="315"/>
      <c r="KN943" s="315"/>
      <c r="KO943" s="315"/>
      <c r="KP943" s="315"/>
      <c r="KQ943" s="315"/>
      <c r="KR943" s="315"/>
      <c r="KS943" s="315"/>
      <c r="KT943" s="315"/>
      <c r="KU943" s="315"/>
      <c r="KV943" s="315"/>
      <c r="KW943" s="315"/>
      <c r="KX943" s="315"/>
      <c r="KY943" s="315"/>
    </row>
    <row r="944" spans="1:311" ht="12.75" x14ac:dyDescent="0.2">
      <c r="A944" s="54"/>
      <c r="B944" s="54"/>
      <c r="C944" s="54"/>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c r="AA944" s="141"/>
      <c r="AB944" s="141"/>
      <c r="AC944" s="141"/>
      <c r="AD944" s="141"/>
      <c r="AE944" s="141"/>
      <c r="AF944" s="141"/>
      <c r="AG944" s="141"/>
      <c r="AH944" s="141"/>
      <c r="AI944" s="141"/>
      <c r="AJ944" s="91"/>
      <c r="AK944" s="182"/>
      <c r="AY944" s="55"/>
      <c r="AZ944" s="55"/>
      <c r="BA944" s="55"/>
      <c r="BB944" s="55"/>
      <c r="BC944" s="55"/>
      <c r="BD944" s="55"/>
      <c r="BE944" s="55"/>
      <c r="BF944" s="55"/>
      <c r="BG944" s="55"/>
      <c r="BH944" s="55"/>
      <c r="BI944" s="55"/>
      <c r="BJ944" s="55"/>
      <c r="BK944" s="55"/>
      <c r="BL944" s="55"/>
      <c r="BM944" s="55"/>
      <c r="BN944" s="55"/>
      <c r="BO944" s="55"/>
      <c r="BP944" s="55"/>
      <c r="BQ944" s="55"/>
      <c r="BR944" s="55"/>
      <c r="BS944" s="55"/>
      <c r="BT944" s="55"/>
      <c r="BU944" s="55"/>
      <c r="BV944" s="55"/>
      <c r="BW944" s="55"/>
      <c r="BX944" s="55"/>
      <c r="BY944" s="55"/>
      <c r="BZ944" s="55"/>
      <c r="CA944" s="177"/>
      <c r="CB944" s="177"/>
      <c r="CC944" s="177"/>
      <c r="CD944" s="177"/>
      <c r="CE944" s="177"/>
      <c r="CF944" s="177"/>
      <c r="CI944" s="55"/>
      <c r="CJ944" s="55"/>
      <c r="CK944" s="55"/>
      <c r="CL944" s="55"/>
      <c r="CM944" s="55"/>
      <c r="CN944" s="55"/>
      <c r="CO944" s="55"/>
      <c r="CP944" s="55"/>
      <c r="CQ944" s="55"/>
      <c r="DJ944" s="55"/>
      <c r="DK944" s="55"/>
      <c r="DL944" s="55"/>
      <c r="DM944" s="55"/>
      <c r="DN944" s="55"/>
      <c r="DO944" s="55"/>
      <c r="DP944" s="55"/>
      <c r="DQ944" s="55"/>
      <c r="DR944" s="55"/>
      <c r="DS944" s="55"/>
      <c r="DT944" s="55"/>
      <c r="DU944" s="55"/>
      <c r="DV944" s="55"/>
      <c r="FP944" s="54"/>
      <c r="FQ944" s="175"/>
      <c r="FR944" s="175"/>
      <c r="FS944" s="175"/>
      <c r="FT944" s="175"/>
      <c r="FU944" s="175"/>
      <c r="FV944" s="175"/>
      <c r="FW944" s="175"/>
      <c r="FX944" s="175"/>
      <c r="FY944" s="175"/>
      <c r="FZ944" s="175"/>
      <c r="GA944" s="175"/>
      <c r="GB944" s="175"/>
      <c r="GC944" s="175"/>
      <c r="GD944" s="175"/>
      <c r="GE944" s="175"/>
      <c r="GF944" s="175"/>
      <c r="GG944" s="175"/>
      <c r="GH944" s="175"/>
      <c r="GI944" s="175"/>
      <c r="GJ944" s="175"/>
      <c r="GK944" s="175"/>
      <c r="GL944" s="175"/>
      <c r="GM944" s="175"/>
      <c r="GN944" s="175"/>
      <c r="GO944" s="175"/>
      <c r="GP944" s="175"/>
      <c r="GQ944" s="175"/>
      <c r="GR944" s="175"/>
      <c r="GS944" s="175"/>
      <c r="GT944" s="175"/>
      <c r="GU944" s="175"/>
      <c r="GV944" s="175"/>
      <c r="GW944" s="175"/>
      <c r="GY944" s="54"/>
      <c r="GZ944" s="175"/>
      <c r="HA944" s="175"/>
      <c r="HB944" s="175"/>
      <c r="HC944" s="175"/>
      <c r="HD944" s="175"/>
      <c r="HE944" s="175"/>
      <c r="HF944" s="175"/>
      <c r="HG944" s="175"/>
      <c r="HH944" s="175"/>
      <c r="HI944" s="175"/>
      <c r="HJ944" s="175"/>
      <c r="HK944" s="175"/>
      <c r="HL944" s="175"/>
      <c r="HM944" s="175"/>
      <c r="HN944" s="175"/>
      <c r="HO944" s="175"/>
      <c r="HP944" s="175"/>
      <c r="HQ944" s="175"/>
      <c r="HR944" s="175"/>
      <c r="HS944" s="175"/>
      <c r="HT944" s="175"/>
      <c r="HU944" s="175"/>
      <c r="HV944" s="175"/>
      <c r="HW944" s="175"/>
      <c r="HX944" s="175"/>
      <c r="HY944" s="175"/>
      <c r="HZ944" s="175"/>
      <c r="IA944" s="175"/>
      <c r="IB944" s="175"/>
      <c r="IC944" s="175"/>
      <c r="ID944" s="175"/>
      <c r="IE944" s="175"/>
      <c r="IF944" s="175"/>
      <c r="IH944" s="54"/>
      <c r="II944" s="175"/>
      <c r="IJ944" s="175"/>
      <c r="IK944" s="175"/>
      <c r="IL944" s="175"/>
      <c r="IM944" s="175"/>
      <c r="IN944" s="175"/>
      <c r="IO944" s="175"/>
      <c r="IP944" s="175"/>
      <c r="IQ944" s="175"/>
      <c r="IR944" s="175"/>
      <c r="IS944" s="175"/>
      <c r="IT944" s="175"/>
      <c r="IU944" s="175"/>
      <c r="IV944" s="175"/>
      <c r="IW944" s="175"/>
      <c r="IX944" s="175"/>
      <c r="IY944" s="175"/>
      <c r="IZ944" s="175"/>
      <c r="JA944" s="175"/>
      <c r="JB944" s="175"/>
      <c r="JC944" s="175"/>
      <c r="JD944" s="175"/>
      <c r="JE944" s="175"/>
      <c r="JF944" s="175"/>
      <c r="JG944" s="175"/>
      <c r="JH944" s="175"/>
      <c r="JI944" s="175"/>
      <c r="JJ944" s="175"/>
      <c r="JK944" s="175"/>
      <c r="JL944" s="175"/>
      <c r="JM944" s="175"/>
      <c r="JN944" s="175"/>
      <c r="JO944" s="175"/>
      <c r="JQ944" s="54"/>
      <c r="JR944" s="175"/>
      <c r="JS944" s="175"/>
      <c r="JT944" s="175"/>
      <c r="JU944" s="175"/>
      <c r="JV944" s="175"/>
      <c r="JW944" s="175"/>
      <c r="JX944" s="175"/>
      <c r="JY944" s="175"/>
      <c r="JZ944" s="175"/>
      <c r="KA944" s="175"/>
      <c r="KB944" s="175"/>
      <c r="KC944" s="175"/>
      <c r="KD944" s="175"/>
      <c r="KE944" s="175"/>
      <c r="KF944" s="175"/>
      <c r="KG944" s="175"/>
      <c r="KH944" s="175"/>
      <c r="KI944" s="175"/>
      <c r="KJ944" s="175"/>
      <c r="KK944" s="175"/>
      <c r="KL944" s="175"/>
      <c r="KM944" s="175"/>
      <c r="KN944" s="175"/>
      <c r="KO944" s="175"/>
      <c r="KP944" s="175"/>
      <c r="KQ944" s="175"/>
      <c r="KR944" s="175"/>
      <c r="KS944" s="175"/>
      <c r="KT944" s="175"/>
      <c r="KU944" s="175"/>
      <c r="KV944" s="175"/>
      <c r="KW944" s="175"/>
      <c r="KX944" s="175"/>
    </row>
    <row r="945" spans="1:310" ht="12.75" customHeight="1" x14ac:dyDescent="0.2">
      <c r="A945" s="54"/>
      <c r="B945" s="54"/>
      <c r="C945" s="54"/>
      <c r="D945" s="333" t="str">
        <f>IF( $O$61="Embebido",$BV$945,
          IF( OR($O$64 ="Hilti HIT-RE 500-SD",$O$64 ="Hilti HIT-HY 200-R",$O$64 ="Hilti HIT-MM Plus",$O$64 ="Inyectable"),$II$945,
                    IF( OR($O$64 ="Hilti HDA",$O$64 ="Sobre-excavado"),$GZ$945,
                            IF( OR($O$64 ="Hilti HSL-3",$O$64 ="Expansivo de camisa"),$FQ$945,
                                         IF( OR($O$64 ="Hilti KH-EZ",$O$64 ="Hilti KH",$O$64 ="Hilti KH-EZ-I",$O$64 ="Hilti KH-I",$O$64 ="Atornillado"),$EH$945,
                                                      IF( OR( $O$64 ="Hilti HKB3",$O$64 ="Expansivo de cuña"),$CM$945,
                                                                    IF( OR($O$64 ="Hilti HVA",$O$64 ="Capsula"),$JR$945,
                                                                                  $AM$945                                                                        )
                                                          )
                                              )
                                 )
                        )
             )
   )</f>
        <v>5.      Donde no se indique la marca y/o fabricante de los anclajes, sujeto de aceptación y cumplimiento de los requerimientos del ingeniero calculista, suministrar lo siguiente:</v>
      </c>
      <c r="E945" s="333"/>
      <c r="F945" s="333"/>
      <c r="G945" s="333"/>
      <c r="H945" s="333"/>
      <c r="I945" s="333"/>
      <c r="J945" s="333"/>
      <c r="K945" s="333"/>
      <c r="L945" s="333"/>
      <c r="M945" s="333"/>
      <c r="N945" s="333"/>
      <c r="O945" s="333"/>
      <c r="P945" s="333"/>
      <c r="Q945" s="333"/>
      <c r="R945" s="333"/>
      <c r="S945" s="333"/>
      <c r="T945" s="333"/>
      <c r="U945" s="333"/>
      <c r="V945" s="333"/>
      <c r="W945" s="333"/>
      <c r="X945" s="333"/>
      <c r="Y945" s="333"/>
      <c r="Z945" s="333"/>
      <c r="AA945" s="333"/>
      <c r="AB945" s="333"/>
      <c r="AC945" s="333"/>
      <c r="AD945" s="333"/>
      <c r="AE945" s="333"/>
      <c r="AF945" s="333"/>
      <c r="AG945" s="333"/>
      <c r="AH945" s="333"/>
      <c r="AI945" s="333"/>
      <c r="AJ945" s="333"/>
      <c r="AK945" s="175"/>
      <c r="AM945" s="324" t="s">
        <v>851</v>
      </c>
      <c r="AN945" s="324"/>
      <c r="AO945" s="324"/>
      <c r="AP945" s="324"/>
      <c r="AQ945" s="324"/>
      <c r="AR945" s="324"/>
      <c r="AS945" s="324"/>
      <c r="AT945" s="324"/>
      <c r="AU945" s="324"/>
      <c r="AV945" s="324"/>
      <c r="AW945" s="324"/>
      <c r="AX945" s="324"/>
      <c r="AY945" s="324"/>
      <c r="AZ945" s="324"/>
      <c r="BA945" s="324"/>
      <c r="BB945" s="324"/>
      <c r="BC945" s="324"/>
      <c r="BD945" s="324"/>
      <c r="BE945" s="324"/>
      <c r="BF945" s="324"/>
      <c r="BG945" s="324"/>
      <c r="BH945" s="324"/>
      <c r="BI945" s="324"/>
      <c r="BJ945" s="324"/>
      <c r="BK945" s="324"/>
      <c r="BL945" s="324"/>
      <c r="BM945" s="324"/>
      <c r="BN945" s="324"/>
      <c r="BO945" s="324"/>
      <c r="BP945" s="324"/>
      <c r="BQ945" s="324"/>
      <c r="BR945" s="324"/>
      <c r="BS945" s="324"/>
      <c r="BT945" s="55"/>
      <c r="BU945" s="55"/>
      <c r="BV945" s="173" t="s">
        <v>851</v>
      </c>
      <c r="BW945" s="173"/>
      <c r="BX945" s="173"/>
      <c r="BY945" s="173"/>
      <c r="BZ945" s="173"/>
      <c r="CG945" s="173"/>
      <c r="CH945" s="173"/>
      <c r="CI945" s="173"/>
      <c r="CJ945" s="173"/>
      <c r="CK945" s="55"/>
      <c r="CL945" s="55"/>
      <c r="CM945" s="324" t="s">
        <v>851</v>
      </c>
      <c r="CN945" s="333"/>
      <c r="CO945" s="333"/>
      <c r="CP945" s="333"/>
      <c r="CQ945" s="333"/>
      <c r="CR945" s="333"/>
      <c r="CS945" s="333"/>
      <c r="CT945" s="333"/>
      <c r="CU945" s="333"/>
      <c r="CV945" s="333"/>
      <c r="CW945" s="333"/>
      <c r="CX945" s="333"/>
      <c r="CY945" s="333"/>
      <c r="CZ945" s="333"/>
      <c r="DA945" s="333"/>
      <c r="DB945" s="333"/>
      <c r="DC945" s="333"/>
      <c r="DD945" s="333"/>
      <c r="DE945" s="333"/>
      <c r="DF945" s="333"/>
      <c r="DG945" s="333"/>
      <c r="DH945" s="333"/>
      <c r="DI945" s="333"/>
      <c r="DJ945" s="333"/>
      <c r="DK945" s="333"/>
      <c r="DL945" s="333"/>
      <c r="DM945" s="333"/>
      <c r="DN945" s="333"/>
      <c r="DO945" s="333"/>
      <c r="DP945" s="333"/>
      <c r="DQ945" s="333"/>
      <c r="DR945" s="333"/>
      <c r="DS945" s="333"/>
      <c r="DT945" s="333"/>
      <c r="DU945" s="333"/>
      <c r="DV945" s="333"/>
      <c r="DW945" s="333"/>
      <c r="DX945" s="333"/>
      <c r="DY945" s="333"/>
      <c r="DZ945" s="333"/>
      <c r="EA945" s="333"/>
      <c r="EB945" s="333"/>
      <c r="EC945" s="333"/>
      <c r="ED945" s="333"/>
      <c r="EE945" s="333"/>
      <c r="EH945" s="324" t="s">
        <v>851</v>
      </c>
      <c r="EI945" s="333"/>
      <c r="EJ945" s="333"/>
      <c r="EK945" s="333"/>
      <c r="EL945" s="333"/>
      <c r="EM945" s="333"/>
      <c r="EN945" s="333"/>
      <c r="EO945" s="333"/>
      <c r="EP945" s="333"/>
      <c r="EQ945" s="333"/>
      <c r="ER945" s="333"/>
      <c r="ES945" s="333"/>
      <c r="ET945" s="333"/>
      <c r="EU945" s="333"/>
      <c r="EV945" s="333"/>
      <c r="EW945" s="333"/>
      <c r="EX945" s="333"/>
      <c r="EY945" s="333"/>
      <c r="EZ945" s="333"/>
      <c r="FA945" s="333"/>
      <c r="FB945" s="333"/>
      <c r="FC945" s="333"/>
      <c r="FD945" s="333"/>
      <c r="FE945" s="333"/>
      <c r="FF945" s="333"/>
      <c r="FG945" s="333"/>
      <c r="FH945" s="333"/>
      <c r="FI945" s="333"/>
      <c r="FJ945" s="333"/>
      <c r="FK945" s="333"/>
      <c r="FL945" s="333"/>
      <c r="FM945" s="333"/>
      <c r="FN945" s="333"/>
      <c r="FP945" s="54"/>
      <c r="FQ945" s="324" t="s">
        <v>851</v>
      </c>
      <c r="FR945" s="333"/>
      <c r="FS945" s="333"/>
      <c r="FT945" s="333"/>
      <c r="FU945" s="333"/>
      <c r="FV945" s="333"/>
      <c r="FW945" s="333"/>
      <c r="FX945" s="333"/>
      <c r="FY945" s="333"/>
      <c r="FZ945" s="333"/>
      <c r="GA945" s="333"/>
      <c r="GB945" s="333"/>
      <c r="GC945" s="333"/>
      <c r="GD945" s="333"/>
      <c r="GE945" s="333"/>
      <c r="GF945" s="333"/>
      <c r="GG945" s="333"/>
      <c r="GH945" s="333"/>
      <c r="GI945" s="333"/>
      <c r="GJ945" s="333"/>
      <c r="GK945" s="333"/>
      <c r="GL945" s="333"/>
      <c r="GM945" s="333"/>
      <c r="GN945" s="333"/>
      <c r="GO945" s="333"/>
      <c r="GP945" s="333"/>
      <c r="GQ945" s="333"/>
      <c r="GR945" s="333"/>
      <c r="GS945" s="333"/>
      <c r="GT945" s="333"/>
      <c r="GU945" s="333"/>
      <c r="GV945" s="333"/>
      <c r="GW945" s="333"/>
      <c r="GY945" s="54"/>
      <c r="GZ945" s="324" t="s">
        <v>851</v>
      </c>
      <c r="HA945" s="333"/>
      <c r="HB945" s="333"/>
      <c r="HC945" s="333"/>
      <c r="HD945" s="333"/>
      <c r="HE945" s="333"/>
      <c r="HF945" s="333"/>
      <c r="HG945" s="333"/>
      <c r="HH945" s="333"/>
      <c r="HI945" s="333"/>
      <c r="HJ945" s="333"/>
      <c r="HK945" s="333"/>
      <c r="HL945" s="333"/>
      <c r="HM945" s="333"/>
      <c r="HN945" s="333"/>
      <c r="HO945" s="333"/>
      <c r="HP945" s="333"/>
      <c r="HQ945" s="333"/>
      <c r="HR945" s="333"/>
      <c r="HS945" s="333"/>
      <c r="HT945" s="333"/>
      <c r="HU945" s="333"/>
      <c r="HV945" s="333"/>
      <c r="HW945" s="333"/>
      <c r="HX945" s="333"/>
      <c r="HY945" s="333"/>
      <c r="HZ945" s="333"/>
      <c r="IA945" s="333"/>
      <c r="IB945" s="333"/>
      <c r="IC945" s="333"/>
      <c r="ID945" s="333"/>
      <c r="IE945" s="333"/>
      <c r="IF945" s="333"/>
      <c r="IH945" s="54"/>
      <c r="II945" s="324" t="s">
        <v>851</v>
      </c>
      <c r="IJ945" s="333"/>
      <c r="IK945" s="333"/>
      <c r="IL945" s="333"/>
      <c r="IM945" s="333"/>
      <c r="IN945" s="333"/>
      <c r="IO945" s="333"/>
      <c r="IP945" s="333"/>
      <c r="IQ945" s="333"/>
      <c r="IR945" s="333"/>
      <c r="IS945" s="333"/>
      <c r="IT945" s="333"/>
      <c r="IU945" s="333"/>
      <c r="IV945" s="333"/>
      <c r="IW945" s="333"/>
      <c r="IX945" s="333"/>
      <c r="IY945" s="333"/>
      <c r="IZ945" s="333"/>
      <c r="JA945" s="333"/>
      <c r="JB945" s="333"/>
      <c r="JC945" s="333"/>
      <c r="JD945" s="333"/>
      <c r="JE945" s="333"/>
      <c r="JF945" s="333"/>
      <c r="JG945" s="333"/>
      <c r="JH945" s="333"/>
      <c r="JI945" s="333"/>
      <c r="JJ945" s="333"/>
      <c r="JK945" s="333"/>
      <c r="JL945" s="333"/>
      <c r="JM945" s="333"/>
      <c r="JN945" s="333"/>
      <c r="JO945" s="333"/>
      <c r="JQ945" s="54"/>
      <c r="JR945" s="324" t="s">
        <v>851</v>
      </c>
      <c r="JS945" s="324"/>
      <c r="JT945" s="324"/>
      <c r="JU945" s="324"/>
      <c r="JV945" s="324"/>
      <c r="JW945" s="324"/>
      <c r="JX945" s="324"/>
      <c r="JY945" s="324"/>
      <c r="JZ945" s="324"/>
      <c r="KA945" s="324"/>
      <c r="KB945" s="324"/>
      <c r="KC945" s="324"/>
      <c r="KD945" s="324"/>
      <c r="KE945" s="324"/>
      <c r="KF945" s="324"/>
      <c r="KG945" s="324"/>
      <c r="KH945" s="324"/>
      <c r="KI945" s="324"/>
      <c r="KJ945" s="324"/>
      <c r="KK945" s="324"/>
      <c r="KL945" s="324"/>
      <c r="KM945" s="324"/>
      <c r="KN945" s="324"/>
      <c r="KO945" s="324"/>
      <c r="KP945" s="324"/>
      <c r="KQ945" s="324"/>
      <c r="KR945" s="324"/>
      <c r="KS945" s="324"/>
      <c r="KT945" s="324"/>
      <c r="KU945" s="324"/>
      <c r="KV945" s="324"/>
      <c r="KW945" s="324"/>
      <c r="KX945" s="324"/>
    </row>
    <row r="946" spans="1:310" ht="12.75" x14ac:dyDescent="0.2">
      <c r="A946" s="54"/>
      <c r="B946" s="54"/>
      <c r="C946" s="54"/>
      <c r="D946" s="333"/>
      <c r="E946" s="333"/>
      <c r="F946" s="333"/>
      <c r="G946" s="333"/>
      <c r="H946" s="333"/>
      <c r="I946" s="333"/>
      <c r="J946" s="333"/>
      <c r="K946" s="333"/>
      <c r="L946" s="333"/>
      <c r="M946" s="333"/>
      <c r="N946" s="333"/>
      <c r="O946" s="333"/>
      <c r="P946" s="333"/>
      <c r="Q946" s="333"/>
      <c r="R946" s="333"/>
      <c r="S946" s="333"/>
      <c r="T946" s="333"/>
      <c r="U946" s="333"/>
      <c r="V946" s="333"/>
      <c r="W946" s="333"/>
      <c r="X946" s="333"/>
      <c r="Y946" s="333"/>
      <c r="Z946" s="333"/>
      <c r="AA946" s="333"/>
      <c r="AB946" s="333"/>
      <c r="AC946" s="333"/>
      <c r="AD946" s="333"/>
      <c r="AE946" s="333"/>
      <c r="AF946" s="333"/>
      <c r="AG946" s="333"/>
      <c r="AH946" s="333"/>
      <c r="AI946" s="333"/>
      <c r="AJ946" s="333"/>
      <c r="AK946" s="175"/>
      <c r="AM946" s="324"/>
      <c r="AN946" s="324"/>
      <c r="AO946" s="324"/>
      <c r="AP946" s="324"/>
      <c r="AQ946" s="324"/>
      <c r="AR946" s="324"/>
      <c r="AS946" s="324"/>
      <c r="AT946" s="324"/>
      <c r="AU946" s="324"/>
      <c r="AV946" s="324"/>
      <c r="AW946" s="324"/>
      <c r="AX946" s="324"/>
      <c r="AY946" s="324"/>
      <c r="AZ946" s="324"/>
      <c r="BA946" s="324"/>
      <c r="BB946" s="324"/>
      <c r="BC946" s="324"/>
      <c r="BD946" s="324"/>
      <c r="BE946" s="324"/>
      <c r="BF946" s="324"/>
      <c r="BG946" s="324"/>
      <c r="BH946" s="324"/>
      <c r="BI946" s="324"/>
      <c r="BJ946" s="324"/>
      <c r="BK946" s="324"/>
      <c r="BL946" s="324"/>
      <c r="BM946" s="324"/>
      <c r="BN946" s="324"/>
      <c r="BO946" s="324"/>
      <c r="BP946" s="324"/>
      <c r="BQ946" s="324"/>
      <c r="BR946" s="324"/>
      <c r="BS946" s="324"/>
      <c r="BT946" s="55"/>
      <c r="BU946" s="55"/>
      <c r="BV946" s="173"/>
      <c r="BW946" s="173"/>
      <c r="BX946" s="173"/>
      <c r="BY946" s="173"/>
      <c r="BZ946" s="173"/>
      <c r="CA946" s="173"/>
      <c r="CB946" s="173"/>
      <c r="CC946" s="173"/>
      <c r="CD946" s="173"/>
      <c r="CE946" s="173"/>
      <c r="CF946" s="173"/>
      <c r="CG946" s="173"/>
      <c r="CH946" s="173"/>
      <c r="CI946" s="173"/>
      <c r="CJ946" s="173"/>
      <c r="CK946" s="55"/>
      <c r="CL946" s="55"/>
      <c r="CM946" s="333"/>
      <c r="CN946" s="333"/>
      <c r="CO946" s="333"/>
      <c r="CP946" s="333"/>
      <c r="CQ946" s="333"/>
      <c r="CR946" s="333"/>
      <c r="CS946" s="333"/>
      <c r="CT946" s="333"/>
      <c r="CU946" s="333"/>
      <c r="CV946" s="333"/>
      <c r="CW946" s="333"/>
      <c r="CX946" s="333"/>
      <c r="CY946" s="333"/>
      <c r="CZ946" s="333"/>
      <c r="DA946" s="333"/>
      <c r="DB946" s="333"/>
      <c r="DC946" s="333"/>
      <c r="DD946" s="333"/>
      <c r="DE946" s="333"/>
      <c r="DF946" s="333"/>
      <c r="DG946" s="333"/>
      <c r="DH946" s="333"/>
      <c r="DI946" s="333"/>
      <c r="DJ946" s="333"/>
      <c r="DK946" s="333"/>
      <c r="DL946" s="333"/>
      <c r="DM946" s="333"/>
      <c r="DN946" s="333"/>
      <c r="DO946" s="333"/>
      <c r="DP946" s="333"/>
      <c r="DQ946" s="333"/>
      <c r="DR946" s="333"/>
      <c r="DS946" s="333"/>
      <c r="DT946" s="333"/>
      <c r="DU946" s="333"/>
      <c r="DV946" s="333"/>
      <c r="DW946" s="333"/>
      <c r="DX946" s="333"/>
      <c r="DY946" s="333"/>
      <c r="DZ946" s="333"/>
      <c r="EA946" s="333"/>
      <c r="EB946" s="333"/>
      <c r="EC946" s="333"/>
      <c r="ED946" s="333"/>
      <c r="EE946" s="333"/>
      <c r="EH946" s="333"/>
      <c r="EI946" s="333"/>
      <c r="EJ946" s="333"/>
      <c r="EK946" s="333"/>
      <c r="EL946" s="333"/>
      <c r="EM946" s="333"/>
      <c r="EN946" s="333"/>
      <c r="EO946" s="333"/>
      <c r="EP946" s="333"/>
      <c r="EQ946" s="333"/>
      <c r="ER946" s="333"/>
      <c r="ES946" s="333"/>
      <c r="ET946" s="333"/>
      <c r="EU946" s="333"/>
      <c r="EV946" s="333"/>
      <c r="EW946" s="333"/>
      <c r="EX946" s="333"/>
      <c r="EY946" s="333"/>
      <c r="EZ946" s="333"/>
      <c r="FA946" s="333"/>
      <c r="FB946" s="333"/>
      <c r="FC946" s="333"/>
      <c r="FD946" s="333"/>
      <c r="FE946" s="333"/>
      <c r="FF946" s="333"/>
      <c r="FG946" s="333"/>
      <c r="FH946" s="333"/>
      <c r="FI946" s="333"/>
      <c r="FJ946" s="333"/>
      <c r="FK946" s="333"/>
      <c r="FL946" s="333"/>
      <c r="FM946" s="333"/>
      <c r="FN946" s="333"/>
      <c r="FP946" s="54"/>
      <c r="FQ946" s="333"/>
      <c r="FR946" s="333"/>
      <c r="FS946" s="333"/>
      <c r="FT946" s="333"/>
      <c r="FU946" s="333"/>
      <c r="FV946" s="333"/>
      <c r="FW946" s="333"/>
      <c r="FX946" s="333"/>
      <c r="FY946" s="333"/>
      <c r="FZ946" s="333"/>
      <c r="GA946" s="333"/>
      <c r="GB946" s="333"/>
      <c r="GC946" s="333"/>
      <c r="GD946" s="333"/>
      <c r="GE946" s="333"/>
      <c r="GF946" s="333"/>
      <c r="GG946" s="333"/>
      <c r="GH946" s="333"/>
      <c r="GI946" s="333"/>
      <c r="GJ946" s="333"/>
      <c r="GK946" s="333"/>
      <c r="GL946" s="333"/>
      <c r="GM946" s="333"/>
      <c r="GN946" s="333"/>
      <c r="GO946" s="333"/>
      <c r="GP946" s="333"/>
      <c r="GQ946" s="333"/>
      <c r="GR946" s="333"/>
      <c r="GS946" s="333"/>
      <c r="GT946" s="333"/>
      <c r="GU946" s="333"/>
      <c r="GV946" s="333"/>
      <c r="GW946" s="333"/>
      <c r="GY946" s="54"/>
      <c r="GZ946" s="333"/>
      <c r="HA946" s="333"/>
      <c r="HB946" s="333"/>
      <c r="HC946" s="333"/>
      <c r="HD946" s="333"/>
      <c r="HE946" s="333"/>
      <c r="HF946" s="333"/>
      <c r="HG946" s="333"/>
      <c r="HH946" s="333"/>
      <c r="HI946" s="333"/>
      <c r="HJ946" s="333"/>
      <c r="HK946" s="333"/>
      <c r="HL946" s="333"/>
      <c r="HM946" s="333"/>
      <c r="HN946" s="333"/>
      <c r="HO946" s="333"/>
      <c r="HP946" s="333"/>
      <c r="HQ946" s="333"/>
      <c r="HR946" s="333"/>
      <c r="HS946" s="333"/>
      <c r="HT946" s="333"/>
      <c r="HU946" s="333"/>
      <c r="HV946" s="333"/>
      <c r="HW946" s="333"/>
      <c r="HX946" s="333"/>
      <c r="HY946" s="333"/>
      <c r="HZ946" s="333"/>
      <c r="IA946" s="333"/>
      <c r="IB946" s="333"/>
      <c r="IC946" s="333"/>
      <c r="ID946" s="333"/>
      <c r="IE946" s="333"/>
      <c r="IF946" s="333"/>
      <c r="IH946" s="54"/>
      <c r="II946" s="333"/>
      <c r="IJ946" s="333"/>
      <c r="IK946" s="333"/>
      <c r="IL946" s="333"/>
      <c r="IM946" s="333"/>
      <c r="IN946" s="333"/>
      <c r="IO946" s="333"/>
      <c r="IP946" s="333"/>
      <c r="IQ946" s="333"/>
      <c r="IR946" s="333"/>
      <c r="IS946" s="333"/>
      <c r="IT946" s="333"/>
      <c r="IU946" s="333"/>
      <c r="IV946" s="333"/>
      <c r="IW946" s="333"/>
      <c r="IX946" s="333"/>
      <c r="IY946" s="333"/>
      <c r="IZ946" s="333"/>
      <c r="JA946" s="333"/>
      <c r="JB946" s="333"/>
      <c r="JC946" s="333"/>
      <c r="JD946" s="333"/>
      <c r="JE946" s="333"/>
      <c r="JF946" s="333"/>
      <c r="JG946" s="333"/>
      <c r="JH946" s="333"/>
      <c r="JI946" s="333"/>
      <c r="JJ946" s="333"/>
      <c r="JK946" s="333"/>
      <c r="JL946" s="333"/>
      <c r="JM946" s="333"/>
      <c r="JN946" s="333"/>
      <c r="JO946" s="333"/>
      <c r="JQ946" s="54"/>
      <c r="JR946" s="324"/>
      <c r="JS946" s="324"/>
      <c r="JT946" s="324"/>
      <c r="JU946" s="324"/>
      <c r="JV946" s="324"/>
      <c r="JW946" s="324"/>
      <c r="JX946" s="324"/>
      <c r="JY946" s="324"/>
      <c r="JZ946" s="324"/>
      <c r="KA946" s="324"/>
      <c r="KB946" s="324"/>
      <c r="KC946" s="324"/>
      <c r="KD946" s="324"/>
      <c r="KE946" s="324"/>
      <c r="KF946" s="324"/>
      <c r="KG946" s="324"/>
      <c r="KH946" s="324"/>
      <c r="KI946" s="324"/>
      <c r="KJ946" s="324"/>
      <c r="KK946" s="324"/>
      <c r="KL946" s="324"/>
      <c r="KM946" s="324"/>
      <c r="KN946" s="324"/>
      <c r="KO946" s="324"/>
      <c r="KP946" s="324"/>
      <c r="KQ946" s="324"/>
      <c r="KR946" s="324"/>
      <c r="KS946" s="324"/>
      <c r="KT946" s="324"/>
      <c r="KU946" s="324"/>
      <c r="KV946" s="324"/>
      <c r="KW946" s="324"/>
      <c r="KX946" s="324"/>
    </row>
    <row r="947" spans="1:310" ht="12.75" x14ac:dyDescent="0.2">
      <c r="A947" s="54"/>
      <c r="B947" s="54"/>
      <c r="C947" s="54"/>
      <c r="D947" s="81"/>
      <c r="E947" s="81"/>
      <c r="F947" s="81"/>
      <c r="G947" s="81"/>
      <c r="H947" s="81"/>
      <c r="I947" s="81"/>
      <c r="J947" s="81"/>
      <c r="K947" s="81"/>
      <c r="L947" s="81"/>
      <c r="M947" s="81"/>
      <c r="N947" s="81"/>
      <c r="O947" s="81"/>
      <c r="P947" s="81"/>
      <c r="Q947" s="81"/>
      <c r="R947" s="81"/>
      <c r="S947" s="81"/>
      <c r="T947" s="81"/>
      <c r="U947" s="81"/>
      <c r="V947" s="81"/>
      <c r="W947" s="81"/>
      <c r="X947" s="81"/>
      <c r="Y947" s="81"/>
      <c r="Z947" s="81"/>
      <c r="AA947" s="81"/>
      <c r="AB947" s="81"/>
      <c r="AC947" s="81"/>
      <c r="AD947" s="81"/>
      <c r="AE947" s="81"/>
      <c r="AF947" s="81"/>
      <c r="AG947" s="81"/>
      <c r="AH947" s="81"/>
      <c r="AI947" s="81"/>
      <c r="AJ947" s="91"/>
      <c r="AK947" s="182"/>
      <c r="AY947" s="55"/>
      <c r="AZ947" s="55"/>
      <c r="BA947" s="55"/>
      <c r="BB947" s="55"/>
      <c r="BC947" s="55"/>
      <c r="BD947" s="55"/>
      <c r="BE947" s="55"/>
      <c r="BF947" s="55"/>
      <c r="BG947" s="55"/>
      <c r="BH947" s="55"/>
      <c r="BI947" s="55"/>
      <c r="BJ947" s="55"/>
      <c r="BK947" s="55"/>
      <c r="BL947" s="55"/>
      <c r="BM947" s="55"/>
      <c r="BN947" s="55"/>
      <c r="BO947" s="55"/>
      <c r="BP947" s="55"/>
      <c r="BQ947" s="55"/>
      <c r="BR947" s="55"/>
      <c r="BS947" s="55"/>
      <c r="BT947" s="55"/>
      <c r="BU947" s="55"/>
      <c r="BV947" s="55"/>
      <c r="BW947" s="55"/>
      <c r="BX947" s="55"/>
      <c r="BY947" s="55"/>
      <c r="BZ947" s="55"/>
      <c r="CA947" s="173"/>
      <c r="CB947" s="173"/>
      <c r="CC947" s="173"/>
      <c r="CD947" s="173"/>
      <c r="CE947" s="173"/>
      <c r="CF947" s="173"/>
      <c r="CI947" s="55"/>
      <c r="CJ947" s="55"/>
      <c r="CK947" s="55"/>
      <c r="CL947" s="55"/>
      <c r="CM947" s="55"/>
      <c r="CN947" s="55"/>
      <c r="CO947" s="55"/>
      <c r="CP947" s="55"/>
      <c r="CQ947" s="55"/>
      <c r="DJ947" s="55"/>
      <c r="DK947" s="55"/>
      <c r="DL947" s="55"/>
      <c r="DM947" s="55"/>
      <c r="DN947" s="55"/>
      <c r="DO947" s="55"/>
      <c r="DP947" s="55"/>
      <c r="DQ947" s="55"/>
      <c r="DR947" s="55"/>
      <c r="DS947" s="55"/>
      <c r="DT947" s="55"/>
      <c r="DU947" s="55"/>
      <c r="DV947" s="55"/>
      <c r="FP947" s="54"/>
      <c r="FQ947" s="54"/>
      <c r="FR947" s="175"/>
      <c r="FS947" s="175"/>
      <c r="FT947" s="175"/>
      <c r="FU947" s="175"/>
      <c r="FV947" s="175"/>
      <c r="FW947" s="175"/>
      <c r="FX947" s="175"/>
      <c r="FY947" s="175"/>
      <c r="FZ947" s="175"/>
      <c r="GA947" s="175"/>
      <c r="GB947" s="175"/>
      <c r="GC947" s="175"/>
      <c r="GD947" s="175"/>
      <c r="GE947" s="175"/>
      <c r="GF947" s="175"/>
      <c r="GG947" s="175"/>
      <c r="GH947" s="175"/>
      <c r="GI947" s="175"/>
      <c r="GJ947" s="175"/>
      <c r="GK947" s="175"/>
      <c r="GL947" s="175"/>
      <c r="GM947" s="175"/>
      <c r="GN947" s="175"/>
      <c r="GO947" s="175"/>
      <c r="GP947" s="175"/>
      <c r="GQ947" s="175"/>
      <c r="GR947" s="175"/>
      <c r="GS947" s="175"/>
      <c r="GT947" s="175"/>
      <c r="GU947" s="175"/>
      <c r="GV947" s="175"/>
      <c r="GW947" s="175"/>
      <c r="GY947" s="54"/>
      <c r="IH947" s="54"/>
      <c r="II947" s="175"/>
      <c r="IJ947" s="175"/>
      <c r="IK947" s="175"/>
      <c r="IL947" s="175"/>
      <c r="IM947" s="175"/>
      <c r="IN947" s="175"/>
      <c r="IO947" s="175"/>
      <c r="IP947" s="175"/>
      <c r="IQ947" s="175"/>
      <c r="IR947" s="175"/>
      <c r="IS947" s="175"/>
      <c r="IT947" s="175"/>
      <c r="IU947" s="175"/>
      <c r="IV947" s="175"/>
      <c r="IW947" s="175"/>
      <c r="IX947" s="175"/>
      <c r="IY947" s="175"/>
      <c r="IZ947" s="175"/>
      <c r="JA947" s="175"/>
      <c r="JB947" s="175"/>
      <c r="JC947" s="175"/>
      <c r="JD947" s="175"/>
      <c r="JE947" s="175"/>
      <c r="JF947" s="175"/>
      <c r="JG947" s="175"/>
      <c r="JH947" s="175"/>
      <c r="JI947" s="175"/>
      <c r="JJ947" s="175"/>
      <c r="JK947" s="175"/>
      <c r="JL947" s="175"/>
      <c r="JM947" s="175"/>
      <c r="JN947" s="175"/>
      <c r="JO947" s="175"/>
      <c r="JQ947" s="54"/>
      <c r="JR947" s="175"/>
      <c r="JS947" s="175"/>
      <c r="JT947" s="175"/>
      <c r="JU947" s="175"/>
      <c r="JV947" s="175"/>
      <c r="JW947" s="175"/>
      <c r="JX947" s="175"/>
      <c r="JY947" s="175"/>
      <c r="JZ947" s="175"/>
      <c r="KA947" s="175"/>
      <c r="KB947" s="175"/>
      <c r="KC947" s="175"/>
      <c r="KD947" s="175"/>
      <c r="KE947" s="175"/>
      <c r="KF947" s="175"/>
      <c r="KG947" s="175"/>
      <c r="KH947" s="175"/>
      <c r="KI947" s="175"/>
      <c r="KJ947" s="175"/>
      <c r="KK947" s="175"/>
      <c r="KL947" s="175"/>
      <c r="KM947" s="175"/>
      <c r="KN947" s="175"/>
      <c r="KO947" s="175"/>
      <c r="KP947" s="175"/>
      <c r="KQ947" s="175"/>
      <c r="KR947" s="175"/>
      <c r="KS947" s="175"/>
      <c r="KT947" s="175"/>
      <c r="KU947" s="175"/>
      <c r="KV947" s="175"/>
      <c r="KW947" s="175"/>
      <c r="KX947" s="175"/>
    </row>
    <row r="948" spans="1:310" ht="12.75" customHeight="1" x14ac:dyDescent="0.2">
      <c r="A948" s="54"/>
      <c r="B948" s="54"/>
      <c r="C948" s="54"/>
      <c r="D948" s="54"/>
      <c r="E948" s="324" t="str">
        <f>IF( $O$61="Embebido",$BW$948,
          IF( OR($O$64 ="Hilti HIT-RE 500-SD",$O$64 ="Hilti HIT-HY 200-R",$O$64 ="Hilti HIT-MM Plus",$O$64 ="Inyectable"),$IJ$948,
                    IF( OR($O$64 ="Hilti HDA",$O$64 ="Sobre-excavado"),$HA$948,
                            IF( OR($O$64 ="Hilti HSL-3",$O$64 ="Expansivo de camisa"),$FR$948,
                                         IF( OR($O$64 ="Hilti KH-EZ",$O$64 ="Hilti KH",$O$64 ="Hilti KH-EZ-I",$O$64 ="Hilti KH-I",$O$64 ="Atornillado"),$EI$948,
                                                      IF( OR( $O$64 ="Hilti HKB3",$O$64 ="Expansivo de cuña"),$CN$948,
                                                                    IF( OR($O$64 ="Hilti HVA",$O$64 ="Capsula"),$JS$948,
                                                                                  $AN$948                                                                        )
                                                          )
                                              )
                                 )
                        )
             )
   )</f>
        <v>a.      Varillas de anclaje Hilti HIT-Z con el sistema HIT-HY 200 SafeSet™ para anclaje a concreto, según certificación ICC ESR-3187.</v>
      </c>
      <c r="F948" s="324"/>
      <c r="G948" s="324"/>
      <c r="H948" s="324"/>
      <c r="I948" s="324"/>
      <c r="J948" s="324"/>
      <c r="K948" s="324"/>
      <c r="L948" s="324"/>
      <c r="M948" s="324"/>
      <c r="N948" s="324"/>
      <c r="O948" s="324"/>
      <c r="P948" s="324"/>
      <c r="Q948" s="324"/>
      <c r="R948" s="324"/>
      <c r="S948" s="324"/>
      <c r="T948" s="324"/>
      <c r="U948" s="324"/>
      <c r="V948" s="324"/>
      <c r="W948" s="324"/>
      <c r="X948" s="324"/>
      <c r="Y948" s="324"/>
      <c r="Z948" s="324"/>
      <c r="AA948" s="324"/>
      <c r="AB948" s="324"/>
      <c r="AC948" s="324"/>
      <c r="AD948" s="324"/>
      <c r="AE948" s="324"/>
      <c r="AF948" s="324"/>
      <c r="AG948" s="324"/>
      <c r="AH948" s="324"/>
      <c r="AI948" s="324"/>
      <c r="AJ948" s="324"/>
      <c r="AK948" s="173"/>
      <c r="AN948" s="324" t="s">
        <v>345</v>
      </c>
      <c r="AO948" s="324"/>
      <c r="AP948" s="324"/>
      <c r="AQ948" s="324"/>
      <c r="AR948" s="324"/>
      <c r="AS948" s="324"/>
      <c r="AT948" s="324"/>
      <c r="AU948" s="324"/>
      <c r="AV948" s="324"/>
      <c r="AW948" s="324"/>
      <c r="AX948" s="324"/>
      <c r="AY948" s="324"/>
      <c r="AZ948" s="324"/>
      <c r="BA948" s="324"/>
      <c r="BB948" s="324"/>
      <c r="BC948" s="324"/>
      <c r="BD948" s="324"/>
      <c r="BE948" s="324"/>
      <c r="BF948" s="324"/>
      <c r="BG948" s="324"/>
      <c r="BH948" s="324"/>
      <c r="BI948" s="324"/>
      <c r="BJ948" s="324"/>
      <c r="BK948" s="324"/>
      <c r="BL948" s="324"/>
      <c r="BM948" s="324"/>
      <c r="BN948" s="324"/>
      <c r="BO948" s="324"/>
      <c r="BP948" s="324"/>
      <c r="BQ948" s="324"/>
      <c r="BR948" s="324"/>
      <c r="BS948" s="324"/>
      <c r="BT948" s="55"/>
      <c r="BU948" s="55"/>
      <c r="BV948" s="55"/>
      <c r="BW948" s="173" t="s">
        <v>345</v>
      </c>
      <c r="BX948" s="173"/>
      <c r="BY948" s="173"/>
      <c r="BZ948" s="173"/>
      <c r="CG948" s="173"/>
      <c r="CH948" s="173"/>
      <c r="CI948" s="173"/>
      <c r="CJ948" s="173"/>
      <c r="CK948" s="55"/>
      <c r="CL948" s="55"/>
      <c r="CM948" s="55"/>
      <c r="CN948" s="324" t="s">
        <v>345</v>
      </c>
      <c r="CO948" s="324"/>
      <c r="CP948" s="324"/>
      <c r="CQ948" s="324"/>
      <c r="CR948" s="324"/>
      <c r="CS948" s="324"/>
      <c r="CT948" s="324"/>
      <c r="CU948" s="324"/>
      <c r="CV948" s="324"/>
      <c r="CW948" s="324"/>
      <c r="CX948" s="324"/>
      <c r="CY948" s="324"/>
      <c r="CZ948" s="324"/>
      <c r="DA948" s="324"/>
      <c r="DB948" s="324"/>
      <c r="DC948" s="324"/>
      <c r="DD948" s="324"/>
      <c r="DE948" s="324"/>
      <c r="DF948" s="324"/>
      <c r="DG948" s="324"/>
      <c r="DH948" s="324"/>
      <c r="DI948" s="324"/>
      <c r="DJ948" s="324"/>
      <c r="DK948" s="324"/>
      <c r="DL948" s="324"/>
      <c r="DM948" s="324"/>
      <c r="DN948" s="324"/>
      <c r="DO948" s="324"/>
      <c r="DP948" s="324"/>
      <c r="DQ948" s="324"/>
      <c r="DR948" s="324"/>
      <c r="DS948" s="324"/>
      <c r="DT948" s="324"/>
      <c r="DU948" s="324"/>
      <c r="DV948" s="324"/>
      <c r="DW948" s="324"/>
      <c r="DX948" s="324"/>
      <c r="DY948" s="324"/>
      <c r="DZ948" s="324"/>
      <c r="EA948" s="324"/>
      <c r="EB948" s="324"/>
      <c r="EC948" s="324"/>
      <c r="ED948" s="324"/>
      <c r="EE948" s="324"/>
      <c r="EI948" s="324" t="s">
        <v>346</v>
      </c>
      <c r="EJ948" s="324"/>
      <c r="EK948" s="324"/>
      <c r="EL948" s="324"/>
      <c r="EM948" s="324"/>
      <c r="EN948" s="324"/>
      <c r="EO948" s="324"/>
      <c r="EP948" s="324"/>
      <c r="EQ948" s="324"/>
      <c r="ER948" s="324"/>
      <c r="ES948" s="324"/>
      <c r="ET948" s="324"/>
      <c r="EU948" s="324"/>
      <c r="EV948" s="324"/>
      <c r="EW948" s="324"/>
      <c r="EX948" s="324"/>
      <c r="EY948" s="324"/>
      <c r="EZ948" s="324"/>
      <c r="FA948" s="324"/>
      <c r="FB948" s="324"/>
      <c r="FC948" s="324"/>
      <c r="FD948" s="324"/>
      <c r="FE948" s="324"/>
      <c r="FF948" s="324"/>
      <c r="FG948" s="324"/>
      <c r="FH948" s="324"/>
      <c r="FI948" s="324"/>
      <c r="FJ948" s="324"/>
      <c r="FK948" s="324"/>
      <c r="FL948" s="324"/>
      <c r="FM948" s="324"/>
      <c r="FN948" s="324"/>
      <c r="FR948" s="324" t="s">
        <v>607</v>
      </c>
      <c r="FS948" s="324"/>
      <c r="FT948" s="324"/>
      <c r="FU948" s="324"/>
      <c r="FV948" s="324"/>
      <c r="FW948" s="324"/>
      <c r="FX948" s="324"/>
      <c r="FY948" s="324"/>
      <c r="FZ948" s="324"/>
      <c r="GA948" s="324"/>
      <c r="GB948" s="324"/>
      <c r="GC948" s="324"/>
      <c r="GD948" s="324"/>
      <c r="GE948" s="324"/>
      <c r="GF948" s="324"/>
      <c r="GG948" s="324"/>
      <c r="GH948" s="324"/>
      <c r="GI948" s="324"/>
      <c r="GJ948" s="324"/>
      <c r="GK948" s="324"/>
      <c r="GL948" s="324"/>
      <c r="GM948" s="324"/>
      <c r="GN948" s="324"/>
      <c r="GO948" s="324"/>
      <c r="GP948" s="324"/>
      <c r="GQ948" s="324"/>
      <c r="GR948" s="324"/>
      <c r="GS948" s="324"/>
      <c r="GT948" s="324"/>
      <c r="GU948" s="324"/>
      <c r="GV948" s="324"/>
      <c r="GW948" s="324"/>
      <c r="GY948" s="54"/>
      <c r="HA948" s="324" t="s">
        <v>349</v>
      </c>
      <c r="HB948" s="324"/>
      <c r="HC948" s="324"/>
      <c r="HD948" s="324"/>
      <c r="HE948" s="324"/>
      <c r="HF948" s="324"/>
      <c r="HG948" s="324"/>
      <c r="HH948" s="324"/>
      <c r="HI948" s="324"/>
      <c r="HJ948" s="324"/>
      <c r="HK948" s="324"/>
      <c r="HL948" s="324"/>
      <c r="HM948" s="324"/>
      <c r="HN948" s="324"/>
      <c r="HO948" s="324"/>
      <c r="HP948" s="324"/>
      <c r="HQ948" s="324"/>
      <c r="HR948" s="324"/>
      <c r="HS948" s="324"/>
      <c r="HT948" s="324"/>
      <c r="HU948" s="324"/>
      <c r="HV948" s="324"/>
      <c r="HW948" s="324"/>
      <c r="HX948" s="324"/>
      <c r="HY948" s="324"/>
      <c r="HZ948" s="324"/>
      <c r="IA948" s="324"/>
      <c r="IB948" s="324"/>
      <c r="IC948" s="324"/>
      <c r="ID948" s="324"/>
      <c r="IE948" s="324"/>
      <c r="IF948" s="324"/>
      <c r="IH948" s="54"/>
      <c r="II948" s="54"/>
      <c r="IJ948" s="324" t="s">
        <v>340</v>
      </c>
      <c r="IK948" s="324"/>
      <c r="IL948" s="324"/>
      <c r="IM948" s="324"/>
      <c r="IN948" s="324"/>
      <c r="IO948" s="324"/>
      <c r="IP948" s="324"/>
      <c r="IQ948" s="324"/>
      <c r="IR948" s="324"/>
      <c r="IS948" s="324"/>
      <c r="IT948" s="324"/>
      <c r="IU948" s="324"/>
      <c r="IV948" s="324"/>
      <c r="IW948" s="324"/>
      <c r="IX948" s="324"/>
      <c r="IY948" s="324"/>
      <c r="IZ948" s="324"/>
      <c r="JA948" s="324"/>
      <c r="JB948" s="324"/>
      <c r="JC948" s="324"/>
      <c r="JD948" s="324"/>
      <c r="JE948" s="324"/>
      <c r="JF948" s="324"/>
      <c r="JG948" s="324"/>
      <c r="JH948" s="324"/>
      <c r="JI948" s="324"/>
      <c r="JJ948" s="324"/>
      <c r="JK948" s="324"/>
      <c r="JL948" s="324"/>
      <c r="JM948" s="324"/>
      <c r="JN948" s="324"/>
      <c r="JO948" s="324"/>
      <c r="JQ948" s="54"/>
      <c r="JR948" s="54"/>
      <c r="JS948" s="324" t="s">
        <v>350</v>
      </c>
      <c r="JT948" s="324"/>
      <c r="JU948" s="324"/>
      <c r="JV948" s="324"/>
      <c r="JW948" s="324"/>
      <c r="JX948" s="324"/>
      <c r="JY948" s="324"/>
      <c r="JZ948" s="324"/>
      <c r="KA948" s="324"/>
      <c r="KB948" s="324"/>
      <c r="KC948" s="324"/>
      <c r="KD948" s="324"/>
      <c r="KE948" s="324"/>
      <c r="KF948" s="324"/>
      <c r="KG948" s="324"/>
      <c r="KH948" s="324"/>
      <c r="KI948" s="324"/>
      <c r="KJ948" s="324"/>
      <c r="KK948" s="324"/>
      <c r="KL948" s="324"/>
      <c r="KM948" s="324"/>
      <c r="KN948" s="324"/>
      <c r="KO948" s="324"/>
      <c r="KP948" s="324"/>
      <c r="KQ948" s="324"/>
      <c r="KR948" s="324"/>
      <c r="KS948" s="324"/>
      <c r="KT948" s="324"/>
      <c r="KU948" s="324"/>
      <c r="KV948" s="324"/>
      <c r="KW948" s="324"/>
      <c r="KX948" s="324"/>
    </row>
    <row r="949" spans="1:310" ht="12.75" x14ac:dyDescent="0.2">
      <c r="A949" s="54"/>
      <c r="B949" s="54"/>
      <c r="C949" s="54"/>
      <c r="D949" s="54"/>
      <c r="E949" s="324"/>
      <c r="F949" s="324"/>
      <c r="G949" s="324"/>
      <c r="H949" s="324"/>
      <c r="I949" s="324"/>
      <c r="J949" s="324"/>
      <c r="K949" s="324"/>
      <c r="L949" s="324"/>
      <c r="M949" s="324"/>
      <c r="N949" s="324"/>
      <c r="O949" s="324"/>
      <c r="P949" s="324"/>
      <c r="Q949" s="324"/>
      <c r="R949" s="324"/>
      <c r="S949" s="324"/>
      <c r="T949" s="324"/>
      <c r="U949" s="324"/>
      <c r="V949" s="324"/>
      <c r="W949" s="324"/>
      <c r="X949" s="324"/>
      <c r="Y949" s="324"/>
      <c r="Z949" s="324"/>
      <c r="AA949" s="324"/>
      <c r="AB949" s="324"/>
      <c r="AC949" s="324"/>
      <c r="AD949" s="324"/>
      <c r="AE949" s="324"/>
      <c r="AF949" s="324"/>
      <c r="AG949" s="324"/>
      <c r="AH949" s="324"/>
      <c r="AI949" s="324"/>
      <c r="AJ949" s="324"/>
      <c r="AK949" s="173"/>
      <c r="AN949" s="324"/>
      <c r="AO949" s="324"/>
      <c r="AP949" s="324"/>
      <c r="AQ949" s="324"/>
      <c r="AR949" s="324"/>
      <c r="AS949" s="324"/>
      <c r="AT949" s="324"/>
      <c r="AU949" s="324"/>
      <c r="AV949" s="324"/>
      <c r="AW949" s="324"/>
      <c r="AX949" s="324"/>
      <c r="AY949" s="324"/>
      <c r="AZ949" s="324"/>
      <c r="BA949" s="324"/>
      <c r="BB949" s="324"/>
      <c r="BC949" s="324"/>
      <c r="BD949" s="324"/>
      <c r="BE949" s="324"/>
      <c r="BF949" s="324"/>
      <c r="BG949" s="324"/>
      <c r="BH949" s="324"/>
      <c r="BI949" s="324"/>
      <c r="BJ949" s="324"/>
      <c r="BK949" s="324"/>
      <c r="BL949" s="324"/>
      <c r="BM949" s="324"/>
      <c r="BN949" s="324"/>
      <c r="BO949" s="324"/>
      <c r="BP949" s="324"/>
      <c r="BQ949" s="324"/>
      <c r="BR949" s="324"/>
      <c r="BS949" s="324"/>
      <c r="BT949" s="55"/>
      <c r="BU949" s="55"/>
      <c r="BV949" s="55"/>
      <c r="BW949" s="173"/>
      <c r="BX949" s="173"/>
      <c r="BY949" s="173"/>
      <c r="BZ949" s="173"/>
      <c r="CA949" s="173"/>
      <c r="CB949" s="173"/>
      <c r="CC949" s="173"/>
      <c r="CD949" s="173"/>
      <c r="CE949" s="173"/>
      <c r="CF949" s="173"/>
      <c r="CG949" s="173"/>
      <c r="CH949" s="173"/>
      <c r="CI949" s="173"/>
      <c r="CJ949" s="173"/>
      <c r="CK949" s="55"/>
      <c r="CL949" s="55"/>
      <c r="CM949" s="55"/>
      <c r="CN949" s="324"/>
      <c r="CO949" s="324"/>
      <c r="CP949" s="324"/>
      <c r="CQ949" s="324"/>
      <c r="CR949" s="324"/>
      <c r="CS949" s="324"/>
      <c r="CT949" s="324"/>
      <c r="CU949" s="324"/>
      <c r="CV949" s="324"/>
      <c r="CW949" s="324"/>
      <c r="CX949" s="324"/>
      <c r="CY949" s="324"/>
      <c r="CZ949" s="324"/>
      <c r="DA949" s="324"/>
      <c r="DB949" s="324"/>
      <c r="DC949" s="324"/>
      <c r="DD949" s="324"/>
      <c r="DE949" s="324"/>
      <c r="DF949" s="324"/>
      <c r="DG949" s="324"/>
      <c r="DH949" s="324"/>
      <c r="DI949" s="324"/>
      <c r="DJ949" s="324"/>
      <c r="DK949" s="324"/>
      <c r="DL949" s="324"/>
      <c r="DM949" s="324"/>
      <c r="DN949" s="324"/>
      <c r="DO949" s="324"/>
      <c r="DP949" s="324"/>
      <c r="DQ949" s="324"/>
      <c r="DR949" s="324"/>
      <c r="DS949" s="324"/>
      <c r="DT949" s="324"/>
      <c r="DU949" s="324"/>
      <c r="DV949" s="324"/>
      <c r="DW949" s="324"/>
      <c r="DX949" s="324"/>
      <c r="DY949" s="324"/>
      <c r="DZ949" s="324"/>
      <c r="EA949" s="324"/>
      <c r="EB949" s="324"/>
      <c r="EC949" s="324"/>
      <c r="ED949" s="324"/>
      <c r="EE949" s="324"/>
      <c r="EI949" s="324"/>
      <c r="EJ949" s="324"/>
      <c r="EK949" s="324"/>
      <c r="EL949" s="324"/>
      <c r="EM949" s="324"/>
      <c r="EN949" s="324"/>
      <c r="EO949" s="324"/>
      <c r="EP949" s="324"/>
      <c r="EQ949" s="324"/>
      <c r="ER949" s="324"/>
      <c r="ES949" s="324"/>
      <c r="ET949" s="324"/>
      <c r="EU949" s="324"/>
      <c r="EV949" s="324"/>
      <c r="EW949" s="324"/>
      <c r="EX949" s="324"/>
      <c r="EY949" s="324"/>
      <c r="EZ949" s="324"/>
      <c r="FA949" s="324"/>
      <c r="FB949" s="324"/>
      <c r="FC949" s="324"/>
      <c r="FD949" s="324"/>
      <c r="FE949" s="324"/>
      <c r="FF949" s="324"/>
      <c r="FG949" s="324"/>
      <c r="FH949" s="324"/>
      <c r="FI949" s="324"/>
      <c r="FJ949" s="324"/>
      <c r="FK949" s="324"/>
      <c r="FL949" s="324"/>
      <c r="FM949" s="324"/>
      <c r="FN949" s="324"/>
      <c r="FR949" s="324"/>
      <c r="FS949" s="324"/>
      <c r="FT949" s="324"/>
      <c r="FU949" s="324"/>
      <c r="FV949" s="324"/>
      <c r="FW949" s="324"/>
      <c r="FX949" s="324"/>
      <c r="FY949" s="324"/>
      <c r="FZ949" s="324"/>
      <c r="GA949" s="324"/>
      <c r="GB949" s="324"/>
      <c r="GC949" s="324"/>
      <c r="GD949" s="324"/>
      <c r="GE949" s="324"/>
      <c r="GF949" s="324"/>
      <c r="GG949" s="324"/>
      <c r="GH949" s="324"/>
      <c r="GI949" s="324"/>
      <c r="GJ949" s="324"/>
      <c r="GK949" s="324"/>
      <c r="GL949" s="324"/>
      <c r="GM949" s="324"/>
      <c r="GN949" s="324"/>
      <c r="GO949" s="324"/>
      <c r="GP949" s="324"/>
      <c r="GQ949" s="324"/>
      <c r="GR949" s="324"/>
      <c r="GS949" s="324"/>
      <c r="GT949" s="324"/>
      <c r="GU949" s="324"/>
      <c r="GV949" s="324"/>
      <c r="GW949" s="324"/>
      <c r="HA949" s="324"/>
      <c r="HB949" s="324"/>
      <c r="HC949" s="324"/>
      <c r="HD949" s="324"/>
      <c r="HE949" s="324"/>
      <c r="HF949" s="324"/>
      <c r="HG949" s="324"/>
      <c r="HH949" s="324"/>
      <c r="HI949" s="324"/>
      <c r="HJ949" s="324"/>
      <c r="HK949" s="324"/>
      <c r="HL949" s="324"/>
      <c r="HM949" s="324"/>
      <c r="HN949" s="324"/>
      <c r="HO949" s="324"/>
      <c r="HP949" s="324"/>
      <c r="HQ949" s="324"/>
      <c r="HR949" s="324"/>
      <c r="HS949" s="324"/>
      <c r="HT949" s="324"/>
      <c r="HU949" s="324"/>
      <c r="HV949" s="324"/>
      <c r="HW949" s="324"/>
      <c r="HX949" s="324"/>
      <c r="HY949" s="324"/>
      <c r="HZ949" s="324"/>
      <c r="IA949" s="324"/>
      <c r="IB949" s="324"/>
      <c r="IC949" s="324"/>
      <c r="ID949" s="324"/>
      <c r="IE949" s="324"/>
      <c r="IF949" s="324"/>
      <c r="IH949" s="54"/>
      <c r="II949" s="54"/>
      <c r="IJ949" s="324"/>
      <c r="IK949" s="324"/>
      <c r="IL949" s="324"/>
      <c r="IM949" s="324"/>
      <c r="IN949" s="324"/>
      <c r="IO949" s="324"/>
      <c r="IP949" s="324"/>
      <c r="IQ949" s="324"/>
      <c r="IR949" s="324"/>
      <c r="IS949" s="324"/>
      <c r="IT949" s="324"/>
      <c r="IU949" s="324"/>
      <c r="IV949" s="324"/>
      <c r="IW949" s="324"/>
      <c r="IX949" s="324"/>
      <c r="IY949" s="324"/>
      <c r="IZ949" s="324"/>
      <c r="JA949" s="324"/>
      <c r="JB949" s="324"/>
      <c r="JC949" s="324"/>
      <c r="JD949" s="324"/>
      <c r="JE949" s="324"/>
      <c r="JF949" s="324"/>
      <c r="JG949" s="324"/>
      <c r="JH949" s="324"/>
      <c r="JI949" s="324"/>
      <c r="JJ949" s="324"/>
      <c r="JK949" s="324"/>
      <c r="JL949" s="324"/>
      <c r="JM949" s="324"/>
      <c r="JN949" s="324"/>
      <c r="JO949" s="324"/>
      <c r="JQ949" s="54"/>
      <c r="JR949" s="54"/>
      <c r="JS949" s="324"/>
      <c r="JT949" s="324"/>
      <c r="JU949" s="324"/>
      <c r="JV949" s="324"/>
      <c r="JW949" s="324"/>
      <c r="JX949" s="324"/>
      <c r="JY949" s="324"/>
      <c r="JZ949" s="324"/>
      <c r="KA949" s="324"/>
      <c r="KB949" s="324"/>
      <c r="KC949" s="324"/>
      <c r="KD949" s="324"/>
      <c r="KE949" s="324"/>
      <c r="KF949" s="324"/>
      <c r="KG949" s="324"/>
      <c r="KH949" s="324"/>
      <c r="KI949" s="324"/>
      <c r="KJ949" s="324"/>
      <c r="KK949" s="324"/>
      <c r="KL949" s="324"/>
      <c r="KM949" s="324"/>
      <c r="KN949" s="324"/>
      <c r="KO949" s="324"/>
      <c r="KP949" s="324"/>
      <c r="KQ949" s="324"/>
      <c r="KR949" s="324"/>
      <c r="KS949" s="324"/>
      <c r="KT949" s="324"/>
      <c r="KU949" s="324"/>
      <c r="KV949" s="324"/>
      <c r="KW949" s="324"/>
      <c r="KX949" s="324"/>
    </row>
    <row r="950" spans="1:310" ht="12.75" x14ac:dyDescent="0.2">
      <c r="A950" s="54"/>
      <c r="B950" s="54"/>
      <c r="C950" s="54"/>
      <c r="D950" s="54"/>
      <c r="E950" s="80"/>
      <c r="F950" s="81"/>
      <c r="G950" s="81"/>
      <c r="H950" s="81"/>
      <c r="I950" s="81"/>
      <c r="J950" s="81"/>
      <c r="K950" s="81"/>
      <c r="L950" s="81"/>
      <c r="M950" s="81"/>
      <c r="N950" s="81"/>
      <c r="O950" s="81"/>
      <c r="P950" s="81"/>
      <c r="Q950" s="81"/>
      <c r="R950" s="81"/>
      <c r="S950" s="81"/>
      <c r="T950" s="81"/>
      <c r="U950" s="81"/>
      <c r="V950" s="81"/>
      <c r="W950" s="81"/>
      <c r="X950" s="81"/>
      <c r="Y950" s="81"/>
      <c r="Z950" s="81"/>
      <c r="AA950" s="81"/>
      <c r="AB950" s="81"/>
      <c r="AC950" s="81"/>
      <c r="AD950" s="81"/>
      <c r="AE950" s="81"/>
      <c r="AF950" s="81"/>
      <c r="AG950" s="81"/>
      <c r="AH950" s="81"/>
      <c r="AI950" s="81"/>
      <c r="AJ950" s="91"/>
      <c r="AK950" s="182"/>
      <c r="AN950" s="173"/>
      <c r="AO950" s="175"/>
      <c r="AP950" s="175"/>
      <c r="AQ950" s="175"/>
      <c r="AR950" s="175"/>
      <c r="AS950" s="175"/>
      <c r="AT950" s="175"/>
      <c r="AU950" s="175"/>
      <c r="AV950" s="175"/>
      <c r="AW950" s="175"/>
      <c r="AX950" s="175"/>
      <c r="AY950" s="175"/>
      <c r="AZ950" s="175"/>
      <c r="BA950" s="175"/>
      <c r="BB950" s="175"/>
      <c r="BC950" s="175"/>
      <c r="BD950" s="175"/>
      <c r="BE950" s="175"/>
      <c r="BF950" s="175"/>
      <c r="BG950" s="175"/>
      <c r="BH950" s="175"/>
      <c r="BI950" s="175"/>
      <c r="BJ950" s="175"/>
      <c r="BK950" s="175"/>
      <c r="BL950" s="175"/>
      <c r="BM950" s="175"/>
      <c r="BN950" s="175"/>
      <c r="BO950" s="175"/>
      <c r="BP950" s="175"/>
      <c r="BQ950" s="175"/>
      <c r="BR950" s="175"/>
      <c r="BS950" s="175"/>
      <c r="BT950" s="55"/>
      <c r="BU950" s="55"/>
      <c r="BV950" s="55"/>
      <c r="BW950" s="173"/>
      <c r="BX950" s="175"/>
      <c r="BY950" s="175"/>
      <c r="BZ950" s="175"/>
      <c r="CA950" s="173"/>
      <c r="CB950" s="173"/>
      <c r="CC950" s="173"/>
      <c r="CD950" s="173"/>
      <c r="CE950" s="173"/>
      <c r="CF950" s="173"/>
      <c r="CG950" s="175"/>
      <c r="CH950" s="175"/>
      <c r="CI950" s="175"/>
      <c r="CJ950" s="175"/>
      <c r="CK950" s="55"/>
      <c r="CL950" s="55"/>
      <c r="CM950" s="55"/>
      <c r="CN950" s="173"/>
      <c r="CO950" s="175"/>
      <c r="CP950" s="175"/>
      <c r="CQ950" s="175"/>
      <c r="CR950" s="175"/>
      <c r="CS950" s="175"/>
      <c r="CT950" s="175"/>
      <c r="CU950" s="175"/>
      <c r="CV950" s="175"/>
      <c r="CW950" s="218"/>
      <c r="CX950" s="218"/>
      <c r="CY950" s="218"/>
      <c r="CZ950" s="218"/>
      <c r="DA950" s="218"/>
      <c r="DB950" s="218"/>
      <c r="DC950" s="218"/>
      <c r="DD950" s="218"/>
      <c r="DE950" s="218"/>
      <c r="DF950" s="218"/>
      <c r="DG950" s="175"/>
      <c r="DH950" s="175"/>
      <c r="DI950" s="175"/>
      <c r="DJ950" s="175"/>
      <c r="DK950" s="175"/>
      <c r="DL950" s="175"/>
      <c r="DM950" s="175"/>
      <c r="DN950" s="175"/>
      <c r="DO950" s="175"/>
      <c r="DP950" s="175"/>
      <c r="DQ950" s="175"/>
      <c r="DR950" s="175"/>
      <c r="DS950" s="175"/>
      <c r="DT950" s="175"/>
      <c r="DU950" s="175"/>
      <c r="DV950" s="175"/>
      <c r="DW950" s="175"/>
      <c r="DX950" s="175"/>
      <c r="DY950" s="175"/>
      <c r="DZ950" s="175"/>
      <c r="EA950" s="175"/>
      <c r="EB950" s="175"/>
      <c r="EC950" s="175"/>
      <c r="ED950" s="175"/>
      <c r="EE950" s="175"/>
      <c r="EI950" s="173"/>
      <c r="EJ950" s="175"/>
      <c r="EK950" s="175"/>
      <c r="EL950" s="175"/>
      <c r="EM950" s="175"/>
      <c r="EN950" s="175"/>
      <c r="EO950" s="175"/>
      <c r="EP950" s="175"/>
      <c r="EQ950" s="175"/>
      <c r="ER950" s="175"/>
      <c r="ES950" s="175"/>
      <c r="ET950" s="175"/>
      <c r="EU950" s="175"/>
      <c r="EV950" s="175"/>
      <c r="EW950" s="175"/>
      <c r="EX950" s="175"/>
      <c r="EY950" s="175"/>
      <c r="EZ950" s="175"/>
      <c r="FA950" s="175"/>
      <c r="FB950" s="175"/>
      <c r="FC950" s="175"/>
      <c r="FD950" s="175"/>
      <c r="FE950" s="175"/>
      <c r="FF950" s="175"/>
      <c r="FG950" s="175"/>
      <c r="FH950" s="175"/>
      <c r="FI950" s="175"/>
      <c r="FJ950" s="175"/>
      <c r="FK950" s="175"/>
      <c r="FL950" s="175"/>
      <c r="FM950" s="175"/>
      <c r="FN950" s="175"/>
      <c r="FR950" s="173"/>
      <c r="FS950" s="175"/>
      <c r="FT950" s="175"/>
      <c r="FU950" s="175"/>
      <c r="FV950" s="175"/>
      <c r="FW950" s="175"/>
      <c r="FX950" s="175"/>
      <c r="FY950" s="175"/>
      <c r="FZ950" s="175"/>
      <c r="GA950" s="175"/>
      <c r="GB950" s="175"/>
      <c r="GC950" s="175"/>
      <c r="GD950" s="175"/>
      <c r="GE950" s="175"/>
      <c r="GF950" s="175"/>
      <c r="GG950" s="175"/>
      <c r="GH950" s="175"/>
      <c r="GI950" s="175"/>
      <c r="GJ950" s="175"/>
      <c r="GK950" s="175"/>
      <c r="GL950" s="175"/>
      <c r="GM950" s="175"/>
      <c r="GN950" s="175"/>
      <c r="GO950" s="175"/>
      <c r="GP950" s="175"/>
      <c r="GQ950" s="175"/>
      <c r="GR950" s="175"/>
      <c r="GS950" s="175"/>
      <c r="GT950" s="175"/>
      <c r="GU950" s="175"/>
      <c r="GV950" s="175"/>
      <c r="GW950" s="175"/>
      <c r="HA950" s="173"/>
      <c r="HB950" s="175"/>
      <c r="HC950" s="175"/>
      <c r="HD950" s="175"/>
      <c r="HE950" s="175"/>
      <c r="HF950" s="175"/>
      <c r="HG950" s="175"/>
      <c r="HH950" s="175"/>
      <c r="HI950" s="175"/>
      <c r="HJ950" s="175"/>
      <c r="HK950" s="175"/>
      <c r="HL950" s="175"/>
      <c r="HM950" s="175"/>
      <c r="HN950" s="175"/>
      <c r="HO950" s="175"/>
      <c r="HP950" s="175"/>
      <c r="HQ950" s="175"/>
      <c r="HR950" s="175"/>
      <c r="HS950" s="175"/>
      <c r="HT950" s="175"/>
      <c r="HU950" s="175"/>
      <c r="HV950" s="175"/>
      <c r="HW950" s="175"/>
      <c r="HX950" s="175"/>
      <c r="HY950" s="175"/>
      <c r="HZ950" s="175"/>
      <c r="IA950" s="175"/>
      <c r="IB950" s="175"/>
      <c r="IC950" s="175"/>
      <c r="ID950" s="175"/>
      <c r="IE950" s="175"/>
      <c r="IF950" s="175"/>
      <c r="IH950" s="54"/>
      <c r="II950" s="54"/>
      <c r="IJ950" s="173"/>
      <c r="IK950" s="175"/>
      <c r="IL950" s="175"/>
      <c r="IM950" s="175"/>
      <c r="IN950" s="175"/>
      <c r="IO950" s="175"/>
      <c r="IP950" s="175"/>
      <c r="IQ950" s="175"/>
      <c r="IR950" s="175"/>
      <c r="IS950" s="175"/>
      <c r="IT950" s="175"/>
      <c r="IU950" s="175"/>
      <c r="IV950" s="175"/>
      <c r="IW950" s="175"/>
      <c r="IX950" s="175"/>
      <c r="IY950" s="175"/>
      <c r="IZ950" s="175"/>
      <c r="JA950" s="175"/>
      <c r="JB950" s="175"/>
      <c r="JC950" s="175"/>
      <c r="JD950" s="175"/>
      <c r="JE950" s="175"/>
      <c r="JF950" s="175"/>
      <c r="JG950" s="175"/>
      <c r="JH950" s="175"/>
      <c r="JI950" s="175"/>
      <c r="JJ950" s="175"/>
      <c r="JK950" s="175"/>
      <c r="JL950" s="175"/>
      <c r="JM950" s="175"/>
      <c r="JN950" s="175"/>
      <c r="JO950" s="175"/>
      <c r="JQ950" s="54"/>
      <c r="JR950" s="54"/>
      <c r="JS950" s="173"/>
      <c r="JT950" s="175"/>
      <c r="JU950" s="175"/>
      <c r="JV950" s="175"/>
      <c r="JW950" s="175"/>
      <c r="JX950" s="175"/>
      <c r="JY950" s="175"/>
      <c r="JZ950" s="175"/>
      <c r="KA950" s="175"/>
      <c r="KB950" s="175"/>
      <c r="KC950" s="175"/>
      <c r="KD950" s="175"/>
      <c r="KE950" s="175"/>
      <c r="KF950" s="175"/>
      <c r="KG950" s="175"/>
      <c r="KH950" s="175"/>
      <c r="KI950" s="175"/>
      <c r="KJ950" s="175"/>
      <c r="KK950" s="175"/>
      <c r="KL950" s="175"/>
      <c r="KM950" s="175"/>
      <c r="KN950" s="175"/>
      <c r="KO950" s="175"/>
      <c r="KP950" s="175"/>
      <c r="KQ950" s="175"/>
      <c r="KR950" s="175"/>
      <c r="KS950" s="175"/>
      <c r="KT950" s="175"/>
      <c r="KU950" s="175"/>
      <c r="KV950" s="175"/>
      <c r="KW950" s="175"/>
      <c r="KX950" s="175"/>
    </row>
    <row r="951" spans="1:310" ht="12.75" customHeight="1" x14ac:dyDescent="0.2">
      <c r="A951" s="54"/>
      <c r="B951" s="54"/>
      <c r="C951" s="54"/>
      <c r="D951" s="54"/>
      <c r="E951" s="324" t="str">
        <f>IF( $O$61="Embebido",$BW$951,
          IF( OR($O$64 ="Hilti HIT-RE 500-SD",$O$64 ="Hilti HIT-HY 200-R",$O$64 ="Hilti HIT-MM Plus",$O$64 ="Inyectable"),$IJ$951,
                    IF( OR($O$64 ="Hilti HDA",$O$64 ="Sobre-excavado"),$HA$951,
                            IF( OR($O$64 ="Hilti HSL-3",$O$64 ="Expansivo de camisa"),$FR$951,
                                         IF( OR($O$64 ="Hilti KH-EZ",$O$64 ="Hilti KH",$O$64 ="Hilti KH-EZ-I",$O$64 ="Hilti KH-I",$O$64 ="Atornillado"),$EI$951,
                                                      IF( OR( $O$64 ="Hilti HKB3",$O$64 ="Expansivo de cuña"),$CN$951,
                                                                    IF( OR($O$64 ="Hilti HVA",$O$64 ="Capsula"),$JS$951,
                                                                                  $AN$951                                                                        )
                                                          )
                                              )
                                 )
                        )
             )
   )</f>
        <v>b.      Varilla roscada Hilti HAS con sistema HIT-HY 200 SafeSet™ usando el sistema de brocas huecas Hilti TE-CD/TE-YD para anclaje a concreto, según certificación ICC ESR-3187.</v>
      </c>
      <c r="F951" s="324"/>
      <c r="G951" s="324"/>
      <c r="H951" s="324"/>
      <c r="I951" s="324"/>
      <c r="J951" s="324"/>
      <c r="K951" s="324"/>
      <c r="L951" s="324"/>
      <c r="M951" s="324"/>
      <c r="N951" s="324"/>
      <c r="O951" s="324"/>
      <c r="P951" s="324"/>
      <c r="Q951" s="324"/>
      <c r="R951" s="324"/>
      <c r="S951" s="324"/>
      <c r="T951" s="324"/>
      <c r="U951" s="324"/>
      <c r="V951" s="324"/>
      <c r="W951" s="324"/>
      <c r="X951" s="324"/>
      <c r="Y951" s="324"/>
      <c r="Z951" s="324"/>
      <c r="AA951" s="324"/>
      <c r="AB951" s="324"/>
      <c r="AC951" s="324"/>
      <c r="AD951" s="324"/>
      <c r="AE951" s="324"/>
      <c r="AF951" s="324"/>
      <c r="AG951" s="324"/>
      <c r="AH951" s="324"/>
      <c r="AI951" s="324"/>
      <c r="AJ951" s="324"/>
      <c r="AK951" s="173"/>
      <c r="AN951" s="324" t="s">
        <v>271</v>
      </c>
      <c r="AO951" s="324"/>
      <c r="AP951" s="324"/>
      <c r="AQ951" s="324"/>
      <c r="AR951" s="324"/>
      <c r="AS951" s="324"/>
      <c r="AT951" s="324"/>
      <c r="AU951" s="324"/>
      <c r="AV951" s="324"/>
      <c r="AW951" s="324"/>
      <c r="AX951" s="324"/>
      <c r="AY951" s="324"/>
      <c r="AZ951" s="324"/>
      <c r="BA951" s="324"/>
      <c r="BB951" s="324"/>
      <c r="BC951" s="324"/>
      <c r="BD951" s="324"/>
      <c r="BE951" s="324"/>
      <c r="BF951" s="324"/>
      <c r="BG951" s="324"/>
      <c r="BH951" s="324"/>
      <c r="BI951" s="324"/>
      <c r="BJ951" s="324"/>
      <c r="BK951" s="324"/>
      <c r="BL951" s="324"/>
      <c r="BM951" s="324"/>
      <c r="BN951" s="324"/>
      <c r="BO951" s="324"/>
      <c r="BP951" s="324"/>
      <c r="BQ951" s="324"/>
      <c r="BR951" s="324"/>
      <c r="BS951" s="324"/>
      <c r="BT951" s="55"/>
      <c r="BU951" s="55"/>
      <c r="BV951" s="55"/>
      <c r="BW951" s="173" t="s">
        <v>271</v>
      </c>
      <c r="BX951" s="173"/>
      <c r="BY951" s="173"/>
      <c r="BZ951" s="173"/>
      <c r="CA951" s="175"/>
      <c r="CB951" s="175"/>
      <c r="CC951" s="175"/>
      <c r="CD951" s="175"/>
      <c r="CE951" s="175"/>
      <c r="CF951" s="175"/>
      <c r="CG951" s="173"/>
      <c r="CH951" s="173"/>
      <c r="CI951" s="173"/>
      <c r="CJ951" s="173"/>
      <c r="CK951" s="55"/>
      <c r="CL951" s="55"/>
      <c r="CM951" s="55"/>
      <c r="CN951" s="324" t="s">
        <v>271</v>
      </c>
      <c r="CO951" s="324"/>
      <c r="CP951" s="324"/>
      <c r="CQ951" s="324"/>
      <c r="CR951" s="324"/>
      <c r="CS951" s="324"/>
      <c r="CT951" s="324"/>
      <c r="CU951" s="324"/>
      <c r="CV951" s="324"/>
      <c r="CW951" s="324"/>
      <c r="CX951" s="324"/>
      <c r="CY951" s="324"/>
      <c r="CZ951" s="324"/>
      <c r="DA951" s="324"/>
      <c r="DB951" s="324"/>
      <c r="DC951" s="324"/>
      <c r="DD951" s="324"/>
      <c r="DE951" s="324"/>
      <c r="DF951" s="324"/>
      <c r="DG951" s="324"/>
      <c r="DH951" s="324"/>
      <c r="DI951" s="324"/>
      <c r="DJ951" s="324"/>
      <c r="DK951" s="324"/>
      <c r="DL951" s="324"/>
      <c r="DM951" s="324"/>
      <c r="DN951" s="324"/>
      <c r="DO951" s="324"/>
      <c r="DP951" s="324"/>
      <c r="DQ951" s="324"/>
      <c r="DR951" s="324"/>
      <c r="DS951" s="324"/>
      <c r="DT951" s="324"/>
      <c r="DU951" s="324"/>
      <c r="DV951" s="324"/>
      <c r="DW951" s="324"/>
      <c r="DX951" s="324"/>
      <c r="DY951" s="324"/>
      <c r="DZ951" s="324"/>
      <c r="EA951" s="324"/>
      <c r="EB951" s="324"/>
      <c r="EC951" s="324"/>
      <c r="ED951" s="324"/>
      <c r="EE951" s="324"/>
      <c r="EI951" s="324" t="s">
        <v>347</v>
      </c>
      <c r="EJ951" s="324"/>
      <c r="EK951" s="324"/>
      <c r="EL951" s="324"/>
      <c r="EM951" s="324"/>
      <c r="EN951" s="324"/>
      <c r="EO951" s="324"/>
      <c r="EP951" s="324"/>
      <c r="EQ951" s="324"/>
      <c r="ER951" s="324"/>
      <c r="ES951" s="324"/>
      <c r="ET951" s="324"/>
      <c r="EU951" s="324"/>
      <c r="EV951" s="324"/>
      <c r="EW951" s="324"/>
      <c r="EX951" s="324"/>
      <c r="EY951" s="324"/>
      <c r="EZ951" s="324"/>
      <c r="FA951" s="324"/>
      <c r="FB951" s="324"/>
      <c r="FC951" s="324"/>
      <c r="FD951" s="324"/>
      <c r="FE951" s="324"/>
      <c r="FF951" s="324"/>
      <c r="FG951" s="324"/>
      <c r="FH951" s="324"/>
      <c r="FI951" s="324"/>
      <c r="FJ951" s="324"/>
      <c r="FK951" s="324"/>
      <c r="FL951" s="324"/>
      <c r="FM951" s="324"/>
      <c r="FN951" s="324"/>
      <c r="FR951" s="324" t="s">
        <v>348</v>
      </c>
      <c r="FS951" s="324"/>
      <c r="FT951" s="324"/>
      <c r="FU951" s="324"/>
      <c r="FV951" s="324"/>
      <c r="FW951" s="324"/>
      <c r="FX951" s="324"/>
      <c r="FY951" s="324"/>
      <c r="FZ951" s="324"/>
      <c r="GA951" s="324"/>
      <c r="GB951" s="324"/>
      <c r="GC951" s="324"/>
      <c r="GD951" s="324"/>
      <c r="GE951" s="324"/>
      <c r="GF951" s="324"/>
      <c r="GG951" s="324"/>
      <c r="GH951" s="324"/>
      <c r="GI951" s="324"/>
      <c r="GJ951" s="324"/>
      <c r="GK951" s="324"/>
      <c r="GL951" s="324"/>
      <c r="GM951" s="324"/>
      <c r="GN951" s="324"/>
      <c r="GO951" s="324"/>
      <c r="GP951" s="324"/>
      <c r="GQ951" s="324"/>
      <c r="GR951" s="324"/>
      <c r="GS951" s="324"/>
      <c r="GT951" s="324"/>
      <c r="GU951" s="324"/>
      <c r="GV951" s="324"/>
      <c r="GW951" s="324"/>
      <c r="HA951" s="324" t="s">
        <v>271</v>
      </c>
      <c r="HB951" s="324"/>
      <c r="HC951" s="324"/>
      <c r="HD951" s="324"/>
      <c r="HE951" s="324"/>
      <c r="HF951" s="324"/>
      <c r="HG951" s="324"/>
      <c r="HH951" s="324"/>
      <c r="HI951" s="324"/>
      <c r="HJ951" s="324"/>
      <c r="HK951" s="324"/>
      <c r="HL951" s="324"/>
      <c r="HM951" s="324"/>
      <c r="HN951" s="324"/>
      <c r="HO951" s="324"/>
      <c r="HP951" s="324"/>
      <c r="HQ951" s="324"/>
      <c r="HR951" s="324"/>
      <c r="HS951" s="324"/>
      <c r="HT951" s="324"/>
      <c r="HU951" s="324"/>
      <c r="HV951" s="324"/>
      <c r="HW951" s="324"/>
      <c r="HX951" s="324"/>
      <c r="HY951" s="324"/>
      <c r="HZ951" s="324"/>
      <c r="IA951" s="324"/>
      <c r="IB951" s="324"/>
      <c r="IC951" s="324"/>
      <c r="ID951" s="324"/>
      <c r="IE951" s="324"/>
      <c r="IF951" s="324"/>
      <c r="IH951" s="54"/>
      <c r="II951" s="54"/>
      <c r="IJ951" s="324" t="s">
        <v>341</v>
      </c>
      <c r="IK951" s="324"/>
      <c r="IL951" s="324"/>
      <c r="IM951" s="324"/>
      <c r="IN951" s="324"/>
      <c r="IO951" s="324"/>
      <c r="IP951" s="324"/>
      <c r="IQ951" s="324"/>
      <c r="IR951" s="324"/>
      <c r="IS951" s="324"/>
      <c r="IT951" s="324"/>
      <c r="IU951" s="324"/>
      <c r="IV951" s="324"/>
      <c r="IW951" s="324"/>
      <c r="IX951" s="324"/>
      <c r="IY951" s="324"/>
      <c r="IZ951" s="324"/>
      <c r="JA951" s="324"/>
      <c r="JB951" s="324"/>
      <c r="JC951" s="324"/>
      <c r="JD951" s="324"/>
      <c r="JE951" s="324"/>
      <c r="JF951" s="324"/>
      <c r="JG951" s="324"/>
      <c r="JH951" s="324"/>
      <c r="JI951" s="324"/>
      <c r="JJ951" s="324"/>
      <c r="JK951" s="324"/>
      <c r="JL951" s="324"/>
      <c r="JM951" s="324"/>
      <c r="JN951" s="324"/>
      <c r="JO951" s="324"/>
      <c r="JS951" s="324" t="s">
        <v>271</v>
      </c>
      <c r="JT951" s="324"/>
      <c r="JU951" s="324"/>
      <c r="JV951" s="324"/>
      <c r="JW951" s="324"/>
      <c r="JX951" s="324"/>
      <c r="JY951" s="324"/>
      <c r="JZ951" s="324"/>
      <c r="KA951" s="324"/>
      <c r="KB951" s="324"/>
      <c r="KC951" s="324"/>
      <c r="KD951" s="324"/>
      <c r="KE951" s="324"/>
      <c r="KF951" s="324"/>
      <c r="KG951" s="324"/>
      <c r="KH951" s="324"/>
      <c r="KI951" s="324"/>
      <c r="KJ951" s="324"/>
      <c r="KK951" s="324"/>
      <c r="KL951" s="324"/>
      <c r="KM951" s="324"/>
      <c r="KN951" s="324"/>
      <c r="KO951" s="324"/>
      <c r="KP951" s="324"/>
      <c r="KQ951" s="324"/>
      <c r="KR951" s="324"/>
      <c r="KS951" s="324"/>
      <c r="KT951" s="324"/>
      <c r="KU951" s="324"/>
      <c r="KV951" s="324"/>
      <c r="KW951" s="324"/>
      <c r="KX951" s="324"/>
    </row>
    <row r="952" spans="1:310" ht="12.75" x14ac:dyDescent="0.2">
      <c r="A952" s="54"/>
      <c r="B952" s="54"/>
      <c r="C952" s="54"/>
      <c r="D952" s="54"/>
      <c r="E952" s="324"/>
      <c r="F952" s="324"/>
      <c r="G952" s="324"/>
      <c r="H952" s="324"/>
      <c r="I952" s="324"/>
      <c r="J952" s="324"/>
      <c r="K952" s="324"/>
      <c r="L952" s="324"/>
      <c r="M952" s="324"/>
      <c r="N952" s="324"/>
      <c r="O952" s="324"/>
      <c r="P952" s="324"/>
      <c r="Q952" s="324"/>
      <c r="R952" s="324"/>
      <c r="S952" s="324"/>
      <c r="T952" s="324"/>
      <c r="U952" s="324"/>
      <c r="V952" s="324"/>
      <c r="W952" s="324"/>
      <c r="X952" s="324"/>
      <c r="Y952" s="324"/>
      <c r="Z952" s="324"/>
      <c r="AA952" s="324"/>
      <c r="AB952" s="324"/>
      <c r="AC952" s="324"/>
      <c r="AD952" s="324"/>
      <c r="AE952" s="324"/>
      <c r="AF952" s="324"/>
      <c r="AG952" s="324"/>
      <c r="AH952" s="324"/>
      <c r="AI952" s="324"/>
      <c r="AJ952" s="324"/>
      <c r="AK952" s="173"/>
      <c r="AN952" s="324"/>
      <c r="AO952" s="324"/>
      <c r="AP952" s="324"/>
      <c r="AQ952" s="324"/>
      <c r="AR952" s="324"/>
      <c r="AS952" s="324"/>
      <c r="AT952" s="324"/>
      <c r="AU952" s="324"/>
      <c r="AV952" s="324"/>
      <c r="AW952" s="324"/>
      <c r="AX952" s="324"/>
      <c r="AY952" s="324"/>
      <c r="AZ952" s="324"/>
      <c r="BA952" s="324"/>
      <c r="BB952" s="324"/>
      <c r="BC952" s="324"/>
      <c r="BD952" s="324"/>
      <c r="BE952" s="324"/>
      <c r="BF952" s="324"/>
      <c r="BG952" s="324"/>
      <c r="BH952" s="324"/>
      <c r="BI952" s="324"/>
      <c r="BJ952" s="324"/>
      <c r="BK952" s="324"/>
      <c r="BL952" s="324"/>
      <c r="BM952" s="324"/>
      <c r="BN952" s="324"/>
      <c r="BO952" s="324"/>
      <c r="BP952" s="324"/>
      <c r="BQ952" s="324"/>
      <c r="BR952" s="324"/>
      <c r="BS952" s="324"/>
      <c r="BT952" s="55"/>
      <c r="BU952" s="55"/>
      <c r="BV952" s="55"/>
      <c r="BW952" s="173"/>
      <c r="BX952" s="173"/>
      <c r="BY952" s="173"/>
      <c r="BZ952" s="173"/>
      <c r="CA952" s="173"/>
      <c r="CB952" s="173"/>
      <c r="CC952" s="173"/>
      <c r="CD952" s="173"/>
      <c r="CE952" s="173"/>
      <c r="CF952" s="173"/>
      <c r="CG952" s="173"/>
      <c r="CH952" s="173"/>
      <c r="CI952" s="173"/>
      <c r="CJ952" s="173"/>
      <c r="CK952" s="55"/>
      <c r="CL952" s="55"/>
      <c r="CM952" s="55"/>
      <c r="CN952" s="324"/>
      <c r="CO952" s="324"/>
      <c r="CP952" s="324"/>
      <c r="CQ952" s="324"/>
      <c r="CR952" s="324"/>
      <c r="CS952" s="324"/>
      <c r="CT952" s="324"/>
      <c r="CU952" s="324"/>
      <c r="CV952" s="324"/>
      <c r="CW952" s="324"/>
      <c r="CX952" s="324"/>
      <c r="CY952" s="324"/>
      <c r="CZ952" s="324"/>
      <c r="DA952" s="324"/>
      <c r="DB952" s="324"/>
      <c r="DC952" s="324"/>
      <c r="DD952" s="324"/>
      <c r="DE952" s="324"/>
      <c r="DF952" s="324"/>
      <c r="DG952" s="324"/>
      <c r="DH952" s="324"/>
      <c r="DI952" s="324"/>
      <c r="DJ952" s="324"/>
      <c r="DK952" s="324"/>
      <c r="DL952" s="324"/>
      <c r="DM952" s="324"/>
      <c r="DN952" s="324"/>
      <c r="DO952" s="324"/>
      <c r="DP952" s="324"/>
      <c r="DQ952" s="324"/>
      <c r="DR952" s="324"/>
      <c r="DS952" s="324"/>
      <c r="DT952" s="324"/>
      <c r="DU952" s="324"/>
      <c r="DV952" s="324"/>
      <c r="DW952" s="324"/>
      <c r="DX952" s="324"/>
      <c r="DY952" s="324"/>
      <c r="DZ952" s="324"/>
      <c r="EA952" s="324"/>
      <c r="EB952" s="324"/>
      <c r="EC952" s="324"/>
      <c r="ED952" s="324"/>
      <c r="EE952" s="324"/>
      <c r="EI952" s="324"/>
      <c r="EJ952" s="324"/>
      <c r="EK952" s="324"/>
      <c r="EL952" s="324"/>
      <c r="EM952" s="324"/>
      <c r="EN952" s="324"/>
      <c r="EO952" s="324"/>
      <c r="EP952" s="324"/>
      <c r="EQ952" s="324"/>
      <c r="ER952" s="324"/>
      <c r="ES952" s="324"/>
      <c r="ET952" s="324"/>
      <c r="EU952" s="324"/>
      <c r="EV952" s="324"/>
      <c r="EW952" s="324"/>
      <c r="EX952" s="324"/>
      <c r="EY952" s="324"/>
      <c r="EZ952" s="324"/>
      <c r="FA952" s="324"/>
      <c r="FB952" s="324"/>
      <c r="FC952" s="324"/>
      <c r="FD952" s="324"/>
      <c r="FE952" s="324"/>
      <c r="FF952" s="324"/>
      <c r="FG952" s="324"/>
      <c r="FH952" s="324"/>
      <c r="FI952" s="324"/>
      <c r="FJ952" s="324"/>
      <c r="FK952" s="324"/>
      <c r="FL952" s="324"/>
      <c r="FM952" s="324"/>
      <c r="FN952" s="324"/>
      <c r="FR952" s="324"/>
      <c r="FS952" s="324"/>
      <c r="FT952" s="324"/>
      <c r="FU952" s="324"/>
      <c r="FV952" s="324"/>
      <c r="FW952" s="324"/>
      <c r="FX952" s="324"/>
      <c r="FY952" s="324"/>
      <c r="FZ952" s="324"/>
      <c r="GA952" s="324"/>
      <c r="GB952" s="324"/>
      <c r="GC952" s="324"/>
      <c r="GD952" s="324"/>
      <c r="GE952" s="324"/>
      <c r="GF952" s="324"/>
      <c r="GG952" s="324"/>
      <c r="GH952" s="324"/>
      <c r="GI952" s="324"/>
      <c r="GJ952" s="324"/>
      <c r="GK952" s="324"/>
      <c r="GL952" s="324"/>
      <c r="GM952" s="324"/>
      <c r="GN952" s="324"/>
      <c r="GO952" s="324"/>
      <c r="GP952" s="324"/>
      <c r="GQ952" s="324"/>
      <c r="GR952" s="324"/>
      <c r="GS952" s="324"/>
      <c r="GT952" s="324"/>
      <c r="GU952" s="324"/>
      <c r="GV952" s="324"/>
      <c r="GW952" s="324"/>
      <c r="HA952" s="324"/>
      <c r="HB952" s="324"/>
      <c r="HC952" s="324"/>
      <c r="HD952" s="324"/>
      <c r="HE952" s="324"/>
      <c r="HF952" s="324"/>
      <c r="HG952" s="324"/>
      <c r="HH952" s="324"/>
      <c r="HI952" s="324"/>
      <c r="HJ952" s="324"/>
      <c r="HK952" s="324"/>
      <c r="HL952" s="324"/>
      <c r="HM952" s="324"/>
      <c r="HN952" s="324"/>
      <c r="HO952" s="324"/>
      <c r="HP952" s="324"/>
      <c r="HQ952" s="324"/>
      <c r="HR952" s="324"/>
      <c r="HS952" s="324"/>
      <c r="HT952" s="324"/>
      <c r="HU952" s="324"/>
      <c r="HV952" s="324"/>
      <c r="HW952" s="324"/>
      <c r="HX952" s="324"/>
      <c r="HY952" s="324"/>
      <c r="HZ952" s="324"/>
      <c r="IA952" s="324"/>
      <c r="IB952" s="324"/>
      <c r="IC952" s="324"/>
      <c r="ID952" s="324"/>
      <c r="IE952" s="324"/>
      <c r="IF952" s="324"/>
      <c r="IH952" s="54"/>
      <c r="II952" s="54"/>
      <c r="IJ952" s="324"/>
      <c r="IK952" s="324"/>
      <c r="IL952" s="324"/>
      <c r="IM952" s="324"/>
      <c r="IN952" s="324"/>
      <c r="IO952" s="324"/>
      <c r="IP952" s="324"/>
      <c r="IQ952" s="324"/>
      <c r="IR952" s="324"/>
      <c r="IS952" s="324"/>
      <c r="IT952" s="324"/>
      <c r="IU952" s="324"/>
      <c r="IV952" s="324"/>
      <c r="IW952" s="324"/>
      <c r="IX952" s="324"/>
      <c r="IY952" s="324"/>
      <c r="IZ952" s="324"/>
      <c r="JA952" s="324"/>
      <c r="JB952" s="324"/>
      <c r="JC952" s="324"/>
      <c r="JD952" s="324"/>
      <c r="JE952" s="324"/>
      <c r="JF952" s="324"/>
      <c r="JG952" s="324"/>
      <c r="JH952" s="324"/>
      <c r="JI952" s="324"/>
      <c r="JJ952" s="324"/>
      <c r="JK952" s="324"/>
      <c r="JL952" s="324"/>
      <c r="JM952" s="324"/>
      <c r="JN952" s="324"/>
      <c r="JO952" s="324"/>
      <c r="JS952" s="324"/>
      <c r="JT952" s="324"/>
      <c r="JU952" s="324"/>
      <c r="JV952" s="324"/>
      <c r="JW952" s="324"/>
      <c r="JX952" s="324"/>
      <c r="JY952" s="324"/>
      <c r="JZ952" s="324"/>
      <c r="KA952" s="324"/>
      <c r="KB952" s="324"/>
      <c r="KC952" s="324"/>
      <c r="KD952" s="324"/>
      <c r="KE952" s="324"/>
      <c r="KF952" s="324"/>
      <c r="KG952" s="324"/>
      <c r="KH952" s="324"/>
      <c r="KI952" s="324"/>
      <c r="KJ952" s="324"/>
      <c r="KK952" s="324"/>
      <c r="KL952" s="324"/>
      <c r="KM952" s="324"/>
      <c r="KN952" s="324"/>
      <c r="KO952" s="324"/>
      <c r="KP952" s="324"/>
      <c r="KQ952" s="324"/>
      <c r="KR952" s="324"/>
      <c r="KS952" s="324"/>
      <c r="KT952" s="324"/>
      <c r="KU952" s="324"/>
      <c r="KV952" s="324"/>
      <c r="KW952" s="324"/>
      <c r="KX952" s="324"/>
    </row>
    <row r="953" spans="1:310" ht="12.75" customHeight="1" x14ac:dyDescent="0.2">
      <c r="A953" s="54"/>
      <c r="B953" s="54"/>
      <c r="C953" s="54"/>
      <c r="D953" s="54"/>
      <c r="E953" s="80"/>
      <c r="F953" s="81"/>
      <c r="G953" s="81"/>
      <c r="H953" s="81"/>
      <c r="I953" s="81"/>
      <c r="J953" s="81"/>
      <c r="K953" s="81"/>
      <c r="L953" s="81"/>
      <c r="M953" s="81"/>
      <c r="N953" s="81"/>
      <c r="O953" s="81"/>
      <c r="P953" s="81"/>
      <c r="Q953" s="81"/>
      <c r="R953" s="81"/>
      <c r="S953" s="81"/>
      <c r="T953" s="81"/>
      <c r="U953" s="81"/>
      <c r="V953" s="81"/>
      <c r="W953" s="81"/>
      <c r="X953" s="81"/>
      <c r="Y953" s="81"/>
      <c r="Z953" s="81"/>
      <c r="AA953" s="81"/>
      <c r="AB953" s="81"/>
      <c r="AC953" s="81"/>
      <c r="AD953" s="81"/>
      <c r="AE953" s="81"/>
      <c r="AF953" s="81"/>
      <c r="AG953" s="81"/>
      <c r="AH953" s="81"/>
      <c r="AI953" s="81"/>
      <c r="AJ953" s="91"/>
      <c r="AK953" s="182"/>
      <c r="AN953" s="173"/>
      <c r="AO953" s="175"/>
      <c r="AP953" s="175"/>
      <c r="AQ953" s="175"/>
      <c r="AR953" s="175"/>
      <c r="AS953" s="175"/>
      <c r="AT953" s="175"/>
      <c r="AU953" s="175"/>
      <c r="AV953" s="175"/>
      <c r="AW953" s="175"/>
      <c r="AX953" s="175"/>
      <c r="AY953" s="175"/>
      <c r="AZ953" s="175"/>
      <c r="BA953" s="175"/>
      <c r="BB953" s="175"/>
      <c r="BC953" s="175"/>
      <c r="BD953" s="175"/>
      <c r="BE953" s="175"/>
      <c r="BF953" s="175"/>
      <c r="BG953" s="175"/>
      <c r="BH953" s="175"/>
      <c r="BI953" s="175"/>
      <c r="BJ953" s="175"/>
      <c r="BK953" s="175"/>
      <c r="BL953" s="175"/>
      <c r="BM953" s="175"/>
      <c r="BN953" s="175"/>
      <c r="BO953" s="175"/>
      <c r="BP953" s="175"/>
      <c r="BQ953" s="175"/>
      <c r="BR953" s="175"/>
      <c r="BS953" s="175"/>
      <c r="BT953" s="55"/>
      <c r="BU953" s="55"/>
      <c r="BV953" s="55"/>
      <c r="BW953" s="173"/>
      <c r="BX953" s="175"/>
      <c r="BY953" s="175"/>
      <c r="BZ953" s="175"/>
      <c r="CA953" s="173"/>
      <c r="CB953" s="173"/>
      <c r="CC953" s="173"/>
      <c r="CD953" s="173"/>
      <c r="CE953" s="173"/>
      <c r="CF953" s="173"/>
      <c r="CG953" s="175"/>
      <c r="CH953" s="175"/>
      <c r="CI953" s="175"/>
      <c r="CJ953" s="175"/>
      <c r="CK953" s="55"/>
      <c r="CL953" s="55"/>
      <c r="CM953" s="55"/>
      <c r="CN953" s="173"/>
      <c r="CO953" s="175"/>
      <c r="CP953" s="175"/>
      <c r="CQ953" s="175"/>
      <c r="CR953" s="175"/>
      <c r="CS953" s="175"/>
      <c r="CT953" s="175"/>
      <c r="CU953" s="175"/>
      <c r="CV953" s="175"/>
      <c r="CW953" s="218"/>
      <c r="CX953" s="218"/>
      <c r="CY953" s="218"/>
      <c r="CZ953" s="218"/>
      <c r="DA953" s="218"/>
      <c r="DB953" s="218"/>
      <c r="DC953" s="218"/>
      <c r="DD953" s="218"/>
      <c r="DE953" s="218"/>
      <c r="DF953" s="218"/>
      <c r="DG953" s="175"/>
      <c r="DH953" s="175"/>
      <c r="DI953" s="175"/>
      <c r="DJ953" s="175"/>
      <c r="DK953" s="175"/>
      <c r="DL953" s="175"/>
      <c r="DM953" s="175"/>
      <c r="DN953" s="175"/>
      <c r="DO953" s="175"/>
      <c r="DP953" s="175"/>
      <c r="DQ953" s="175"/>
      <c r="DR953" s="175"/>
      <c r="DS953" s="175"/>
      <c r="DT953" s="175"/>
      <c r="DU953" s="175"/>
      <c r="DV953" s="175"/>
      <c r="DW953" s="175"/>
      <c r="DX953" s="175"/>
      <c r="DY953" s="175"/>
      <c r="DZ953" s="175"/>
      <c r="EA953" s="175"/>
      <c r="EB953" s="175"/>
      <c r="EC953" s="175"/>
      <c r="ED953" s="175"/>
      <c r="EE953" s="175"/>
      <c r="EI953" s="173"/>
      <c r="EJ953" s="175"/>
      <c r="EK953" s="175"/>
      <c r="EL953" s="175"/>
      <c r="EM953" s="175"/>
      <c r="EN953" s="175"/>
      <c r="EO953" s="175"/>
      <c r="EP953" s="175"/>
      <c r="EQ953" s="175"/>
      <c r="ER953" s="175"/>
      <c r="ES953" s="175"/>
      <c r="ET953" s="175"/>
      <c r="EU953" s="175"/>
      <c r="EV953" s="175"/>
      <c r="EW953" s="175"/>
      <c r="EX953" s="175"/>
      <c r="EY953" s="175"/>
      <c r="EZ953" s="175"/>
      <c r="FA953" s="175"/>
      <c r="FB953" s="175"/>
      <c r="FC953" s="175"/>
      <c r="FD953" s="175"/>
      <c r="FE953" s="175"/>
      <c r="FF953" s="175"/>
      <c r="FG953" s="175"/>
      <c r="FH953" s="175"/>
      <c r="FI953" s="175"/>
      <c r="FJ953" s="175"/>
      <c r="FK953" s="175"/>
      <c r="FL953" s="175"/>
      <c r="FM953" s="175"/>
      <c r="FN953" s="175"/>
      <c r="FR953" s="173"/>
      <c r="FS953" s="175"/>
      <c r="FT953" s="175"/>
      <c r="FU953" s="175"/>
      <c r="FV953" s="175"/>
      <c r="FW953" s="175"/>
      <c r="FX953" s="175"/>
      <c r="FY953" s="175"/>
      <c r="FZ953" s="175"/>
      <c r="GA953" s="175"/>
      <c r="GB953" s="175"/>
      <c r="GC953" s="175"/>
      <c r="GD953" s="175"/>
      <c r="GE953" s="175"/>
      <c r="GF953" s="175"/>
      <c r="GG953" s="175"/>
      <c r="GH953" s="175"/>
      <c r="GI953" s="175"/>
      <c r="GJ953" s="175"/>
      <c r="GK953" s="175"/>
      <c r="GL953" s="175"/>
      <c r="GM953" s="175"/>
      <c r="GN953" s="175"/>
      <c r="GO953" s="175"/>
      <c r="GP953" s="175"/>
      <c r="GQ953" s="175"/>
      <c r="GR953" s="175"/>
      <c r="GS953" s="175"/>
      <c r="GT953" s="175"/>
      <c r="GU953" s="175"/>
      <c r="GV953" s="175"/>
      <c r="GW953" s="175"/>
      <c r="HA953" s="173"/>
      <c r="HB953" s="175"/>
      <c r="HC953" s="175"/>
      <c r="HD953" s="175"/>
      <c r="HE953" s="175"/>
      <c r="HF953" s="175"/>
      <c r="HG953" s="175"/>
      <c r="HH953" s="175"/>
      <c r="HI953" s="175"/>
      <c r="HJ953" s="175"/>
      <c r="HK953" s="175"/>
      <c r="HL953" s="175"/>
      <c r="HM953" s="175"/>
      <c r="HN953" s="175"/>
      <c r="HO953" s="175"/>
      <c r="HP953" s="175"/>
      <c r="HQ953" s="175"/>
      <c r="HR953" s="175"/>
      <c r="HS953" s="175"/>
      <c r="HT953" s="175"/>
      <c r="HU953" s="175"/>
      <c r="HV953" s="175"/>
      <c r="HW953" s="175"/>
      <c r="HX953" s="175"/>
      <c r="HY953" s="175"/>
      <c r="HZ953" s="175"/>
      <c r="IA953" s="175"/>
      <c r="IB953" s="175"/>
      <c r="IC953" s="175"/>
      <c r="ID953" s="175"/>
      <c r="IE953" s="175"/>
      <c r="IF953" s="175"/>
      <c r="IH953" s="54"/>
      <c r="II953" s="54"/>
      <c r="IJ953" s="173"/>
      <c r="IK953" s="175"/>
      <c r="IL953" s="175"/>
      <c r="IM953" s="175"/>
      <c r="IN953" s="175"/>
      <c r="IO953" s="175"/>
      <c r="IP953" s="175"/>
      <c r="IQ953" s="175"/>
      <c r="IR953" s="175"/>
      <c r="IS953" s="175"/>
      <c r="IT953" s="175"/>
      <c r="IU953" s="175"/>
      <c r="IV953" s="175"/>
      <c r="IW953" s="175"/>
      <c r="IX953" s="175"/>
      <c r="IY953" s="175"/>
      <c r="IZ953" s="175"/>
      <c r="JA953" s="175"/>
      <c r="JB953" s="175"/>
      <c r="JC953" s="175"/>
      <c r="JD953" s="175"/>
      <c r="JE953" s="175"/>
      <c r="JF953" s="175"/>
      <c r="JG953" s="175"/>
      <c r="JH953" s="175"/>
      <c r="JI953" s="175"/>
      <c r="JJ953" s="175"/>
      <c r="JK953" s="175"/>
      <c r="JL953" s="175"/>
      <c r="JM953" s="175"/>
      <c r="JN953" s="175"/>
      <c r="JO953" s="175"/>
      <c r="JS953" s="173"/>
      <c r="JT953" s="175"/>
      <c r="JU953" s="175"/>
      <c r="JV953" s="175"/>
      <c r="JW953" s="175"/>
      <c r="JX953" s="175"/>
      <c r="JY953" s="175"/>
      <c r="JZ953" s="175"/>
      <c r="KA953" s="175"/>
      <c r="KB953" s="175"/>
      <c r="KC953" s="175"/>
      <c r="KD953" s="175"/>
      <c r="KE953" s="175"/>
      <c r="KF953" s="175"/>
      <c r="KG953" s="175"/>
      <c r="KH953" s="175"/>
      <c r="KI953" s="175"/>
      <c r="KJ953" s="175"/>
      <c r="KK953" s="175"/>
      <c r="KL953" s="175"/>
      <c r="KM953" s="175"/>
      <c r="KN953" s="175"/>
      <c r="KO953" s="175"/>
      <c r="KP953" s="175"/>
      <c r="KQ953" s="175"/>
      <c r="KR953" s="175"/>
      <c r="KS953" s="175"/>
      <c r="KT953" s="175"/>
      <c r="KU953" s="175"/>
      <c r="KV953" s="175"/>
      <c r="KW953" s="175"/>
      <c r="KX953" s="175"/>
    </row>
    <row r="954" spans="1:310" ht="12.75" customHeight="1" x14ac:dyDescent="0.2">
      <c r="A954" s="54"/>
      <c r="B954" s="54"/>
      <c r="C954" s="54"/>
      <c r="D954" s="54"/>
      <c r="E954" s="324" t="str">
        <f>IF( $O$61="Embebido",$BW$954,
          IF( OR($O$64 ="Hilti HIT-RE 500-SD",$O$64 ="Hilti HIT-HY 200-R",$O$64 ="Hilti HIT-MM Plus",$O$64 ="Inyectable"),$IJ$954,
                    IF( OR($O$64 ="Hilti HDA",$O$64 ="Sobre-excavado"),$HA$954,
                            IF( OR($O$64 ="Hilti HSL-3",$O$64 ="Expansivo de camisa"),$FR$954,
                                         IF( OR($O$64 ="Hilti KH-EZ",$O$64 ="Hilti KH",$O$64 ="Hilti KH-EZ-I",$O$64 ="Hilti KH-I",$O$64 ="Atornillado"),$EI$954,
                                                      IF( OR( $O$64 ="Hilti HKB3",$O$64 ="Expansivo de cuña"),$CN$954,
                                                                    IF( OR($O$64 ="Hilti HVA",$O$64 ="Capsula"),$JS$954,
                                                                                  $AN$954                                                                        )
                                                          )
                                              )
                                 )
                        )
             )
   )</f>
        <v>c.      Varillas corrugadas de construcción con sistema HIT-HY 200 SafeSet™ usando el sistema de brocas huecas Hilti TE-CD/TE-YD para anclaje a concreto, según certificación ICC ESR-3187</v>
      </c>
      <c r="F954" s="324"/>
      <c r="G954" s="324"/>
      <c r="H954" s="324"/>
      <c r="I954" s="324"/>
      <c r="J954" s="324"/>
      <c r="K954" s="324"/>
      <c r="L954" s="324"/>
      <c r="M954" s="324"/>
      <c r="N954" s="324"/>
      <c r="O954" s="324"/>
      <c r="P954" s="324"/>
      <c r="Q954" s="324"/>
      <c r="R954" s="324"/>
      <c r="S954" s="324"/>
      <c r="T954" s="324"/>
      <c r="U954" s="324"/>
      <c r="V954" s="324"/>
      <c r="W954" s="324"/>
      <c r="X954" s="324"/>
      <c r="Y954" s="324"/>
      <c r="Z954" s="324"/>
      <c r="AA954" s="324"/>
      <c r="AB954" s="324"/>
      <c r="AC954" s="324"/>
      <c r="AD954" s="324"/>
      <c r="AE954" s="324"/>
      <c r="AF954" s="324"/>
      <c r="AG954" s="324"/>
      <c r="AH954" s="324"/>
      <c r="AI954" s="324"/>
      <c r="AJ954" s="324"/>
      <c r="AK954" s="173"/>
      <c r="AN954" s="324" t="s">
        <v>271</v>
      </c>
      <c r="AO954" s="324"/>
      <c r="AP954" s="324"/>
      <c r="AQ954" s="324"/>
      <c r="AR954" s="324"/>
      <c r="AS954" s="324"/>
      <c r="AT954" s="324"/>
      <c r="AU954" s="324"/>
      <c r="AV954" s="324"/>
      <c r="AW954" s="324"/>
      <c r="AX954" s="324"/>
      <c r="AY954" s="324"/>
      <c r="AZ954" s="324"/>
      <c r="BA954" s="324"/>
      <c r="BB954" s="324"/>
      <c r="BC954" s="324"/>
      <c r="BD954" s="324"/>
      <c r="BE954" s="324"/>
      <c r="BF954" s="324"/>
      <c r="BG954" s="324"/>
      <c r="BH954" s="324"/>
      <c r="BI954" s="324"/>
      <c r="BJ954" s="324"/>
      <c r="BK954" s="324"/>
      <c r="BL954" s="324"/>
      <c r="BM954" s="324"/>
      <c r="BN954" s="324"/>
      <c r="BO954" s="324"/>
      <c r="BP954" s="324"/>
      <c r="BQ954" s="324"/>
      <c r="BR954" s="324"/>
      <c r="BS954" s="324"/>
      <c r="BT954" s="55"/>
      <c r="BU954" s="55"/>
      <c r="BV954" s="55"/>
      <c r="BW954" s="173" t="s">
        <v>271</v>
      </c>
      <c r="BX954" s="173"/>
      <c r="BY954" s="173"/>
      <c r="BZ954" s="173"/>
      <c r="CA954" s="175"/>
      <c r="CB954" s="175"/>
      <c r="CC954" s="175"/>
      <c r="CD954" s="175"/>
      <c r="CE954" s="175"/>
      <c r="CF954" s="175"/>
      <c r="CG954" s="173"/>
      <c r="CH954" s="173"/>
      <c r="CI954" s="173"/>
      <c r="CJ954" s="173"/>
      <c r="CK954" s="55"/>
      <c r="CL954" s="55"/>
      <c r="CM954" s="55"/>
      <c r="CN954" s="324" t="s">
        <v>271</v>
      </c>
      <c r="CO954" s="324"/>
      <c r="CP954" s="324"/>
      <c r="CQ954" s="324"/>
      <c r="CR954" s="324"/>
      <c r="CS954" s="324"/>
      <c r="CT954" s="324"/>
      <c r="CU954" s="324"/>
      <c r="CV954" s="324"/>
      <c r="CW954" s="324"/>
      <c r="CX954" s="324"/>
      <c r="CY954" s="324"/>
      <c r="CZ954" s="324"/>
      <c r="DA954" s="324"/>
      <c r="DB954" s="324"/>
      <c r="DC954" s="324"/>
      <c r="DD954" s="324"/>
      <c r="DE954" s="324"/>
      <c r="DF954" s="324"/>
      <c r="DG954" s="324"/>
      <c r="DH954" s="324"/>
      <c r="DI954" s="324"/>
      <c r="DJ954" s="324"/>
      <c r="DK954" s="324"/>
      <c r="DL954" s="324"/>
      <c r="DM954" s="324"/>
      <c r="DN954" s="324"/>
      <c r="DO954" s="324"/>
      <c r="DP954" s="324"/>
      <c r="DQ954" s="324"/>
      <c r="DR954" s="324"/>
      <c r="DS954" s="324"/>
      <c r="DT954" s="324"/>
      <c r="DU954" s="324"/>
      <c r="DV954" s="324"/>
      <c r="DW954" s="324"/>
      <c r="DX954" s="324"/>
      <c r="DY954" s="324"/>
      <c r="DZ954" s="324"/>
      <c r="EA954" s="324"/>
      <c r="EB954" s="324"/>
      <c r="EC954" s="324"/>
      <c r="ED954" s="324"/>
      <c r="EE954" s="324"/>
      <c r="EI954" s="324" t="s">
        <v>330</v>
      </c>
      <c r="EJ954" s="324"/>
      <c r="EK954" s="324"/>
      <c r="EL954" s="324"/>
      <c r="EM954" s="324"/>
      <c r="EN954" s="324"/>
      <c r="EO954" s="324"/>
      <c r="EP954" s="324"/>
      <c r="EQ954" s="324"/>
      <c r="ER954" s="324"/>
      <c r="ES954" s="324"/>
      <c r="ET954" s="324"/>
      <c r="EU954" s="324"/>
      <c r="EV954" s="324"/>
      <c r="EW954" s="324"/>
      <c r="EX954" s="324"/>
      <c r="EY954" s="324"/>
      <c r="EZ954" s="324"/>
      <c r="FA954" s="324"/>
      <c r="FB954" s="324"/>
      <c r="FC954" s="324"/>
      <c r="FD954" s="324"/>
      <c r="FE954" s="324"/>
      <c r="FF954" s="324"/>
      <c r="FG954" s="324"/>
      <c r="FH954" s="324"/>
      <c r="FI954" s="324"/>
      <c r="FJ954" s="324"/>
      <c r="FK954" s="324"/>
      <c r="FL954" s="324"/>
      <c r="FM954" s="324"/>
      <c r="FN954" s="324"/>
      <c r="FR954" s="324" t="s">
        <v>271</v>
      </c>
      <c r="FS954" s="324"/>
      <c r="FT954" s="324"/>
      <c r="FU954" s="324"/>
      <c r="FV954" s="324"/>
      <c r="FW954" s="324"/>
      <c r="FX954" s="324"/>
      <c r="FY954" s="324"/>
      <c r="FZ954" s="324"/>
      <c r="GA954" s="324"/>
      <c r="GB954" s="324"/>
      <c r="GC954" s="324"/>
      <c r="GD954" s="324"/>
      <c r="GE954" s="324"/>
      <c r="GF954" s="324"/>
      <c r="GG954" s="324"/>
      <c r="GH954" s="324"/>
      <c r="GI954" s="324"/>
      <c r="GJ954" s="324"/>
      <c r="GK954" s="324"/>
      <c r="GL954" s="324"/>
      <c r="GM954" s="324"/>
      <c r="GN954" s="324"/>
      <c r="GO954" s="324"/>
      <c r="GP954" s="324"/>
      <c r="GQ954" s="324"/>
      <c r="GR954" s="324"/>
      <c r="GS954" s="324"/>
      <c r="GT954" s="324"/>
      <c r="GU954" s="324"/>
      <c r="GV954" s="324"/>
      <c r="GW954" s="324"/>
      <c r="HA954" s="324" t="s">
        <v>271</v>
      </c>
      <c r="HB954" s="324"/>
      <c r="HC954" s="324"/>
      <c r="HD954" s="324"/>
      <c r="HE954" s="324"/>
      <c r="HF954" s="324"/>
      <c r="HG954" s="324"/>
      <c r="HH954" s="324"/>
      <c r="HI954" s="324"/>
      <c r="HJ954" s="324"/>
      <c r="HK954" s="324"/>
      <c r="HL954" s="324"/>
      <c r="HM954" s="324"/>
      <c r="HN954" s="324"/>
      <c r="HO954" s="324"/>
      <c r="HP954" s="324"/>
      <c r="HQ954" s="324"/>
      <c r="HR954" s="324"/>
      <c r="HS954" s="324"/>
      <c r="HT954" s="324"/>
      <c r="HU954" s="324"/>
      <c r="HV954" s="324"/>
      <c r="HW954" s="324"/>
      <c r="HX954" s="324"/>
      <c r="HY954" s="324"/>
      <c r="HZ954" s="324"/>
      <c r="IA954" s="324"/>
      <c r="IB954" s="324"/>
      <c r="IC954" s="324"/>
      <c r="ID954" s="324"/>
      <c r="IE954" s="324"/>
      <c r="IF954" s="324"/>
      <c r="IH954" s="54"/>
      <c r="II954" s="54"/>
      <c r="IJ954" s="324" t="s">
        <v>342</v>
      </c>
      <c r="IK954" s="324"/>
      <c r="IL954" s="324"/>
      <c r="IM954" s="324"/>
      <c r="IN954" s="324"/>
      <c r="IO954" s="324"/>
      <c r="IP954" s="324"/>
      <c r="IQ954" s="324"/>
      <c r="IR954" s="324"/>
      <c r="IS954" s="324"/>
      <c r="IT954" s="324"/>
      <c r="IU954" s="324"/>
      <c r="IV954" s="324"/>
      <c r="IW954" s="324"/>
      <c r="IX954" s="324"/>
      <c r="IY954" s="324"/>
      <c r="IZ954" s="324"/>
      <c r="JA954" s="324"/>
      <c r="JB954" s="324"/>
      <c r="JC954" s="324"/>
      <c r="JD954" s="324"/>
      <c r="JE954" s="324"/>
      <c r="JF954" s="324"/>
      <c r="JG954" s="324"/>
      <c r="JH954" s="324"/>
      <c r="JI954" s="324"/>
      <c r="JJ954" s="324"/>
      <c r="JK954" s="324"/>
      <c r="JL954" s="324"/>
      <c r="JM954" s="324"/>
      <c r="JN954" s="324"/>
      <c r="JO954" s="324"/>
      <c r="JS954" s="324" t="s">
        <v>271</v>
      </c>
      <c r="JT954" s="324"/>
      <c r="JU954" s="324"/>
      <c r="JV954" s="324"/>
      <c r="JW954" s="324"/>
      <c r="JX954" s="324"/>
      <c r="JY954" s="324"/>
      <c r="JZ954" s="324"/>
      <c r="KA954" s="324"/>
      <c r="KB954" s="324"/>
      <c r="KC954" s="324"/>
      <c r="KD954" s="324"/>
      <c r="KE954" s="324"/>
      <c r="KF954" s="324"/>
      <c r="KG954" s="324"/>
      <c r="KH954" s="324"/>
      <c r="KI954" s="324"/>
      <c r="KJ954" s="324"/>
      <c r="KK954" s="324"/>
      <c r="KL954" s="324"/>
      <c r="KM954" s="324"/>
      <c r="KN954" s="324"/>
      <c r="KO954" s="324"/>
      <c r="KP954" s="324"/>
      <c r="KQ954" s="324"/>
      <c r="KR954" s="324"/>
      <c r="KS954" s="324"/>
      <c r="KT954" s="324"/>
      <c r="KU954" s="324"/>
      <c r="KV954" s="324"/>
      <c r="KW954" s="324"/>
      <c r="KX954" s="324"/>
    </row>
    <row r="955" spans="1:310" ht="12.75" x14ac:dyDescent="0.2">
      <c r="A955" s="54"/>
      <c r="B955" s="54"/>
      <c r="C955" s="54"/>
      <c r="D955" s="54"/>
      <c r="E955" s="324"/>
      <c r="F955" s="324"/>
      <c r="G955" s="324"/>
      <c r="H955" s="324"/>
      <c r="I955" s="324"/>
      <c r="J955" s="324"/>
      <c r="K955" s="324"/>
      <c r="L955" s="324"/>
      <c r="M955" s="324"/>
      <c r="N955" s="324"/>
      <c r="O955" s="324"/>
      <c r="P955" s="324"/>
      <c r="Q955" s="324"/>
      <c r="R955" s="324"/>
      <c r="S955" s="324"/>
      <c r="T955" s="324"/>
      <c r="U955" s="324"/>
      <c r="V955" s="324"/>
      <c r="W955" s="324"/>
      <c r="X955" s="324"/>
      <c r="Y955" s="324"/>
      <c r="Z955" s="324"/>
      <c r="AA955" s="324"/>
      <c r="AB955" s="324"/>
      <c r="AC955" s="324"/>
      <c r="AD955" s="324"/>
      <c r="AE955" s="324"/>
      <c r="AF955" s="324"/>
      <c r="AG955" s="324"/>
      <c r="AH955" s="324"/>
      <c r="AI955" s="324"/>
      <c r="AJ955" s="324"/>
      <c r="AK955" s="173"/>
      <c r="AN955" s="324"/>
      <c r="AO955" s="324"/>
      <c r="AP955" s="324"/>
      <c r="AQ955" s="324"/>
      <c r="AR955" s="324"/>
      <c r="AS955" s="324"/>
      <c r="AT955" s="324"/>
      <c r="AU955" s="324"/>
      <c r="AV955" s="324"/>
      <c r="AW955" s="324"/>
      <c r="AX955" s="324"/>
      <c r="AY955" s="324"/>
      <c r="AZ955" s="324"/>
      <c r="BA955" s="324"/>
      <c r="BB955" s="324"/>
      <c r="BC955" s="324"/>
      <c r="BD955" s="324"/>
      <c r="BE955" s="324"/>
      <c r="BF955" s="324"/>
      <c r="BG955" s="324"/>
      <c r="BH955" s="324"/>
      <c r="BI955" s="324"/>
      <c r="BJ955" s="324"/>
      <c r="BK955" s="324"/>
      <c r="BL955" s="324"/>
      <c r="BM955" s="324"/>
      <c r="BN955" s="324"/>
      <c r="BO955" s="324"/>
      <c r="BP955" s="324"/>
      <c r="BQ955" s="324"/>
      <c r="BR955" s="324"/>
      <c r="BS955" s="324"/>
      <c r="BT955" s="55"/>
      <c r="BU955" s="55"/>
      <c r="BV955" s="55"/>
      <c r="BW955" s="173"/>
      <c r="BX955" s="173"/>
      <c r="BY955" s="173"/>
      <c r="BZ955" s="173"/>
      <c r="CA955" s="173"/>
      <c r="CB955" s="173"/>
      <c r="CC955" s="173"/>
      <c r="CD955" s="173"/>
      <c r="CE955" s="173"/>
      <c r="CF955" s="173"/>
      <c r="CG955" s="173"/>
      <c r="CH955" s="173"/>
      <c r="CI955" s="173"/>
      <c r="CJ955" s="173"/>
      <c r="CK955" s="55"/>
      <c r="CL955" s="55"/>
      <c r="CM955" s="55"/>
      <c r="CN955" s="324"/>
      <c r="CO955" s="324"/>
      <c r="CP955" s="324"/>
      <c r="CQ955" s="324"/>
      <c r="CR955" s="324"/>
      <c r="CS955" s="324"/>
      <c r="CT955" s="324"/>
      <c r="CU955" s="324"/>
      <c r="CV955" s="324"/>
      <c r="CW955" s="324"/>
      <c r="CX955" s="324"/>
      <c r="CY955" s="324"/>
      <c r="CZ955" s="324"/>
      <c r="DA955" s="324"/>
      <c r="DB955" s="324"/>
      <c r="DC955" s="324"/>
      <c r="DD955" s="324"/>
      <c r="DE955" s="324"/>
      <c r="DF955" s="324"/>
      <c r="DG955" s="324"/>
      <c r="DH955" s="324"/>
      <c r="DI955" s="324"/>
      <c r="DJ955" s="324"/>
      <c r="DK955" s="324"/>
      <c r="DL955" s="324"/>
      <c r="DM955" s="324"/>
      <c r="DN955" s="324"/>
      <c r="DO955" s="324"/>
      <c r="DP955" s="324"/>
      <c r="DQ955" s="324"/>
      <c r="DR955" s="324"/>
      <c r="DS955" s="324"/>
      <c r="DT955" s="324"/>
      <c r="DU955" s="324"/>
      <c r="DV955" s="324"/>
      <c r="DW955" s="324"/>
      <c r="DX955" s="324"/>
      <c r="DY955" s="324"/>
      <c r="DZ955" s="324"/>
      <c r="EA955" s="324"/>
      <c r="EB955" s="324"/>
      <c r="EC955" s="324"/>
      <c r="ED955" s="324"/>
      <c r="EE955" s="324"/>
      <c r="EI955" s="324"/>
      <c r="EJ955" s="324"/>
      <c r="EK955" s="324"/>
      <c r="EL955" s="324"/>
      <c r="EM955" s="324"/>
      <c r="EN955" s="324"/>
      <c r="EO955" s="324"/>
      <c r="EP955" s="324"/>
      <c r="EQ955" s="324"/>
      <c r="ER955" s="324"/>
      <c r="ES955" s="324"/>
      <c r="ET955" s="324"/>
      <c r="EU955" s="324"/>
      <c r="EV955" s="324"/>
      <c r="EW955" s="324"/>
      <c r="EX955" s="324"/>
      <c r="EY955" s="324"/>
      <c r="EZ955" s="324"/>
      <c r="FA955" s="324"/>
      <c r="FB955" s="324"/>
      <c r="FC955" s="324"/>
      <c r="FD955" s="324"/>
      <c r="FE955" s="324"/>
      <c r="FF955" s="324"/>
      <c r="FG955" s="324"/>
      <c r="FH955" s="324"/>
      <c r="FI955" s="324"/>
      <c r="FJ955" s="324"/>
      <c r="FK955" s="324"/>
      <c r="FL955" s="324"/>
      <c r="FM955" s="324"/>
      <c r="FN955" s="324"/>
      <c r="FR955" s="324"/>
      <c r="FS955" s="324"/>
      <c r="FT955" s="324"/>
      <c r="FU955" s="324"/>
      <c r="FV955" s="324"/>
      <c r="FW955" s="324"/>
      <c r="FX955" s="324"/>
      <c r="FY955" s="324"/>
      <c r="FZ955" s="324"/>
      <c r="GA955" s="324"/>
      <c r="GB955" s="324"/>
      <c r="GC955" s="324"/>
      <c r="GD955" s="324"/>
      <c r="GE955" s="324"/>
      <c r="GF955" s="324"/>
      <c r="GG955" s="324"/>
      <c r="GH955" s="324"/>
      <c r="GI955" s="324"/>
      <c r="GJ955" s="324"/>
      <c r="GK955" s="324"/>
      <c r="GL955" s="324"/>
      <c r="GM955" s="324"/>
      <c r="GN955" s="324"/>
      <c r="GO955" s="324"/>
      <c r="GP955" s="324"/>
      <c r="GQ955" s="324"/>
      <c r="GR955" s="324"/>
      <c r="GS955" s="324"/>
      <c r="GT955" s="324"/>
      <c r="GU955" s="324"/>
      <c r="GV955" s="324"/>
      <c r="GW955" s="324"/>
      <c r="HA955" s="324"/>
      <c r="HB955" s="324"/>
      <c r="HC955" s="324"/>
      <c r="HD955" s="324"/>
      <c r="HE955" s="324"/>
      <c r="HF955" s="324"/>
      <c r="HG955" s="324"/>
      <c r="HH955" s="324"/>
      <c r="HI955" s="324"/>
      <c r="HJ955" s="324"/>
      <c r="HK955" s="324"/>
      <c r="HL955" s="324"/>
      <c r="HM955" s="324"/>
      <c r="HN955" s="324"/>
      <c r="HO955" s="324"/>
      <c r="HP955" s="324"/>
      <c r="HQ955" s="324"/>
      <c r="HR955" s="324"/>
      <c r="HS955" s="324"/>
      <c r="HT955" s="324"/>
      <c r="HU955" s="324"/>
      <c r="HV955" s="324"/>
      <c r="HW955" s="324"/>
      <c r="HX955" s="324"/>
      <c r="HY955" s="324"/>
      <c r="HZ955" s="324"/>
      <c r="IA955" s="324"/>
      <c r="IB955" s="324"/>
      <c r="IC955" s="324"/>
      <c r="ID955" s="324"/>
      <c r="IE955" s="324"/>
      <c r="IF955" s="324"/>
      <c r="IH955" s="54"/>
      <c r="II955" s="54"/>
      <c r="IJ955" s="324"/>
      <c r="IK955" s="324"/>
      <c r="IL955" s="324"/>
      <c r="IM955" s="324"/>
      <c r="IN955" s="324"/>
      <c r="IO955" s="324"/>
      <c r="IP955" s="324"/>
      <c r="IQ955" s="324"/>
      <c r="IR955" s="324"/>
      <c r="IS955" s="324"/>
      <c r="IT955" s="324"/>
      <c r="IU955" s="324"/>
      <c r="IV955" s="324"/>
      <c r="IW955" s="324"/>
      <c r="IX955" s="324"/>
      <c r="IY955" s="324"/>
      <c r="IZ955" s="324"/>
      <c r="JA955" s="324"/>
      <c r="JB955" s="324"/>
      <c r="JC955" s="324"/>
      <c r="JD955" s="324"/>
      <c r="JE955" s="324"/>
      <c r="JF955" s="324"/>
      <c r="JG955" s="324"/>
      <c r="JH955" s="324"/>
      <c r="JI955" s="324"/>
      <c r="JJ955" s="324"/>
      <c r="JK955" s="324"/>
      <c r="JL955" s="324"/>
      <c r="JM955" s="324"/>
      <c r="JN955" s="324"/>
      <c r="JO955" s="324"/>
      <c r="JS955" s="324"/>
      <c r="JT955" s="324"/>
      <c r="JU955" s="324"/>
      <c r="JV955" s="324"/>
      <c r="JW955" s="324"/>
      <c r="JX955" s="324"/>
      <c r="JY955" s="324"/>
      <c r="JZ955" s="324"/>
      <c r="KA955" s="324"/>
      <c r="KB955" s="324"/>
      <c r="KC955" s="324"/>
      <c r="KD955" s="324"/>
      <c r="KE955" s="324"/>
      <c r="KF955" s="324"/>
      <c r="KG955" s="324"/>
      <c r="KH955" s="324"/>
      <c r="KI955" s="324"/>
      <c r="KJ955" s="324"/>
      <c r="KK955" s="324"/>
      <c r="KL955" s="324"/>
      <c r="KM955" s="324"/>
      <c r="KN955" s="324"/>
      <c r="KO955" s="324"/>
      <c r="KP955" s="324"/>
      <c r="KQ955" s="324"/>
      <c r="KR955" s="324"/>
      <c r="KS955" s="324"/>
      <c r="KT955" s="324"/>
      <c r="KU955" s="324"/>
      <c r="KV955" s="324"/>
      <c r="KW955" s="324"/>
      <c r="KX955" s="324"/>
    </row>
    <row r="956" spans="1:310" ht="12.75" customHeight="1" x14ac:dyDescent="0.2">
      <c r="A956" s="54"/>
      <c r="B956" s="54"/>
      <c r="C956" s="54"/>
      <c r="D956" s="54"/>
      <c r="E956" s="80"/>
      <c r="F956" s="81"/>
      <c r="G956" s="81"/>
      <c r="H956" s="81"/>
      <c r="I956" s="81"/>
      <c r="J956" s="81"/>
      <c r="K956" s="81"/>
      <c r="L956" s="81"/>
      <c r="M956" s="81"/>
      <c r="N956" s="81"/>
      <c r="O956" s="81"/>
      <c r="P956" s="81"/>
      <c r="Q956" s="81"/>
      <c r="R956" s="81"/>
      <c r="S956" s="81"/>
      <c r="T956" s="81"/>
      <c r="U956" s="81"/>
      <c r="V956" s="81"/>
      <c r="W956" s="81"/>
      <c r="X956" s="81"/>
      <c r="Y956" s="81"/>
      <c r="Z956" s="81"/>
      <c r="AA956" s="81"/>
      <c r="AB956" s="81"/>
      <c r="AC956" s="81"/>
      <c r="AD956" s="81"/>
      <c r="AE956" s="81"/>
      <c r="AF956" s="81"/>
      <c r="AG956" s="81"/>
      <c r="AH956" s="81"/>
      <c r="AI956" s="81"/>
      <c r="AJ956" s="91"/>
      <c r="AK956" s="182"/>
      <c r="AN956" s="173"/>
      <c r="AO956" s="175"/>
      <c r="AP956" s="175"/>
      <c r="AQ956" s="175"/>
      <c r="AR956" s="175"/>
      <c r="AS956" s="175"/>
      <c r="AT956" s="175"/>
      <c r="AU956" s="175"/>
      <c r="AV956" s="175"/>
      <c r="AW956" s="175"/>
      <c r="AX956" s="175"/>
      <c r="AY956" s="175"/>
      <c r="AZ956" s="175"/>
      <c r="BA956" s="175"/>
      <c r="BB956" s="175"/>
      <c r="BC956" s="175"/>
      <c r="BD956" s="175"/>
      <c r="BE956" s="175"/>
      <c r="BF956" s="175"/>
      <c r="BG956" s="175"/>
      <c r="BH956" s="175"/>
      <c r="BI956" s="175"/>
      <c r="BJ956" s="175"/>
      <c r="BK956" s="175"/>
      <c r="BL956" s="175"/>
      <c r="BM956" s="175"/>
      <c r="BN956" s="175"/>
      <c r="BO956" s="175"/>
      <c r="BP956" s="175"/>
      <c r="BQ956" s="175"/>
      <c r="BR956" s="175"/>
      <c r="BS956" s="175"/>
      <c r="BT956" s="55"/>
      <c r="BU956" s="55"/>
      <c r="BV956" s="55"/>
      <c r="BW956" s="173"/>
      <c r="BX956" s="175"/>
      <c r="BY956" s="175"/>
      <c r="BZ956" s="175"/>
      <c r="CA956" s="173"/>
      <c r="CB956" s="173"/>
      <c r="CC956" s="173"/>
      <c r="CD956" s="173"/>
      <c r="CE956" s="173"/>
      <c r="CF956" s="173"/>
      <c r="CG956" s="175"/>
      <c r="CH956" s="175"/>
      <c r="CI956" s="175"/>
      <c r="CJ956" s="175"/>
      <c r="CK956" s="55"/>
      <c r="CL956" s="55"/>
      <c r="CM956" s="55"/>
      <c r="CN956" s="173"/>
      <c r="CO956" s="175"/>
      <c r="CP956" s="175"/>
      <c r="CQ956" s="175"/>
      <c r="CR956" s="175"/>
      <c r="CS956" s="175"/>
      <c r="CT956" s="175"/>
      <c r="CU956" s="175"/>
      <c r="CV956" s="175"/>
      <c r="CW956" s="218"/>
      <c r="CX956" s="218"/>
      <c r="CY956" s="218"/>
      <c r="CZ956" s="218"/>
      <c r="DA956" s="218"/>
      <c r="DB956" s="218"/>
      <c r="DC956" s="218"/>
      <c r="DD956" s="218"/>
      <c r="DE956" s="218"/>
      <c r="DF956" s="218"/>
      <c r="DG956" s="175"/>
      <c r="DH956" s="175"/>
      <c r="DI956" s="175"/>
      <c r="DJ956" s="175"/>
      <c r="DK956" s="175"/>
      <c r="DL956" s="175"/>
      <c r="DM956" s="175"/>
      <c r="DN956" s="175"/>
      <c r="DO956" s="175"/>
      <c r="DP956" s="175"/>
      <c r="DQ956" s="175"/>
      <c r="DR956" s="175"/>
      <c r="DS956" s="175"/>
      <c r="DT956" s="175"/>
      <c r="DU956" s="175"/>
      <c r="DV956" s="175"/>
      <c r="DW956" s="175"/>
      <c r="DX956" s="175"/>
      <c r="DY956" s="175"/>
      <c r="DZ956" s="175"/>
      <c r="EA956" s="175"/>
      <c r="EB956" s="175"/>
      <c r="EC956" s="175"/>
      <c r="ED956" s="175"/>
      <c r="EE956" s="175"/>
      <c r="EI956" s="173"/>
      <c r="EJ956" s="175"/>
      <c r="EK956" s="175"/>
      <c r="EL956" s="175"/>
      <c r="EM956" s="175"/>
      <c r="EN956" s="175"/>
      <c r="EO956" s="175"/>
      <c r="EP956" s="175"/>
      <c r="EQ956" s="175"/>
      <c r="ER956" s="175"/>
      <c r="ES956" s="175"/>
      <c r="ET956" s="175"/>
      <c r="EU956" s="175"/>
      <c r="EV956" s="175"/>
      <c r="EW956" s="175"/>
      <c r="EX956" s="175"/>
      <c r="EY956" s="175"/>
      <c r="EZ956" s="175"/>
      <c r="FA956" s="175"/>
      <c r="FB956" s="175"/>
      <c r="FC956" s="175"/>
      <c r="FD956" s="175"/>
      <c r="FE956" s="175"/>
      <c r="FF956" s="175"/>
      <c r="FG956" s="175"/>
      <c r="FH956" s="175"/>
      <c r="FI956" s="175"/>
      <c r="FJ956" s="175"/>
      <c r="FK956" s="175"/>
      <c r="FL956" s="175"/>
      <c r="FM956" s="175"/>
      <c r="FN956" s="175"/>
      <c r="FR956" s="173"/>
      <c r="FS956" s="175"/>
      <c r="FT956" s="175"/>
      <c r="FU956" s="175"/>
      <c r="FV956" s="175"/>
      <c r="FW956" s="175"/>
      <c r="FX956" s="175"/>
      <c r="FY956" s="175"/>
      <c r="FZ956" s="175"/>
      <c r="GA956" s="175"/>
      <c r="GB956" s="175"/>
      <c r="GC956" s="175"/>
      <c r="GD956" s="175"/>
      <c r="GE956" s="175"/>
      <c r="GF956" s="175"/>
      <c r="GG956" s="175"/>
      <c r="GH956" s="175"/>
      <c r="GI956" s="175"/>
      <c r="GJ956" s="175"/>
      <c r="GK956" s="175"/>
      <c r="GL956" s="175"/>
      <c r="GM956" s="175"/>
      <c r="GN956" s="175"/>
      <c r="GO956" s="175"/>
      <c r="GP956" s="175"/>
      <c r="GQ956" s="175"/>
      <c r="GR956" s="175"/>
      <c r="GS956" s="175"/>
      <c r="GT956" s="175"/>
      <c r="GU956" s="175"/>
      <c r="GV956" s="175"/>
      <c r="GW956" s="175"/>
      <c r="HA956" s="173"/>
      <c r="HB956" s="175"/>
      <c r="HC956" s="175"/>
      <c r="HD956" s="175"/>
      <c r="HE956" s="175"/>
      <c r="HF956" s="175"/>
      <c r="HG956" s="175"/>
      <c r="HH956" s="175"/>
      <c r="HI956" s="175"/>
      <c r="HJ956" s="175"/>
      <c r="HK956" s="175"/>
      <c r="HL956" s="175"/>
      <c r="HM956" s="175"/>
      <c r="HN956" s="175"/>
      <c r="HO956" s="175"/>
      <c r="HP956" s="175"/>
      <c r="HQ956" s="175"/>
      <c r="HR956" s="175"/>
      <c r="HS956" s="175"/>
      <c r="HT956" s="175"/>
      <c r="HU956" s="175"/>
      <c r="HV956" s="175"/>
      <c r="HW956" s="175"/>
      <c r="HX956" s="175"/>
      <c r="HY956" s="175"/>
      <c r="HZ956" s="175"/>
      <c r="IA956" s="175"/>
      <c r="IB956" s="175"/>
      <c r="IC956" s="175"/>
      <c r="ID956" s="175"/>
      <c r="IE956" s="175"/>
      <c r="IF956" s="175"/>
      <c r="IH956" s="54"/>
      <c r="II956" s="54"/>
      <c r="IJ956" s="173"/>
      <c r="IK956" s="175"/>
      <c r="IL956" s="175"/>
      <c r="IM956" s="175"/>
      <c r="IN956" s="175"/>
      <c r="IO956" s="175"/>
      <c r="IP956" s="175"/>
      <c r="IQ956" s="175"/>
      <c r="IR956" s="175"/>
      <c r="IS956" s="175"/>
      <c r="IT956" s="175"/>
      <c r="IU956" s="175"/>
      <c r="IV956" s="175"/>
      <c r="IW956" s="175"/>
      <c r="IX956" s="175"/>
      <c r="IY956" s="175"/>
      <c r="IZ956" s="175"/>
      <c r="JA956" s="175"/>
      <c r="JB956" s="175"/>
      <c r="JC956" s="175"/>
      <c r="JD956" s="175"/>
      <c r="JE956" s="175"/>
      <c r="JF956" s="175"/>
      <c r="JG956" s="175"/>
      <c r="JH956" s="175"/>
      <c r="JI956" s="175"/>
      <c r="JJ956" s="175"/>
      <c r="JK956" s="175"/>
      <c r="JL956" s="175"/>
      <c r="JM956" s="175"/>
      <c r="JN956" s="175"/>
      <c r="JO956" s="175"/>
      <c r="JS956" s="173"/>
      <c r="JT956" s="175"/>
      <c r="JU956" s="175"/>
      <c r="JV956" s="175"/>
      <c r="JW956" s="175"/>
      <c r="JX956" s="175"/>
      <c r="JY956" s="175"/>
      <c r="JZ956" s="175"/>
      <c r="KA956" s="175"/>
      <c r="KB956" s="175"/>
      <c r="KC956" s="175"/>
      <c r="KD956" s="175"/>
      <c r="KE956" s="175"/>
      <c r="KF956" s="175"/>
      <c r="KG956" s="175"/>
      <c r="KH956" s="175"/>
      <c r="KI956" s="175"/>
      <c r="KJ956" s="175"/>
      <c r="KK956" s="175"/>
      <c r="KL956" s="175"/>
      <c r="KM956" s="175"/>
      <c r="KN956" s="175"/>
      <c r="KO956" s="175"/>
      <c r="KP956" s="175"/>
      <c r="KQ956" s="175"/>
      <c r="KR956" s="175"/>
      <c r="KS956" s="175"/>
      <c r="KT956" s="175"/>
      <c r="KU956" s="175"/>
      <c r="KV956" s="175"/>
      <c r="KW956" s="175"/>
      <c r="KX956" s="175"/>
    </row>
    <row r="957" spans="1:310" ht="12.75" customHeight="1" x14ac:dyDescent="0.2">
      <c r="A957" s="54"/>
      <c r="B957" s="54"/>
      <c r="C957" s="54"/>
      <c r="D957" s="54"/>
      <c r="E957" s="324" t="str">
        <f>IF( $O$61="Embebido",$BW$957,
          IF( OR($O$64 ="Hilti HIT-RE 500-SD",$O$64 ="Hilti HIT-HY 200-R",$O$64 ="Hilti HIT-MM Plus",$O$64 ="Inyectable"),$IJ$957,
                    IF( OR($O$64 ="Hilti HDA",$O$64 ="Sobre-excavado"),$HA$957,
                            IF( OR($O$64 ="Hilti HSL-3",$O$64 ="Expansivo de camisa"),$FR$957,
                                         IF( OR($O$64 ="Hilti KH-EZ",$O$64 ="Hilti KH",$O$64 ="Hilti KH-EZ-I",$O$64 ="Hilti KH-I",$O$64 ="Atornillado"),$EI$957,
                                                      IF( OR( $O$64 ="Hilti HKB3",$O$64 ="Expansivo de cuña"),$CN$957,
                                                                    IF( OR($O$64 ="Hilti HVA",$O$64 ="Capsula"),$JS$957,
                                                                                  $AN$957                                                                        )
                                                          )
                                              )
                                 )
                        )
             )
   )</f>
        <v>d.      Varilla roscada Hilti HAS con sistema HIT-RE 500 SD para anclaje a concreto, según certificación ICC ESR-2322.</v>
      </c>
      <c r="F957" s="324"/>
      <c r="G957" s="324"/>
      <c r="H957" s="324"/>
      <c r="I957" s="324"/>
      <c r="J957" s="324"/>
      <c r="K957" s="324"/>
      <c r="L957" s="324"/>
      <c r="M957" s="324"/>
      <c r="N957" s="324"/>
      <c r="O957" s="324"/>
      <c r="P957" s="324"/>
      <c r="Q957" s="324"/>
      <c r="R957" s="324"/>
      <c r="S957" s="324"/>
      <c r="T957" s="324"/>
      <c r="U957" s="324"/>
      <c r="V957" s="324"/>
      <c r="W957" s="324"/>
      <c r="X957" s="324"/>
      <c r="Y957" s="324"/>
      <c r="Z957" s="324"/>
      <c r="AA957" s="324"/>
      <c r="AB957" s="324"/>
      <c r="AC957" s="324"/>
      <c r="AD957" s="324"/>
      <c r="AE957" s="324"/>
      <c r="AF957" s="324"/>
      <c r="AG957" s="324"/>
      <c r="AH957" s="324"/>
      <c r="AI957" s="324"/>
      <c r="AJ957" s="324"/>
      <c r="AK957" s="173"/>
      <c r="AN957" s="324" t="s">
        <v>271</v>
      </c>
      <c r="AO957" s="324"/>
      <c r="AP957" s="324"/>
      <c r="AQ957" s="324"/>
      <c r="AR957" s="324"/>
      <c r="AS957" s="324"/>
      <c r="AT957" s="324"/>
      <c r="AU957" s="324"/>
      <c r="AV957" s="324"/>
      <c r="AW957" s="324"/>
      <c r="AX957" s="324"/>
      <c r="AY957" s="324"/>
      <c r="AZ957" s="324"/>
      <c r="BA957" s="324"/>
      <c r="BB957" s="324"/>
      <c r="BC957" s="324"/>
      <c r="BD957" s="324"/>
      <c r="BE957" s="324"/>
      <c r="BF957" s="324"/>
      <c r="BG957" s="324"/>
      <c r="BH957" s="324"/>
      <c r="BI957" s="324"/>
      <c r="BJ957" s="324"/>
      <c r="BK957" s="324"/>
      <c r="BL957" s="324"/>
      <c r="BM957" s="324"/>
      <c r="BN957" s="324"/>
      <c r="BO957" s="324"/>
      <c r="BP957" s="324"/>
      <c r="BQ957" s="324"/>
      <c r="BR957" s="324"/>
      <c r="BS957" s="324"/>
      <c r="BT957" s="55"/>
      <c r="BU957" s="55"/>
      <c r="BV957" s="55"/>
      <c r="BW957" s="173" t="s">
        <v>271</v>
      </c>
      <c r="BX957" s="173"/>
      <c r="BY957" s="173"/>
      <c r="BZ957" s="173"/>
      <c r="CA957" s="175"/>
      <c r="CB957" s="175"/>
      <c r="CC957" s="175"/>
      <c r="CD957" s="175"/>
      <c r="CE957" s="175"/>
      <c r="CF957" s="175"/>
      <c r="CG957" s="173"/>
      <c r="CH957" s="173"/>
      <c r="CI957" s="173"/>
      <c r="CJ957" s="173"/>
      <c r="CK957" s="55"/>
      <c r="CL957" s="55"/>
      <c r="CM957" s="55"/>
      <c r="CN957" s="324" t="s">
        <v>271</v>
      </c>
      <c r="CO957" s="324"/>
      <c r="CP957" s="324"/>
      <c r="CQ957" s="324"/>
      <c r="CR957" s="324"/>
      <c r="CS957" s="324"/>
      <c r="CT957" s="324"/>
      <c r="CU957" s="324"/>
      <c r="CV957" s="324"/>
      <c r="CW957" s="324"/>
      <c r="CX957" s="324"/>
      <c r="CY957" s="324"/>
      <c r="CZ957" s="324"/>
      <c r="DA957" s="324"/>
      <c r="DB957" s="324"/>
      <c r="DC957" s="324"/>
      <c r="DD957" s="324"/>
      <c r="DE957" s="324"/>
      <c r="DF957" s="324"/>
      <c r="DG957" s="324"/>
      <c r="DH957" s="324"/>
      <c r="DI957" s="324"/>
      <c r="DJ957" s="324"/>
      <c r="DK957" s="324"/>
      <c r="DL957" s="324"/>
      <c r="DM957" s="324"/>
      <c r="DN957" s="324"/>
      <c r="DO957" s="324"/>
      <c r="DP957" s="324"/>
      <c r="DQ957" s="324"/>
      <c r="DR957" s="324"/>
      <c r="DS957" s="324"/>
      <c r="DT957" s="324"/>
      <c r="DU957" s="324"/>
      <c r="DV957" s="324"/>
      <c r="DW957" s="324"/>
      <c r="DX957" s="324"/>
      <c r="DY957" s="324"/>
      <c r="DZ957" s="324"/>
      <c r="EA957" s="324"/>
      <c r="EB957" s="324"/>
      <c r="EC957" s="324"/>
      <c r="ED957" s="324"/>
      <c r="EE957" s="324"/>
      <c r="EI957" s="324" t="s">
        <v>271</v>
      </c>
      <c r="EJ957" s="324"/>
      <c r="EK957" s="324"/>
      <c r="EL957" s="324"/>
      <c r="EM957" s="324"/>
      <c r="EN957" s="324"/>
      <c r="EO957" s="324"/>
      <c r="EP957" s="324"/>
      <c r="EQ957" s="324"/>
      <c r="ER957" s="324"/>
      <c r="ES957" s="324"/>
      <c r="ET957" s="324"/>
      <c r="EU957" s="324"/>
      <c r="EV957" s="324"/>
      <c r="EW957" s="324"/>
      <c r="EX957" s="324"/>
      <c r="EY957" s="324"/>
      <c r="EZ957" s="324"/>
      <c r="FA957" s="324"/>
      <c r="FB957" s="324"/>
      <c r="FC957" s="324"/>
      <c r="FD957" s="324"/>
      <c r="FE957" s="324"/>
      <c r="FF957" s="324"/>
      <c r="FG957" s="324"/>
      <c r="FH957" s="324"/>
      <c r="FI957" s="324"/>
      <c r="FJ957" s="324"/>
      <c r="FK957" s="324"/>
      <c r="FL957" s="324"/>
      <c r="FM957" s="324"/>
      <c r="FN957" s="324"/>
      <c r="FR957" s="324" t="s">
        <v>271</v>
      </c>
      <c r="FS957" s="324"/>
      <c r="FT957" s="324"/>
      <c r="FU957" s="324"/>
      <c r="FV957" s="324"/>
      <c r="FW957" s="324"/>
      <c r="FX957" s="324"/>
      <c r="FY957" s="324"/>
      <c r="FZ957" s="324"/>
      <c r="GA957" s="324"/>
      <c r="GB957" s="324"/>
      <c r="GC957" s="324"/>
      <c r="GD957" s="324"/>
      <c r="GE957" s="324"/>
      <c r="GF957" s="324"/>
      <c r="GG957" s="324"/>
      <c r="GH957" s="324"/>
      <c r="GI957" s="324"/>
      <c r="GJ957" s="324"/>
      <c r="GK957" s="324"/>
      <c r="GL957" s="324"/>
      <c r="GM957" s="324"/>
      <c r="GN957" s="324"/>
      <c r="GO957" s="324"/>
      <c r="GP957" s="324"/>
      <c r="GQ957" s="324"/>
      <c r="GR957" s="324"/>
      <c r="GS957" s="324"/>
      <c r="GT957" s="324"/>
      <c r="GU957" s="324"/>
      <c r="GV957" s="324"/>
      <c r="GW957" s="324"/>
      <c r="HA957" s="324" t="s">
        <v>271</v>
      </c>
      <c r="HB957" s="324"/>
      <c r="HC957" s="324"/>
      <c r="HD957" s="324"/>
      <c r="HE957" s="324"/>
      <c r="HF957" s="324"/>
      <c r="HG957" s="324"/>
      <c r="HH957" s="324"/>
      <c r="HI957" s="324"/>
      <c r="HJ957" s="324"/>
      <c r="HK957" s="324"/>
      <c r="HL957" s="324"/>
      <c r="HM957" s="324"/>
      <c r="HN957" s="324"/>
      <c r="HO957" s="324"/>
      <c r="HP957" s="324"/>
      <c r="HQ957" s="324"/>
      <c r="HR957" s="324"/>
      <c r="HS957" s="324"/>
      <c r="HT957" s="324"/>
      <c r="HU957" s="324"/>
      <c r="HV957" s="324"/>
      <c r="HW957" s="324"/>
      <c r="HX957" s="324"/>
      <c r="HY957" s="324"/>
      <c r="HZ957" s="324"/>
      <c r="IA957" s="324"/>
      <c r="IB957" s="324"/>
      <c r="IC957" s="324"/>
      <c r="ID957" s="324"/>
      <c r="IE957" s="324"/>
      <c r="IF957" s="324"/>
      <c r="IH957" s="54"/>
      <c r="II957" s="54"/>
      <c r="IJ957" s="324" t="s">
        <v>343</v>
      </c>
      <c r="IK957" s="324"/>
      <c r="IL957" s="324"/>
      <c r="IM957" s="324"/>
      <c r="IN957" s="324"/>
      <c r="IO957" s="324"/>
      <c r="IP957" s="324"/>
      <c r="IQ957" s="324"/>
      <c r="IR957" s="324"/>
      <c r="IS957" s="324"/>
      <c r="IT957" s="324"/>
      <c r="IU957" s="324"/>
      <c r="IV957" s="324"/>
      <c r="IW957" s="324"/>
      <c r="IX957" s="324"/>
      <c r="IY957" s="324"/>
      <c r="IZ957" s="324"/>
      <c r="JA957" s="324"/>
      <c r="JB957" s="324"/>
      <c r="JC957" s="324"/>
      <c r="JD957" s="324"/>
      <c r="JE957" s="324"/>
      <c r="JF957" s="324"/>
      <c r="JG957" s="324"/>
      <c r="JH957" s="324"/>
      <c r="JI957" s="324"/>
      <c r="JJ957" s="324"/>
      <c r="JK957" s="324"/>
      <c r="JL957" s="324"/>
      <c r="JM957" s="324"/>
      <c r="JN957" s="324"/>
      <c r="JO957" s="324"/>
      <c r="JS957" s="324" t="s">
        <v>271</v>
      </c>
      <c r="JT957" s="324"/>
      <c r="JU957" s="324"/>
      <c r="JV957" s="324"/>
      <c r="JW957" s="324"/>
      <c r="JX957" s="324"/>
      <c r="JY957" s="324"/>
      <c r="JZ957" s="324"/>
      <c r="KA957" s="324"/>
      <c r="KB957" s="324"/>
      <c r="KC957" s="324"/>
      <c r="KD957" s="324"/>
      <c r="KE957" s="324"/>
      <c r="KF957" s="324"/>
      <c r="KG957" s="324"/>
      <c r="KH957" s="324"/>
      <c r="KI957" s="324"/>
      <c r="KJ957" s="324"/>
      <c r="KK957" s="324"/>
      <c r="KL957" s="324"/>
      <c r="KM957" s="324"/>
      <c r="KN957" s="324"/>
      <c r="KO957" s="324"/>
      <c r="KP957" s="324"/>
      <c r="KQ957" s="324"/>
      <c r="KR957" s="324"/>
      <c r="KS957" s="324"/>
      <c r="KT957" s="324"/>
      <c r="KU957" s="324"/>
      <c r="KV957" s="324"/>
      <c r="KW957" s="324"/>
      <c r="KX957" s="324"/>
    </row>
    <row r="958" spans="1:310" ht="12.75" x14ac:dyDescent="0.2">
      <c r="A958" s="54"/>
      <c r="B958" s="54"/>
      <c r="C958" s="54"/>
      <c r="D958" s="54"/>
      <c r="E958" s="324"/>
      <c r="F958" s="324"/>
      <c r="G958" s="324"/>
      <c r="H958" s="324"/>
      <c r="I958" s="324"/>
      <c r="J958" s="324"/>
      <c r="K958" s="324"/>
      <c r="L958" s="324"/>
      <c r="M958" s="324"/>
      <c r="N958" s="324"/>
      <c r="O958" s="324"/>
      <c r="P958" s="324"/>
      <c r="Q958" s="324"/>
      <c r="R958" s="324"/>
      <c r="S958" s="324"/>
      <c r="T958" s="324"/>
      <c r="U958" s="324"/>
      <c r="V958" s="324"/>
      <c r="W958" s="324"/>
      <c r="X958" s="324"/>
      <c r="Y958" s="324"/>
      <c r="Z958" s="324"/>
      <c r="AA958" s="324"/>
      <c r="AB958" s="324"/>
      <c r="AC958" s="324"/>
      <c r="AD958" s="324"/>
      <c r="AE958" s="324"/>
      <c r="AF958" s="324"/>
      <c r="AG958" s="324"/>
      <c r="AH958" s="324"/>
      <c r="AI958" s="324"/>
      <c r="AJ958" s="324"/>
      <c r="AK958" s="173"/>
      <c r="AN958" s="324"/>
      <c r="AO958" s="324"/>
      <c r="AP958" s="324"/>
      <c r="AQ958" s="324"/>
      <c r="AR958" s="324"/>
      <c r="AS958" s="324"/>
      <c r="AT958" s="324"/>
      <c r="AU958" s="324"/>
      <c r="AV958" s="324"/>
      <c r="AW958" s="324"/>
      <c r="AX958" s="324"/>
      <c r="AY958" s="324"/>
      <c r="AZ958" s="324"/>
      <c r="BA958" s="324"/>
      <c r="BB958" s="324"/>
      <c r="BC958" s="324"/>
      <c r="BD958" s="324"/>
      <c r="BE958" s="324"/>
      <c r="BF958" s="324"/>
      <c r="BG958" s="324"/>
      <c r="BH958" s="324"/>
      <c r="BI958" s="324"/>
      <c r="BJ958" s="324"/>
      <c r="BK958" s="324"/>
      <c r="BL958" s="324"/>
      <c r="BM958" s="324"/>
      <c r="BN958" s="324"/>
      <c r="BO958" s="324"/>
      <c r="BP958" s="324"/>
      <c r="BQ958" s="324"/>
      <c r="BR958" s="324"/>
      <c r="BS958" s="324"/>
      <c r="BT958" s="55"/>
      <c r="BU958" s="55"/>
      <c r="BV958" s="55"/>
      <c r="BW958" s="173"/>
      <c r="BX958" s="173"/>
      <c r="BY958" s="173"/>
      <c r="BZ958" s="173"/>
      <c r="CA958" s="173"/>
      <c r="CB958" s="173"/>
      <c r="CC958" s="173"/>
      <c r="CD958" s="173"/>
      <c r="CE958" s="173"/>
      <c r="CF958" s="173"/>
      <c r="CG958" s="173"/>
      <c r="CH958" s="173"/>
      <c r="CI958" s="173"/>
      <c r="CJ958" s="173"/>
      <c r="CK958" s="55"/>
      <c r="CL958" s="55"/>
      <c r="CM958" s="55"/>
      <c r="CN958" s="324"/>
      <c r="CO958" s="324"/>
      <c r="CP958" s="324"/>
      <c r="CQ958" s="324"/>
      <c r="CR958" s="324"/>
      <c r="CS958" s="324"/>
      <c r="CT958" s="324"/>
      <c r="CU958" s="324"/>
      <c r="CV958" s="324"/>
      <c r="CW958" s="324"/>
      <c r="CX958" s="324"/>
      <c r="CY958" s="324"/>
      <c r="CZ958" s="324"/>
      <c r="DA958" s="324"/>
      <c r="DB958" s="324"/>
      <c r="DC958" s="324"/>
      <c r="DD958" s="324"/>
      <c r="DE958" s="324"/>
      <c r="DF958" s="324"/>
      <c r="DG958" s="324"/>
      <c r="DH958" s="324"/>
      <c r="DI958" s="324"/>
      <c r="DJ958" s="324"/>
      <c r="DK958" s="324"/>
      <c r="DL958" s="324"/>
      <c r="DM958" s="324"/>
      <c r="DN958" s="324"/>
      <c r="DO958" s="324"/>
      <c r="DP958" s="324"/>
      <c r="DQ958" s="324"/>
      <c r="DR958" s="324"/>
      <c r="DS958" s="324"/>
      <c r="DT958" s="324"/>
      <c r="DU958" s="324"/>
      <c r="DV958" s="324"/>
      <c r="DW958" s="324"/>
      <c r="DX958" s="324"/>
      <c r="DY958" s="324"/>
      <c r="DZ958" s="324"/>
      <c r="EA958" s="324"/>
      <c r="EB958" s="324"/>
      <c r="EC958" s="324"/>
      <c r="ED958" s="324"/>
      <c r="EE958" s="324"/>
      <c r="EI958" s="324"/>
      <c r="EJ958" s="324"/>
      <c r="EK958" s="324"/>
      <c r="EL958" s="324"/>
      <c r="EM958" s="324"/>
      <c r="EN958" s="324"/>
      <c r="EO958" s="324"/>
      <c r="EP958" s="324"/>
      <c r="EQ958" s="324"/>
      <c r="ER958" s="324"/>
      <c r="ES958" s="324"/>
      <c r="ET958" s="324"/>
      <c r="EU958" s="324"/>
      <c r="EV958" s="324"/>
      <c r="EW958" s="324"/>
      <c r="EX958" s="324"/>
      <c r="EY958" s="324"/>
      <c r="EZ958" s="324"/>
      <c r="FA958" s="324"/>
      <c r="FB958" s="324"/>
      <c r="FC958" s="324"/>
      <c r="FD958" s="324"/>
      <c r="FE958" s="324"/>
      <c r="FF958" s="324"/>
      <c r="FG958" s="324"/>
      <c r="FH958" s="324"/>
      <c r="FI958" s="324"/>
      <c r="FJ958" s="324"/>
      <c r="FK958" s="324"/>
      <c r="FL958" s="324"/>
      <c r="FM958" s="324"/>
      <c r="FN958" s="324"/>
      <c r="FR958" s="324"/>
      <c r="FS958" s="324"/>
      <c r="FT958" s="324"/>
      <c r="FU958" s="324"/>
      <c r="FV958" s="324"/>
      <c r="FW958" s="324"/>
      <c r="FX958" s="324"/>
      <c r="FY958" s="324"/>
      <c r="FZ958" s="324"/>
      <c r="GA958" s="324"/>
      <c r="GB958" s="324"/>
      <c r="GC958" s="324"/>
      <c r="GD958" s="324"/>
      <c r="GE958" s="324"/>
      <c r="GF958" s="324"/>
      <c r="GG958" s="324"/>
      <c r="GH958" s="324"/>
      <c r="GI958" s="324"/>
      <c r="GJ958" s="324"/>
      <c r="GK958" s="324"/>
      <c r="GL958" s="324"/>
      <c r="GM958" s="324"/>
      <c r="GN958" s="324"/>
      <c r="GO958" s="324"/>
      <c r="GP958" s="324"/>
      <c r="GQ958" s="324"/>
      <c r="GR958" s="324"/>
      <c r="GS958" s="324"/>
      <c r="GT958" s="324"/>
      <c r="GU958" s="324"/>
      <c r="GV958" s="324"/>
      <c r="GW958" s="324"/>
      <c r="HA958" s="324"/>
      <c r="HB958" s="324"/>
      <c r="HC958" s="324"/>
      <c r="HD958" s="324"/>
      <c r="HE958" s="324"/>
      <c r="HF958" s="324"/>
      <c r="HG958" s="324"/>
      <c r="HH958" s="324"/>
      <c r="HI958" s="324"/>
      <c r="HJ958" s="324"/>
      <c r="HK958" s="324"/>
      <c r="HL958" s="324"/>
      <c r="HM958" s="324"/>
      <c r="HN958" s="324"/>
      <c r="HO958" s="324"/>
      <c r="HP958" s="324"/>
      <c r="HQ958" s="324"/>
      <c r="HR958" s="324"/>
      <c r="HS958" s="324"/>
      <c r="HT958" s="324"/>
      <c r="HU958" s="324"/>
      <c r="HV958" s="324"/>
      <c r="HW958" s="324"/>
      <c r="HX958" s="324"/>
      <c r="HY958" s="324"/>
      <c r="HZ958" s="324"/>
      <c r="IA958" s="324"/>
      <c r="IB958" s="324"/>
      <c r="IC958" s="324"/>
      <c r="ID958" s="324"/>
      <c r="IE958" s="324"/>
      <c r="IF958" s="324"/>
      <c r="IH958" s="54"/>
      <c r="II958" s="54"/>
      <c r="IJ958" s="324"/>
      <c r="IK958" s="324"/>
      <c r="IL958" s="324"/>
      <c r="IM958" s="324"/>
      <c r="IN958" s="324"/>
      <c r="IO958" s="324"/>
      <c r="IP958" s="324"/>
      <c r="IQ958" s="324"/>
      <c r="IR958" s="324"/>
      <c r="IS958" s="324"/>
      <c r="IT958" s="324"/>
      <c r="IU958" s="324"/>
      <c r="IV958" s="324"/>
      <c r="IW958" s="324"/>
      <c r="IX958" s="324"/>
      <c r="IY958" s="324"/>
      <c r="IZ958" s="324"/>
      <c r="JA958" s="324"/>
      <c r="JB958" s="324"/>
      <c r="JC958" s="324"/>
      <c r="JD958" s="324"/>
      <c r="JE958" s="324"/>
      <c r="JF958" s="324"/>
      <c r="JG958" s="324"/>
      <c r="JH958" s="324"/>
      <c r="JI958" s="324"/>
      <c r="JJ958" s="324"/>
      <c r="JK958" s="324"/>
      <c r="JL958" s="324"/>
      <c r="JM958" s="324"/>
      <c r="JN958" s="324"/>
      <c r="JO958" s="324"/>
      <c r="JS958" s="324"/>
      <c r="JT958" s="324"/>
      <c r="JU958" s="324"/>
      <c r="JV958" s="324"/>
      <c r="JW958" s="324"/>
      <c r="JX958" s="324"/>
      <c r="JY958" s="324"/>
      <c r="JZ958" s="324"/>
      <c r="KA958" s="324"/>
      <c r="KB958" s="324"/>
      <c r="KC958" s="324"/>
      <c r="KD958" s="324"/>
      <c r="KE958" s="324"/>
      <c r="KF958" s="324"/>
      <c r="KG958" s="324"/>
      <c r="KH958" s="324"/>
      <c r="KI958" s="324"/>
      <c r="KJ958" s="324"/>
      <c r="KK958" s="324"/>
      <c r="KL958" s="324"/>
      <c r="KM958" s="324"/>
      <c r="KN958" s="324"/>
      <c r="KO958" s="324"/>
      <c r="KP958" s="324"/>
      <c r="KQ958" s="324"/>
      <c r="KR958" s="324"/>
      <c r="KS958" s="324"/>
      <c r="KT958" s="324"/>
      <c r="KU958" s="324"/>
      <c r="KV958" s="324"/>
      <c r="KW958" s="324"/>
      <c r="KX958" s="324"/>
    </row>
    <row r="959" spans="1:310" ht="12.75" x14ac:dyDescent="0.2">
      <c r="A959" s="54"/>
      <c r="B959" s="54"/>
      <c r="C959" s="54"/>
      <c r="D959" s="54"/>
      <c r="E959" s="80"/>
      <c r="F959" s="81"/>
      <c r="G959" s="81"/>
      <c r="H959" s="81"/>
      <c r="I959" s="81"/>
      <c r="J959" s="81"/>
      <c r="K959" s="81"/>
      <c r="L959" s="81"/>
      <c r="M959" s="81"/>
      <c r="N959" s="81"/>
      <c r="O959" s="81"/>
      <c r="P959" s="81"/>
      <c r="Q959" s="81"/>
      <c r="R959" s="81"/>
      <c r="S959" s="81"/>
      <c r="T959" s="81"/>
      <c r="U959" s="81"/>
      <c r="V959" s="81"/>
      <c r="W959" s="81"/>
      <c r="X959" s="81"/>
      <c r="Y959" s="81"/>
      <c r="Z959" s="81"/>
      <c r="AA959" s="81"/>
      <c r="AB959" s="81"/>
      <c r="AC959" s="81"/>
      <c r="AD959" s="81"/>
      <c r="AE959" s="81"/>
      <c r="AF959" s="81"/>
      <c r="AG959" s="81"/>
      <c r="AH959" s="81"/>
      <c r="AI959" s="81"/>
      <c r="AJ959" s="91"/>
      <c r="AK959" s="182"/>
      <c r="AN959" s="173"/>
      <c r="AO959" s="175"/>
      <c r="AP959" s="175"/>
      <c r="AQ959" s="175"/>
      <c r="AR959" s="175"/>
      <c r="AS959" s="175"/>
      <c r="AT959" s="175"/>
      <c r="AU959" s="175"/>
      <c r="AV959" s="175"/>
      <c r="AW959" s="175"/>
      <c r="AX959" s="175"/>
      <c r="AY959" s="175"/>
      <c r="AZ959" s="175"/>
      <c r="BA959" s="175"/>
      <c r="BB959" s="175"/>
      <c r="BC959" s="175"/>
      <c r="BD959" s="175"/>
      <c r="BE959" s="175"/>
      <c r="BF959" s="175"/>
      <c r="BG959" s="175"/>
      <c r="BH959" s="175"/>
      <c r="BI959" s="175"/>
      <c r="BJ959" s="175"/>
      <c r="BK959" s="175"/>
      <c r="BL959" s="175"/>
      <c r="BM959" s="175"/>
      <c r="BN959" s="175"/>
      <c r="BO959" s="175"/>
      <c r="BP959" s="175"/>
      <c r="BQ959" s="175"/>
      <c r="BR959" s="175"/>
      <c r="BS959" s="175"/>
      <c r="BT959" s="55"/>
      <c r="BU959" s="55"/>
      <c r="BV959" s="55"/>
      <c r="BW959" s="173"/>
      <c r="BX959" s="175"/>
      <c r="BY959" s="175"/>
      <c r="BZ959" s="175"/>
      <c r="CA959" s="173"/>
      <c r="CB959" s="173"/>
      <c r="CC959" s="173"/>
      <c r="CD959" s="173"/>
      <c r="CE959" s="173"/>
      <c r="CF959" s="173"/>
      <c r="CG959" s="175"/>
      <c r="CH959" s="175"/>
      <c r="CI959" s="175"/>
      <c r="CJ959" s="175"/>
      <c r="CK959" s="55"/>
      <c r="CL959" s="55"/>
      <c r="CM959" s="55"/>
      <c r="CN959" s="173"/>
      <c r="CO959" s="175"/>
      <c r="CP959" s="175"/>
      <c r="CQ959" s="175"/>
      <c r="CR959" s="175"/>
      <c r="CS959" s="175"/>
      <c r="CT959" s="175"/>
      <c r="CU959" s="175"/>
      <c r="CV959" s="175"/>
      <c r="CW959" s="218"/>
      <c r="CX959" s="218"/>
      <c r="CY959" s="218"/>
      <c r="CZ959" s="218"/>
      <c r="DA959" s="218"/>
      <c r="DB959" s="218"/>
      <c r="DC959" s="218"/>
      <c r="DD959" s="218"/>
      <c r="DE959" s="218"/>
      <c r="DF959" s="218"/>
      <c r="DG959" s="175"/>
      <c r="DH959" s="175"/>
      <c r="DI959" s="175"/>
      <c r="DJ959" s="175"/>
      <c r="DK959" s="175"/>
      <c r="DL959" s="175"/>
      <c r="DM959" s="175"/>
      <c r="DN959" s="175"/>
      <c r="DO959" s="175"/>
      <c r="DP959" s="175"/>
      <c r="DQ959" s="175"/>
      <c r="DR959" s="175"/>
      <c r="DS959" s="175"/>
      <c r="DT959" s="175"/>
      <c r="DU959" s="175"/>
      <c r="DV959" s="175"/>
      <c r="DW959" s="175"/>
      <c r="DX959" s="175"/>
      <c r="DY959" s="175"/>
      <c r="DZ959" s="175"/>
      <c r="EA959" s="175"/>
      <c r="EB959" s="175"/>
      <c r="EC959" s="175"/>
      <c r="ED959" s="175"/>
      <c r="EE959" s="175"/>
      <c r="EI959" s="173"/>
      <c r="EJ959" s="175"/>
      <c r="EK959" s="175"/>
      <c r="EL959" s="175"/>
      <c r="EM959" s="175"/>
      <c r="EN959" s="175"/>
      <c r="EO959" s="175"/>
      <c r="EP959" s="175"/>
      <c r="EQ959" s="175"/>
      <c r="ER959" s="175"/>
      <c r="ES959" s="175"/>
      <c r="ET959" s="175"/>
      <c r="EU959" s="175"/>
      <c r="EV959" s="175"/>
      <c r="EW959" s="175"/>
      <c r="EX959" s="175"/>
      <c r="EY959" s="175"/>
      <c r="EZ959" s="175"/>
      <c r="FA959" s="175"/>
      <c r="FB959" s="175"/>
      <c r="FC959" s="175"/>
      <c r="FD959" s="175"/>
      <c r="FE959" s="175"/>
      <c r="FF959" s="175"/>
      <c r="FG959" s="175"/>
      <c r="FH959" s="175"/>
      <c r="FI959" s="175"/>
      <c r="FJ959" s="175"/>
      <c r="FK959" s="175"/>
      <c r="FL959" s="175"/>
      <c r="FM959" s="175"/>
      <c r="FN959" s="175"/>
      <c r="FR959" s="173"/>
      <c r="FS959" s="175"/>
      <c r="FT959" s="175"/>
      <c r="FU959" s="175"/>
      <c r="FV959" s="175"/>
      <c r="FW959" s="175"/>
      <c r="FX959" s="175"/>
      <c r="FY959" s="175"/>
      <c r="FZ959" s="175"/>
      <c r="GA959" s="175"/>
      <c r="GB959" s="175"/>
      <c r="GC959" s="175"/>
      <c r="GD959" s="175"/>
      <c r="GE959" s="175"/>
      <c r="GF959" s="175"/>
      <c r="GG959" s="175"/>
      <c r="GH959" s="175"/>
      <c r="GI959" s="175"/>
      <c r="GJ959" s="175"/>
      <c r="GK959" s="175"/>
      <c r="GL959" s="175"/>
      <c r="GM959" s="175"/>
      <c r="GN959" s="175"/>
      <c r="GO959" s="175"/>
      <c r="GP959" s="175"/>
      <c r="GQ959" s="175"/>
      <c r="GR959" s="175"/>
      <c r="GS959" s="175"/>
      <c r="GT959" s="175"/>
      <c r="GU959" s="175"/>
      <c r="GV959" s="175"/>
      <c r="GW959" s="175"/>
      <c r="HA959" s="173"/>
      <c r="HB959" s="175"/>
      <c r="HC959" s="175"/>
      <c r="HD959" s="175"/>
      <c r="HE959" s="175"/>
      <c r="HF959" s="175"/>
      <c r="HG959" s="175"/>
      <c r="HH959" s="175"/>
      <c r="HI959" s="175"/>
      <c r="HJ959" s="175"/>
      <c r="HK959" s="175"/>
      <c r="HL959" s="175"/>
      <c r="HM959" s="175"/>
      <c r="HN959" s="175"/>
      <c r="HO959" s="175"/>
      <c r="HP959" s="175"/>
      <c r="HQ959" s="175"/>
      <c r="HR959" s="175"/>
      <c r="HS959" s="175"/>
      <c r="HT959" s="175"/>
      <c r="HU959" s="175"/>
      <c r="HV959" s="175"/>
      <c r="HW959" s="175"/>
      <c r="HX959" s="175"/>
      <c r="HY959" s="175"/>
      <c r="HZ959" s="175"/>
      <c r="IA959" s="175"/>
      <c r="IB959" s="175"/>
      <c r="IC959" s="175"/>
      <c r="ID959" s="175"/>
      <c r="IE959" s="175"/>
      <c r="IF959" s="175"/>
      <c r="IH959" s="54"/>
      <c r="II959" s="54"/>
      <c r="IJ959" s="173"/>
      <c r="IK959" s="175"/>
      <c r="IL959" s="175"/>
      <c r="IM959" s="175"/>
      <c r="IN959" s="175"/>
      <c r="IO959" s="175"/>
      <c r="IP959" s="175"/>
      <c r="IQ959" s="175"/>
      <c r="IR959" s="175"/>
      <c r="IS959" s="175"/>
      <c r="IT959" s="175"/>
      <c r="IU959" s="175"/>
      <c r="IV959" s="175"/>
      <c r="IW959" s="175"/>
      <c r="IX959" s="175"/>
      <c r="IY959" s="175"/>
      <c r="IZ959" s="175"/>
      <c r="JA959" s="175"/>
      <c r="JB959" s="175"/>
      <c r="JC959" s="175"/>
      <c r="JD959" s="175"/>
      <c r="JE959" s="175"/>
      <c r="JF959" s="175"/>
      <c r="JG959" s="175"/>
      <c r="JH959" s="175"/>
      <c r="JI959" s="175"/>
      <c r="JJ959" s="175"/>
      <c r="JK959" s="175"/>
      <c r="JL959" s="175"/>
      <c r="JM959" s="175"/>
      <c r="JN959" s="175"/>
      <c r="JO959" s="175"/>
      <c r="JS959" s="173"/>
      <c r="JT959" s="175"/>
      <c r="JU959" s="175"/>
      <c r="JV959" s="175"/>
      <c r="JW959" s="175"/>
      <c r="JX959" s="175"/>
      <c r="JY959" s="175"/>
      <c r="JZ959" s="175"/>
      <c r="KA959" s="175"/>
      <c r="KB959" s="175"/>
      <c r="KC959" s="175"/>
      <c r="KD959" s="175"/>
      <c r="KE959" s="175"/>
      <c r="KF959" s="175"/>
      <c r="KG959" s="175"/>
      <c r="KH959" s="175"/>
      <c r="KI959" s="175"/>
      <c r="KJ959" s="175"/>
      <c r="KK959" s="175"/>
      <c r="KL959" s="175"/>
      <c r="KM959" s="175"/>
      <c r="KN959" s="175"/>
      <c r="KO959" s="175"/>
      <c r="KP959" s="175"/>
      <c r="KQ959" s="175"/>
      <c r="KR959" s="175"/>
      <c r="KS959" s="175"/>
      <c r="KT959" s="175"/>
      <c r="KU959" s="175"/>
      <c r="KV959" s="175"/>
      <c r="KW959" s="175"/>
      <c r="KX959" s="175"/>
    </row>
    <row r="960" spans="1:310" ht="12.75" customHeight="1" x14ac:dyDescent="0.2">
      <c r="A960" s="54"/>
      <c r="B960" s="54"/>
      <c r="C960" s="54"/>
      <c r="D960" s="54"/>
      <c r="E960" s="324" t="str">
        <f>IF( $O$61="Embebido",$BW$960,
          IF( OR($O$64 ="Hilti HIT-RE 500-SD",$O$64 ="Hilti HIT-HY 200-R",$O$64 ="Hilti HIT-MM Plus",$O$64 ="Inyectable"),$IJ$960,
                    IF( OR($O$64 ="Hilti HDA",$O$64 ="Sobre-excavado"),$HA$960,
                            IF( OR($O$64 ="Hilti HSL-3",$O$64 ="Expansivo de camisa"),$FR$960,
                                         IF( OR($O$64 ="Hilti KH-EZ",$O$64 ="Hilti KH",$O$64 ="Hilti KH-EZ-I",$O$64 ="Hilti KH-I",$O$64 ="Atornillado"),$EI$960,
                                                      IF( OR( $O$64 ="Hilti HKB3",$O$64 ="Expansivo de cuña"),$CN$960,
                                                                    IF( OR($O$64 ="Hilti HVA",$O$64 ="Capsula"),$JS$960,
                                                                                  $AN$960                                                                        )
                                                          )
                                              )
                                 )
                        )
             )
   )</f>
        <v>e.      Varillas corrugadas de construcción con sistema HIT-RE 500 SD para anclaje a concreto, según certificación ICC ESR-2322</v>
      </c>
      <c r="F960" s="324"/>
      <c r="G960" s="324"/>
      <c r="H960" s="324"/>
      <c r="I960" s="324"/>
      <c r="J960" s="324"/>
      <c r="K960" s="324"/>
      <c r="L960" s="324"/>
      <c r="M960" s="324"/>
      <c r="N960" s="324"/>
      <c r="O960" s="324"/>
      <c r="P960" s="324"/>
      <c r="Q960" s="324"/>
      <c r="R960" s="324"/>
      <c r="S960" s="324"/>
      <c r="T960" s="324"/>
      <c r="U960" s="324"/>
      <c r="V960" s="324"/>
      <c r="W960" s="324"/>
      <c r="X960" s="324"/>
      <c r="Y960" s="324"/>
      <c r="Z960" s="324"/>
      <c r="AA960" s="324"/>
      <c r="AB960" s="324"/>
      <c r="AC960" s="324"/>
      <c r="AD960" s="324"/>
      <c r="AE960" s="324"/>
      <c r="AF960" s="324"/>
      <c r="AG960" s="324"/>
      <c r="AH960" s="324"/>
      <c r="AI960" s="324"/>
      <c r="AJ960" s="324"/>
      <c r="AK960" s="173"/>
      <c r="AN960" s="324" t="s">
        <v>271</v>
      </c>
      <c r="AO960" s="324"/>
      <c r="AP960" s="324"/>
      <c r="AQ960" s="324"/>
      <c r="AR960" s="324"/>
      <c r="AS960" s="324"/>
      <c r="AT960" s="324"/>
      <c r="AU960" s="324"/>
      <c r="AV960" s="324"/>
      <c r="AW960" s="324"/>
      <c r="AX960" s="324"/>
      <c r="AY960" s="324"/>
      <c r="AZ960" s="324"/>
      <c r="BA960" s="324"/>
      <c r="BB960" s="324"/>
      <c r="BC960" s="324"/>
      <c r="BD960" s="324"/>
      <c r="BE960" s="324"/>
      <c r="BF960" s="324"/>
      <c r="BG960" s="324"/>
      <c r="BH960" s="324"/>
      <c r="BI960" s="324"/>
      <c r="BJ960" s="324"/>
      <c r="BK960" s="324"/>
      <c r="BL960" s="324"/>
      <c r="BM960" s="324"/>
      <c r="BN960" s="324"/>
      <c r="BO960" s="324"/>
      <c r="BP960" s="324"/>
      <c r="BQ960" s="324"/>
      <c r="BR960" s="324"/>
      <c r="BS960" s="324"/>
      <c r="BT960" s="55"/>
      <c r="BU960" s="55"/>
      <c r="BV960" s="55"/>
      <c r="BW960" s="173" t="s">
        <v>271</v>
      </c>
      <c r="BX960" s="173"/>
      <c r="BY960" s="173"/>
      <c r="BZ960" s="173"/>
      <c r="CA960" s="175"/>
      <c r="CB960" s="175"/>
      <c r="CC960" s="175"/>
      <c r="CD960" s="175"/>
      <c r="CE960" s="175"/>
      <c r="CF960" s="175"/>
      <c r="CG960" s="173"/>
      <c r="CH960" s="173"/>
      <c r="CI960" s="173"/>
      <c r="CJ960" s="173"/>
      <c r="CK960" s="55"/>
      <c r="CL960" s="55"/>
      <c r="CM960" s="55"/>
      <c r="CN960" s="324" t="s">
        <v>271</v>
      </c>
      <c r="CO960" s="324"/>
      <c r="CP960" s="324"/>
      <c r="CQ960" s="324"/>
      <c r="CR960" s="324"/>
      <c r="CS960" s="324"/>
      <c r="CT960" s="324"/>
      <c r="CU960" s="324"/>
      <c r="CV960" s="324"/>
      <c r="CW960" s="324"/>
      <c r="CX960" s="324"/>
      <c r="CY960" s="324"/>
      <c r="CZ960" s="324"/>
      <c r="DA960" s="324"/>
      <c r="DB960" s="324"/>
      <c r="DC960" s="324"/>
      <c r="DD960" s="324"/>
      <c r="DE960" s="324"/>
      <c r="DF960" s="324"/>
      <c r="DG960" s="324"/>
      <c r="DH960" s="324"/>
      <c r="DI960" s="324"/>
      <c r="DJ960" s="324"/>
      <c r="DK960" s="324"/>
      <c r="DL960" s="324"/>
      <c r="DM960" s="324"/>
      <c r="DN960" s="324"/>
      <c r="DO960" s="324"/>
      <c r="DP960" s="324"/>
      <c r="DQ960" s="324"/>
      <c r="DR960" s="324"/>
      <c r="DS960" s="324"/>
      <c r="DT960" s="324"/>
      <c r="DU960" s="324"/>
      <c r="DV960" s="324"/>
      <c r="DW960" s="324"/>
      <c r="DX960" s="324"/>
      <c r="DY960" s="324"/>
      <c r="DZ960" s="324"/>
      <c r="EA960" s="324"/>
      <c r="EB960" s="324"/>
      <c r="EC960" s="324"/>
      <c r="ED960" s="324"/>
      <c r="EE960" s="324"/>
      <c r="EI960" s="324" t="s">
        <v>271</v>
      </c>
      <c r="EJ960" s="324"/>
      <c r="EK960" s="324"/>
      <c r="EL960" s="324"/>
      <c r="EM960" s="324"/>
      <c r="EN960" s="324"/>
      <c r="EO960" s="324"/>
      <c r="EP960" s="324"/>
      <c r="EQ960" s="324"/>
      <c r="ER960" s="324"/>
      <c r="ES960" s="324"/>
      <c r="ET960" s="324"/>
      <c r="EU960" s="324"/>
      <c r="EV960" s="324"/>
      <c r="EW960" s="324"/>
      <c r="EX960" s="324"/>
      <c r="EY960" s="324"/>
      <c r="EZ960" s="324"/>
      <c r="FA960" s="324"/>
      <c r="FB960" s="324"/>
      <c r="FC960" s="324"/>
      <c r="FD960" s="324"/>
      <c r="FE960" s="324"/>
      <c r="FF960" s="324"/>
      <c r="FG960" s="324"/>
      <c r="FH960" s="324"/>
      <c r="FI960" s="324"/>
      <c r="FJ960" s="324"/>
      <c r="FK960" s="324"/>
      <c r="FL960" s="324"/>
      <c r="FM960" s="324"/>
      <c r="FN960" s="324"/>
      <c r="FR960" s="324" t="s">
        <v>271</v>
      </c>
      <c r="FS960" s="324"/>
      <c r="FT960" s="324"/>
      <c r="FU960" s="324"/>
      <c r="FV960" s="324"/>
      <c r="FW960" s="324"/>
      <c r="FX960" s="324"/>
      <c r="FY960" s="324"/>
      <c r="FZ960" s="324"/>
      <c r="GA960" s="324"/>
      <c r="GB960" s="324"/>
      <c r="GC960" s="324"/>
      <c r="GD960" s="324"/>
      <c r="GE960" s="324"/>
      <c r="GF960" s="324"/>
      <c r="GG960" s="324"/>
      <c r="GH960" s="324"/>
      <c r="GI960" s="324"/>
      <c r="GJ960" s="324"/>
      <c r="GK960" s="324"/>
      <c r="GL960" s="324"/>
      <c r="GM960" s="324"/>
      <c r="GN960" s="324"/>
      <c r="GO960" s="324"/>
      <c r="GP960" s="324"/>
      <c r="GQ960" s="324"/>
      <c r="GR960" s="324"/>
      <c r="GS960" s="324"/>
      <c r="GT960" s="324"/>
      <c r="GU960" s="324"/>
      <c r="GV960" s="324"/>
      <c r="GW960" s="324"/>
      <c r="HA960" s="324" t="s">
        <v>271</v>
      </c>
      <c r="HB960" s="324"/>
      <c r="HC960" s="324"/>
      <c r="HD960" s="324"/>
      <c r="HE960" s="324"/>
      <c r="HF960" s="324"/>
      <c r="HG960" s="324"/>
      <c r="HH960" s="324"/>
      <c r="HI960" s="324"/>
      <c r="HJ960" s="324"/>
      <c r="HK960" s="324"/>
      <c r="HL960" s="324"/>
      <c r="HM960" s="324"/>
      <c r="HN960" s="324"/>
      <c r="HO960" s="324"/>
      <c r="HP960" s="324"/>
      <c r="HQ960" s="324"/>
      <c r="HR960" s="324"/>
      <c r="HS960" s="324"/>
      <c r="HT960" s="324"/>
      <c r="HU960" s="324"/>
      <c r="HV960" s="324"/>
      <c r="HW960" s="324"/>
      <c r="HX960" s="324"/>
      <c r="HY960" s="324"/>
      <c r="HZ960" s="324"/>
      <c r="IA960" s="324"/>
      <c r="IB960" s="324"/>
      <c r="IC960" s="324"/>
      <c r="ID960" s="324"/>
      <c r="IE960" s="324"/>
      <c r="IF960" s="324"/>
      <c r="IH960" s="54"/>
      <c r="II960" s="54"/>
      <c r="IJ960" s="324" t="s">
        <v>344</v>
      </c>
      <c r="IK960" s="324"/>
      <c r="IL960" s="324"/>
      <c r="IM960" s="324"/>
      <c r="IN960" s="324"/>
      <c r="IO960" s="324"/>
      <c r="IP960" s="324"/>
      <c r="IQ960" s="324"/>
      <c r="IR960" s="324"/>
      <c r="IS960" s="324"/>
      <c r="IT960" s="324"/>
      <c r="IU960" s="324"/>
      <c r="IV960" s="324"/>
      <c r="IW960" s="324"/>
      <c r="IX960" s="324"/>
      <c r="IY960" s="324"/>
      <c r="IZ960" s="324"/>
      <c r="JA960" s="324"/>
      <c r="JB960" s="324"/>
      <c r="JC960" s="324"/>
      <c r="JD960" s="324"/>
      <c r="JE960" s="324"/>
      <c r="JF960" s="324"/>
      <c r="JG960" s="324"/>
      <c r="JH960" s="324"/>
      <c r="JI960" s="324"/>
      <c r="JJ960" s="324"/>
      <c r="JK960" s="324"/>
      <c r="JL960" s="324"/>
      <c r="JM960" s="324"/>
      <c r="JN960" s="324"/>
      <c r="JO960" s="324"/>
      <c r="JS960" s="324" t="s">
        <v>271</v>
      </c>
      <c r="JT960" s="324"/>
      <c r="JU960" s="324"/>
      <c r="JV960" s="324"/>
      <c r="JW960" s="324"/>
      <c r="JX960" s="324"/>
      <c r="JY960" s="324"/>
      <c r="JZ960" s="324"/>
      <c r="KA960" s="324"/>
      <c r="KB960" s="324"/>
      <c r="KC960" s="324"/>
      <c r="KD960" s="324"/>
      <c r="KE960" s="324"/>
      <c r="KF960" s="324"/>
      <c r="KG960" s="324"/>
      <c r="KH960" s="324"/>
      <c r="KI960" s="324"/>
      <c r="KJ960" s="324"/>
      <c r="KK960" s="324"/>
      <c r="KL960" s="324"/>
      <c r="KM960" s="324"/>
      <c r="KN960" s="324"/>
      <c r="KO960" s="324"/>
      <c r="KP960" s="324"/>
      <c r="KQ960" s="324"/>
      <c r="KR960" s="324"/>
      <c r="KS960" s="324"/>
      <c r="KT960" s="324"/>
      <c r="KU960" s="324"/>
      <c r="KV960" s="324"/>
      <c r="KW960" s="324"/>
      <c r="KX960" s="324"/>
    </row>
    <row r="961" spans="1:310" ht="12.75" x14ac:dyDescent="0.2">
      <c r="A961" s="54"/>
      <c r="B961" s="54"/>
      <c r="C961" s="54"/>
      <c r="D961" s="54"/>
      <c r="E961" s="324"/>
      <c r="F961" s="324"/>
      <c r="G961" s="324"/>
      <c r="H961" s="324"/>
      <c r="I961" s="324"/>
      <c r="J961" s="324"/>
      <c r="K961" s="324"/>
      <c r="L961" s="324"/>
      <c r="M961" s="324"/>
      <c r="N961" s="324"/>
      <c r="O961" s="324"/>
      <c r="P961" s="324"/>
      <c r="Q961" s="324"/>
      <c r="R961" s="324"/>
      <c r="S961" s="324"/>
      <c r="T961" s="324"/>
      <c r="U961" s="324"/>
      <c r="V961" s="324"/>
      <c r="W961" s="324"/>
      <c r="X961" s="324"/>
      <c r="Y961" s="324"/>
      <c r="Z961" s="324"/>
      <c r="AA961" s="324"/>
      <c r="AB961" s="324"/>
      <c r="AC961" s="324"/>
      <c r="AD961" s="324"/>
      <c r="AE961" s="324"/>
      <c r="AF961" s="324"/>
      <c r="AG961" s="324"/>
      <c r="AH961" s="324"/>
      <c r="AI961" s="324"/>
      <c r="AJ961" s="324"/>
      <c r="AK961" s="173"/>
      <c r="AN961" s="324"/>
      <c r="AO961" s="324"/>
      <c r="AP961" s="324"/>
      <c r="AQ961" s="324"/>
      <c r="AR961" s="324"/>
      <c r="AS961" s="324"/>
      <c r="AT961" s="324"/>
      <c r="AU961" s="324"/>
      <c r="AV961" s="324"/>
      <c r="AW961" s="324"/>
      <c r="AX961" s="324"/>
      <c r="AY961" s="324"/>
      <c r="AZ961" s="324"/>
      <c r="BA961" s="324"/>
      <c r="BB961" s="324"/>
      <c r="BC961" s="324"/>
      <c r="BD961" s="324"/>
      <c r="BE961" s="324"/>
      <c r="BF961" s="324"/>
      <c r="BG961" s="324"/>
      <c r="BH961" s="324"/>
      <c r="BI961" s="324"/>
      <c r="BJ961" s="324"/>
      <c r="BK961" s="324"/>
      <c r="BL961" s="324"/>
      <c r="BM961" s="324"/>
      <c r="BN961" s="324"/>
      <c r="BO961" s="324"/>
      <c r="BP961" s="324"/>
      <c r="BQ961" s="324"/>
      <c r="BR961" s="324"/>
      <c r="BS961" s="324"/>
      <c r="BT961" s="55"/>
      <c r="BU961" s="55"/>
      <c r="BV961" s="55"/>
      <c r="BW961" s="173"/>
      <c r="BX961" s="173"/>
      <c r="BY961" s="173"/>
      <c r="BZ961" s="173"/>
      <c r="CA961" s="173"/>
      <c r="CB961" s="173"/>
      <c r="CC961" s="173"/>
      <c r="CD961" s="173"/>
      <c r="CE961" s="173"/>
      <c r="CF961" s="173"/>
      <c r="CG961" s="173"/>
      <c r="CH961" s="173"/>
      <c r="CI961" s="173"/>
      <c r="CJ961" s="173"/>
      <c r="CK961" s="55"/>
      <c r="CL961" s="55"/>
      <c r="CM961" s="55"/>
      <c r="CN961" s="324"/>
      <c r="CO961" s="324"/>
      <c r="CP961" s="324"/>
      <c r="CQ961" s="324"/>
      <c r="CR961" s="324"/>
      <c r="CS961" s="324"/>
      <c r="CT961" s="324"/>
      <c r="CU961" s="324"/>
      <c r="CV961" s="324"/>
      <c r="CW961" s="324"/>
      <c r="CX961" s="324"/>
      <c r="CY961" s="324"/>
      <c r="CZ961" s="324"/>
      <c r="DA961" s="324"/>
      <c r="DB961" s="324"/>
      <c r="DC961" s="324"/>
      <c r="DD961" s="324"/>
      <c r="DE961" s="324"/>
      <c r="DF961" s="324"/>
      <c r="DG961" s="324"/>
      <c r="DH961" s="324"/>
      <c r="DI961" s="324"/>
      <c r="DJ961" s="324"/>
      <c r="DK961" s="324"/>
      <c r="DL961" s="324"/>
      <c r="DM961" s="324"/>
      <c r="DN961" s="324"/>
      <c r="DO961" s="324"/>
      <c r="DP961" s="324"/>
      <c r="DQ961" s="324"/>
      <c r="DR961" s="324"/>
      <c r="DS961" s="324"/>
      <c r="DT961" s="324"/>
      <c r="DU961" s="324"/>
      <c r="DV961" s="324"/>
      <c r="DW961" s="324"/>
      <c r="DX961" s="324"/>
      <c r="DY961" s="324"/>
      <c r="DZ961" s="324"/>
      <c r="EA961" s="324"/>
      <c r="EB961" s="324"/>
      <c r="EC961" s="324"/>
      <c r="ED961" s="324"/>
      <c r="EE961" s="324"/>
      <c r="EI961" s="324"/>
      <c r="EJ961" s="324"/>
      <c r="EK961" s="324"/>
      <c r="EL961" s="324"/>
      <c r="EM961" s="324"/>
      <c r="EN961" s="324"/>
      <c r="EO961" s="324"/>
      <c r="EP961" s="324"/>
      <c r="EQ961" s="324"/>
      <c r="ER961" s="324"/>
      <c r="ES961" s="324"/>
      <c r="ET961" s="324"/>
      <c r="EU961" s="324"/>
      <c r="EV961" s="324"/>
      <c r="EW961" s="324"/>
      <c r="EX961" s="324"/>
      <c r="EY961" s="324"/>
      <c r="EZ961" s="324"/>
      <c r="FA961" s="324"/>
      <c r="FB961" s="324"/>
      <c r="FC961" s="324"/>
      <c r="FD961" s="324"/>
      <c r="FE961" s="324"/>
      <c r="FF961" s="324"/>
      <c r="FG961" s="324"/>
      <c r="FH961" s="324"/>
      <c r="FI961" s="324"/>
      <c r="FJ961" s="324"/>
      <c r="FK961" s="324"/>
      <c r="FL961" s="324"/>
      <c r="FM961" s="324"/>
      <c r="FN961" s="324"/>
      <c r="FR961" s="324"/>
      <c r="FS961" s="324"/>
      <c r="FT961" s="324"/>
      <c r="FU961" s="324"/>
      <c r="FV961" s="324"/>
      <c r="FW961" s="324"/>
      <c r="FX961" s="324"/>
      <c r="FY961" s="324"/>
      <c r="FZ961" s="324"/>
      <c r="GA961" s="324"/>
      <c r="GB961" s="324"/>
      <c r="GC961" s="324"/>
      <c r="GD961" s="324"/>
      <c r="GE961" s="324"/>
      <c r="GF961" s="324"/>
      <c r="GG961" s="324"/>
      <c r="GH961" s="324"/>
      <c r="GI961" s="324"/>
      <c r="GJ961" s="324"/>
      <c r="GK961" s="324"/>
      <c r="GL961" s="324"/>
      <c r="GM961" s="324"/>
      <c r="GN961" s="324"/>
      <c r="GO961" s="324"/>
      <c r="GP961" s="324"/>
      <c r="GQ961" s="324"/>
      <c r="GR961" s="324"/>
      <c r="GS961" s="324"/>
      <c r="GT961" s="324"/>
      <c r="GU961" s="324"/>
      <c r="GV961" s="324"/>
      <c r="GW961" s="324"/>
      <c r="HA961" s="324"/>
      <c r="HB961" s="324"/>
      <c r="HC961" s="324"/>
      <c r="HD961" s="324"/>
      <c r="HE961" s="324"/>
      <c r="HF961" s="324"/>
      <c r="HG961" s="324"/>
      <c r="HH961" s="324"/>
      <c r="HI961" s="324"/>
      <c r="HJ961" s="324"/>
      <c r="HK961" s="324"/>
      <c r="HL961" s="324"/>
      <c r="HM961" s="324"/>
      <c r="HN961" s="324"/>
      <c r="HO961" s="324"/>
      <c r="HP961" s="324"/>
      <c r="HQ961" s="324"/>
      <c r="HR961" s="324"/>
      <c r="HS961" s="324"/>
      <c r="HT961" s="324"/>
      <c r="HU961" s="324"/>
      <c r="HV961" s="324"/>
      <c r="HW961" s="324"/>
      <c r="HX961" s="324"/>
      <c r="HY961" s="324"/>
      <c r="HZ961" s="324"/>
      <c r="IA961" s="324"/>
      <c r="IB961" s="324"/>
      <c r="IC961" s="324"/>
      <c r="ID961" s="324"/>
      <c r="IE961" s="324"/>
      <c r="IF961" s="324"/>
      <c r="IH961" s="54"/>
      <c r="II961" s="54"/>
      <c r="IJ961" s="324"/>
      <c r="IK961" s="324"/>
      <c r="IL961" s="324"/>
      <c r="IM961" s="324"/>
      <c r="IN961" s="324"/>
      <c r="IO961" s="324"/>
      <c r="IP961" s="324"/>
      <c r="IQ961" s="324"/>
      <c r="IR961" s="324"/>
      <c r="IS961" s="324"/>
      <c r="IT961" s="324"/>
      <c r="IU961" s="324"/>
      <c r="IV961" s="324"/>
      <c r="IW961" s="324"/>
      <c r="IX961" s="324"/>
      <c r="IY961" s="324"/>
      <c r="IZ961" s="324"/>
      <c r="JA961" s="324"/>
      <c r="JB961" s="324"/>
      <c r="JC961" s="324"/>
      <c r="JD961" s="324"/>
      <c r="JE961" s="324"/>
      <c r="JF961" s="324"/>
      <c r="JG961" s="324"/>
      <c r="JH961" s="324"/>
      <c r="JI961" s="324"/>
      <c r="JJ961" s="324"/>
      <c r="JK961" s="324"/>
      <c r="JL961" s="324"/>
      <c r="JM961" s="324"/>
      <c r="JN961" s="324"/>
      <c r="JO961" s="324"/>
      <c r="JS961" s="324"/>
      <c r="JT961" s="324"/>
      <c r="JU961" s="324"/>
      <c r="JV961" s="324"/>
      <c r="JW961" s="324"/>
      <c r="JX961" s="324"/>
      <c r="JY961" s="324"/>
      <c r="JZ961" s="324"/>
      <c r="KA961" s="324"/>
      <c r="KB961" s="324"/>
      <c r="KC961" s="324"/>
      <c r="KD961" s="324"/>
      <c r="KE961" s="324"/>
      <c r="KF961" s="324"/>
      <c r="KG961" s="324"/>
      <c r="KH961" s="324"/>
      <c r="KI961" s="324"/>
      <c r="KJ961" s="324"/>
      <c r="KK961" s="324"/>
      <c r="KL961" s="324"/>
      <c r="KM961" s="324"/>
      <c r="KN961" s="324"/>
      <c r="KO961" s="324"/>
      <c r="KP961" s="324"/>
      <c r="KQ961" s="324"/>
      <c r="KR961" s="324"/>
      <c r="KS961" s="324"/>
      <c r="KT961" s="324"/>
      <c r="KU961" s="324"/>
      <c r="KV961" s="324"/>
      <c r="KW961" s="324"/>
      <c r="KX961" s="324"/>
    </row>
    <row r="962" spans="1:310" ht="12.75" x14ac:dyDescent="0.2">
      <c r="A962" s="54"/>
      <c r="B962" s="54"/>
      <c r="C962" s="54"/>
      <c r="D962" s="54"/>
      <c r="E962" s="80"/>
      <c r="F962" s="81"/>
      <c r="G962" s="81"/>
      <c r="H962" s="81"/>
      <c r="I962" s="81"/>
      <c r="J962" s="81"/>
      <c r="K962" s="81"/>
      <c r="L962" s="81"/>
      <c r="M962" s="81"/>
      <c r="N962" s="81"/>
      <c r="O962" s="81"/>
      <c r="P962" s="81"/>
      <c r="Q962" s="81"/>
      <c r="R962" s="81"/>
      <c r="S962" s="81"/>
      <c r="T962" s="81"/>
      <c r="U962" s="81"/>
      <c r="V962" s="81"/>
      <c r="W962" s="81"/>
      <c r="X962" s="81"/>
      <c r="Y962" s="81"/>
      <c r="Z962" s="81"/>
      <c r="AA962" s="81"/>
      <c r="AB962" s="81"/>
      <c r="AC962" s="81"/>
      <c r="AD962" s="81"/>
      <c r="AE962" s="81"/>
      <c r="AF962" s="81"/>
      <c r="AG962" s="81"/>
      <c r="AH962" s="81"/>
      <c r="AI962" s="81"/>
      <c r="AJ962" s="91"/>
      <c r="AK962" s="182"/>
      <c r="AN962" s="173"/>
      <c r="AO962" s="175"/>
      <c r="AP962" s="175"/>
      <c r="AQ962" s="175"/>
      <c r="AR962" s="175"/>
      <c r="AS962" s="175"/>
      <c r="AT962" s="175"/>
      <c r="AU962" s="175"/>
      <c r="AV962" s="175"/>
      <c r="AW962" s="175"/>
      <c r="AX962" s="175"/>
      <c r="AY962" s="175"/>
      <c r="AZ962" s="175"/>
      <c r="BA962" s="175"/>
      <c r="BB962" s="175"/>
      <c r="BC962" s="175"/>
      <c r="BD962" s="175"/>
      <c r="BE962" s="175"/>
      <c r="BF962" s="175"/>
      <c r="BG962" s="175"/>
      <c r="BH962" s="175"/>
      <c r="BI962" s="175"/>
      <c r="BJ962" s="175"/>
      <c r="BK962" s="175"/>
      <c r="BL962" s="175"/>
      <c r="BM962" s="175"/>
      <c r="BN962" s="175"/>
      <c r="BO962" s="175"/>
      <c r="BP962" s="175"/>
      <c r="BQ962" s="175"/>
      <c r="BR962" s="175"/>
      <c r="BS962" s="175"/>
      <c r="BT962" s="55"/>
      <c r="BU962" s="55"/>
      <c r="BV962" s="55"/>
      <c r="BW962" s="173"/>
      <c r="BX962" s="175"/>
      <c r="BY962" s="175"/>
      <c r="BZ962" s="175"/>
      <c r="CA962" s="173"/>
      <c r="CB962" s="173"/>
      <c r="CC962" s="173"/>
      <c r="CD962" s="173"/>
      <c r="CE962" s="173"/>
      <c r="CF962" s="173"/>
      <c r="CG962" s="175"/>
      <c r="CH962" s="175"/>
      <c r="CI962" s="175"/>
      <c r="CJ962" s="175"/>
      <c r="CK962" s="55"/>
      <c r="CL962" s="55"/>
      <c r="CM962" s="55"/>
      <c r="CN962" s="173"/>
      <c r="CO962" s="175"/>
      <c r="CP962" s="175"/>
      <c r="CQ962" s="175"/>
      <c r="CR962" s="175"/>
      <c r="CS962" s="175"/>
      <c r="CT962" s="175"/>
      <c r="CU962" s="175"/>
      <c r="CV962" s="175"/>
      <c r="CW962" s="218"/>
      <c r="CX962" s="218"/>
      <c r="CY962" s="218"/>
      <c r="CZ962" s="218"/>
      <c r="DA962" s="218"/>
      <c r="DB962" s="218"/>
      <c r="DC962" s="218"/>
      <c r="DD962" s="218"/>
      <c r="DE962" s="218"/>
      <c r="DF962" s="218"/>
      <c r="DG962" s="175"/>
      <c r="DH962" s="175"/>
      <c r="DI962" s="175"/>
      <c r="DJ962" s="175"/>
      <c r="DK962" s="175"/>
      <c r="DL962" s="175"/>
      <c r="DM962" s="175"/>
      <c r="DN962" s="175"/>
      <c r="DO962" s="175"/>
      <c r="DP962" s="175"/>
      <c r="DQ962" s="175"/>
      <c r="DR962" s="175"/>
      <c r="DS962" s="175"/>
      <c r="DT962" s="175"/>
      <c r="DU962" s="175"/>
      <c r="DV962" s="175"/>
      <c r="DW962" s="175"/>
      <c r="DX962" s="175"/>
      <c r="DY962" s="175"/>
      <c r="DZ962" s="175"/>
      <c r="EA962" s="175"/>
      <c r="EB962" s="175"/>
      <c r="EC962" s="175"/>
      <c r="ED962" s="175"/>
      <c r="EE962" s="175"/>
      <c r="EI962" s="173"/>
      <c r="EJ962" s="175"/>
      <c r="EK962" s="175"/>
      <c r="EL962" s="175"/>
      <c r="EM962" s="175"/>
      <c r="EN962" s="175"/>
      <c r="EO962" s="175"/>
      <c r="EP962" s="175"/>
      <c r="EQ962" s="175"/>
      <c r="ER962" s="175"/>
      <c r="ES962" s="175"/>
      <c r="ET962" s="175"/>
      <c r="EU962" s="175"/>
      <c r="EV962" s="175"/>
      <c r="EW962" s="175"/>
      <c r="EX962" s="175"/>
      <c r="EY962" s="175"/>
      <c r="EZ962" s="175"/>
      <c r="FA962" s="175"/>
      <c r="FB962" s="175"/>
      <c r="FC962" s="175"/>
      <c r="FD962" s="175"/>
      <c r="FE962" s="175"/>
      <c r="FF962" s="175"/>
      <c r="FG962" s="175"/>
      <c r="FH962" s="175"/>
      <c r="FI962" s="175"/>
      <c r="FJ962" s="175"/>
      <c r="FK962" s="175"/>
      <c r="FL962" s="175"/>
      <c r="FM962" s="175"/>
      <c r="FN962" s="175"/>
      <c r="FR962" s="173"/>
      <c r="FS962" s="175"/>
      <c r="FT962" s="175"/>
      <c r="FU962" s="175"/>
      <c r="FV962" s="175"/>
      <c r="FW962" s="175"/>
      <c r="FX962" s="175"/>
      <c r="FY962" s="175"/>
      <c r="FZ962" s="175"/>
      <c r="GA962" s="175"/>
      <c r="GB962" s="175"/>
      <c r="GC962" s="175"/>
      <c r="GD962" s="175"/>
      <c r="GE962" s="175"/>
      <c r="GF962" s="175"/>
      <c r="GG962" s="175"/>
      <c r="GH962" s="175"/>
      <c r="GI962" s="175"/>
      <c r="GJ962" s="175"/>
      <c r="GK962" s="175"/>
      <c r="GL962" s="175"/>
      <c r="GM962" s="175"/>
      <c r="GN962" s="175"/>
      <c r="GO962" s="175"/>
      <c r="GP962" s="175"/>
      <c r="GQ962" s="175"/>
      <c r="GR962" s="175"/>
      <c r="GS962" s="175"/>
      <c r="GT962" s="175"/>
      <c r="GU962" s="175"/>
      <c r="GV962" s="175"/>
      <c r="GW962" s="175"/>
      <c r="HA962" s="173"/>
      <c r="HB962" s="175"/>
      <c r="HC962" s="175"/>
      <c r="HD962" s="175"/>
      <c r="HE962" s="175"/>
      <c r="HF962" s="175"/>
      <c r="HG962" s="175"/>
      <c r="HH962" s="175"/>
      <c r="HI962" s="175"/>
      <c r="HJ962" s="175"/>
      <c r="HK962" s="175"/>
      <c r="HL962" s="175"/>
      <c r="HM962" s="175"/>
      <c r="HN962" s="175"/>
      <c r="HO962" s="175"/>
      <c r="HP962" s="175"/>
      <c r="HQ962" s="175"/>
      <c r="HR962" s="175"/>
      <c r="HS962" s="175"/>
      <c r="HT962" s="175"/>
      <c r="HU962" s="175"/>
      <c r="HV962" s="175"/>
      <c r="HW962" s="175"/>
      <c r="HX962" s="175"/>
      <c r="HY962" s="175"/>
      <c r="HZ962" s="175"/>
      <c r="IA962" s="175"/>
      <c r="IB962" s="175"/>
      <c r="IC962" s="175"/>
      <c r="ID962" s="175"/>
      <c r="IE962" s="175"/>
      <c r="IF962" s="175"/>
      <c r="IH962" s="54"/>
      <c r="II962" s="54"/>
      <c r="IJ962" s="173"/>
      <c r="IK962" s="175"/>
      <c r="IL962" s="175"/>
      <c r="IM962" s="175"/>
      <c r="IN962" s="175"/>
      <c r="IO962" s="175"/>
      <c r="IP962" s="175"/>
      <c r="IQ962" s="175"/>
      <c r="IR962" s="175"/>
      <c r="IS962" s="175"/>
      <c r="IT962" s="175"/>
      <c r="IU962" s="175"/>
      <c r="IV962" s="175"/>
      <c r="IW962" s="175"/>
      <c r="IX962" s="175"/>
      <c r="IY962" s="175"/>
      <c r="IZ962" s="175"/>
      <c r="JA962" s="175"/>
      <c r="JB962" s="175"/>
      <c r="JC962" s="175"/>
      <c r="JD962" s="175"/>
      <c r="JE962" s="175"/>
      <c r="JF962" s="175"/>
      <c r="JG962" s="175"/>
      <c r="JH962" s="175"/>
      <c r="JI962" s="175"/>
      <c r="JJ962" s="175"/>
      <c r="JK962" s="175"/>
      <c r="JL962" s="175"/>
      <c r="JM962" s="175"/>
      <c r="JN962" s="175"/>
      <c r="JO962" s="175"/>
      <c r="JS962" s="173"/>
      <c r="JT962" s="175"/>
      <c r="JU962" s="175"/>
      <c r="JV962" s="175"/>
      <c r="JW962" s="175"/>
      <c r="JX962" s="175"/>
      <c r="JY962" s="175"/>
      <c r="JZ962" s="175"/>
      <c r="KA962" s="175"/>
      <c r="KB962" s="175"/>
      <c r="KC962" s="175"/>
      <c r="KD962" s="175"/>
      <c r="KE962" s="175"/>
      <c r="KF962" s="175"/>
      <c r="KG962" s="175"/>
      <c r="KH962" s="175"/>
      <c r="KI962" s="175"/>
      <c r="KJ962" s="175"/>
      <c r="KK962" s="175"/>
      <c r="KL962" s="175"/>
      <c r="KM962" s="175"/>
      <c r="KN962" s="175"/>
      <c r="KO962" s="175"/>
      <c r="KP962" s="175"/>
      <c r="KQ962" s="175"/>
      <c r="KR962" s="175"/>
      <c r="KS962" s="175"/>
      <c r="KT962" s="175"/>
      <c r="KU962" s="175"/>
      <c r="KV962" s="175"/>
      <c r="KW962" s="175"/>
      <c r="KX962" s="175"/>
    </row>
    <row r="963" spans="1:310" ht="12.75" customHeight="1" x14ac:dyDescent="0.2">
      <c r="A963" s="54"/>
      <c r="B963" s="54"/>
      <c r="C963" s="54"/>
      <c r="D963" s="54"/>
      <c r="E963" s="324" t="str">
        <f>IF( $O$61="Embebido",$BW$963,
          IF( OR($O$64 ="Hilti HIT-RE 500-SD",$O$64 ="Hilti HIT-HY 200-R",$O$64 ="Hilti HIT-MM Plus",$O$64 ="Inyectable"),$IJ$963,
                    IF( OR($O$64 ="Hilti HDA",$O$64 ="Sobre-excavado"),$HA$963,
                            IF( OR($O$64 ="Hilti HSL-3",$O$64 ="Expansivo de camisa"),$FR$963,
                                         IF( OR($O$64 ="Hilti KH-EZ",$O$64 ="Hilti KH",$O$64 ="Hilti KH-EZ-I",$O$64 ="Hilti KH-I",$O$64 ="Atornillado"),$EI$963,
                                                      IF( OR( $O$64 ="Hilti HKB3",$O$64 ="Expansivo de cuña"),$CN$963,
                                                                    IF( OR($O$64 ="Hilti HVA",$O$64 ="Capsula"),$JS$963,
                                                                                  $AN$963                                                                        )
                                                          )
                                              )
                                 )
                        )
             )
   )</f>
        <v>f.       Varilla roscada Hilti HAS con sistema HIT-MM Plus para anclaje a concreto, sin certificaciones y limitado para uso en aplicaciones no estructurales sin responsabilidad sísmica.</v>
      </c>
      <c r="F963" s="324"/>
      <c r="G963" s="324"/>
      <c r="H963" s="324"/>
      <c r="I963" s="324"/>
      <c r="J963" s="324"/>
      <c r="K963" s="324"/>
      <c r="L963" s="324"/>
      <c r="M963" s="324"/>
      <c r="N963" s="324"/>
      <c r="O963" s="324"/>
      <c r="P963" s="324"/>
      <c r="Q963" s="324"/>
      <c r="R963" s="324"/>
      <c r="S963" s="324"/>
      <c r="T963" s="324"/>
      <c r="U963" s="324"/>
      <c r="V963" s="324"/>
      <c r="W963" s="324"/>
      <c r="X963" s="324"/>
      <c r="Y963" s="324"/>
      <c r="Z963" s="324"/>
      <c r="AA963" s="324"/>
      <c r="AB963" s="324"/>
      <c r="AC963" s="324"/>
      <c r="AD963" s="324"/>
      <c r="AE963" s="324"/>
      <c r="AF963" s="324"/>
      <c r="AG963" s="324"/>
      <c r="AH963" s="324"/>
      <c r="AI963" s="324"/>
      <c r="AJ963" s="324"/>
      <c r="AK963" s="173"/>
      <c r="AN963" s="324" t="s">
        <v>271</v>
      </c>
      <c r="AO963" s="324"/>
      <c r="AP963" s="324"/>
      <c r="AQ963" s="324"/>
      <c r="AR963" s="324"/>
      <c r="AS963" s="324"/>
      <c r="AT963" s="324"/>
      <c r="AU963" s="324"/>
      <c r="AV963" s="324"/>
      <c r="AW963" s="324"/>
      <c r="AX963" s="324"/>
      <c r="AY963" s="324"/>
      <c r="AZ963" s="324"/>
      <c r="BA963" s="324"/>
      <c r="BB963" s="324"/>
      <c r="BC963" s="324"/>
      <c r="BD963" s="324"/>
      <c r="BE963" s="324"/>
      <c r="BF963" s="324"/>
      <c r="BG963" s="324"/>
      <c r="BH963" s="324"/>
      <c r="BI963" s="324"/>
      <c r="BJ963" s="324"/>
      <c r="BK963" s="324"/>
      <c r="BL963" s="324"/>
      <c r="BM963" s="324"/>
      <c r="BN963" s="324"/>
      <c r="BO963" s="324"/>
      <c r="BP963" s="324"/>
      <c r="BQ963" s="324"/>
      <c r="BR963" s="324"/>
      <c r="BS963" s="324"/>
      <c r="BT963" s="55"/>
      <c r="BU963" s="55"/>
      <c r="BV963" s="55"/>
      <c r="BW963" s="173" t="s">
        <v>271</v>
      </c>
      <c r="BX963" s="173"/>
      <c r="BY963" s="173"/>
      <c r="BZ963" s="173"/>
      <c r="CA963" s="175"/>
      <c r="CB963" s="175"/>
      <c r="CC963" s="175"/>
      <c r="CD963" s="175"/>
      <c r="CE963" s="175"/>
      <c r="CF963" s="175"/>
      <c r="CG963" s="173"/>
      <c r="CH963" s="173"/>
      <c r="CI963" s="173"/>
      <c r="CJ963" s="173"/>
      <c r="CK963" s="55"/>
      <c r="CL963" s="55"/>
      <c r="CM963" s="55"/>
      <c r="CN963" s="324" t="s">
        <v>271</v>
      </c>
      <c r="CO963" s="324"/>
      <c r="CP963" s="324"/>
      <c r="CQ963" s="324"/>
      <c r="CR963" s="324"/>
      <c r="CS963" s="324"/>
      <c r="CT963" s="324"/>
      <c r="CU963" s="324"/>
      <c r="CV963" s="324"/>
      <c r="CW963" s="324"/>
      <c r="CX963" s="324"/>
      <c r="CY963" s="324"/>
      <c r="CZ963" s="324"/>
      <c r="DA963" s="324"/>
      <c r="DB963" s="324"/>
      <c r="DC963" s="324"/>
      <c r="DD963" s="324"/>
      <c r="DE963" s="324"/>
      <c r="DF963" s="324"/>
      <c r="DG963" s="324"/>
      <c r="DH963" s="324"/>
      <c r="DI963" s="324"/>
      <c r="DJ963" s="324"/>
      <c r="DK963" s="324"/>
      <c r="DL963" s="324"/>
      <c r="DM963" s="324"/>
      <c r="DN963" s="324"/>
      <c r="DO963" s="324"/>
      <c r="DP963" s="324"/>
      <c r="DQ963" s="324"/>
      <c r="DR963" s="324"/>
      <c r="DS963" s="324"/>
      <c r="DT963" s="324"/>
      <c r="DU963" s="324"/>
      <c r="DV963" s="324"/>
      <c r="DW963" s="324"/>
      <c r="DX963" s="324"/>
      <c r="DY963" s="324"/>
      <c r="DZ963" s="324"/>
      <c r="EA963" s="324"/>
      <c r="EB963" s="324"/>
      <c r="EC963" s="324"/>
      <c r="ED963" s="324"/>
      <c r="EE963" s="324"/>
      <c r="EI963" s="324" t="s">
        <v>271</v>
      </c>
      <c r="EJ963" s="324"/>
      <c r="EK963" s="324"/>
      <c r="EL963" s="324"/>
      <c r="EM963" s="324"/>
      <c r="EN963" s="324"/>
      <c r="EO963" s="324"/>
      <c r="EP963" s="324"/>
      <c r="EQ963" s="324"/>
      <c r="ER963" s="324"/>
      <c r="ES963" s="324"/>
      <c r="ET963" s="324"/>
      <c r="EU963" s="324"/>
      <c r="EV963" s="324"/>
      <c r="EW963" s="324"/>
      <c r="EX963" s="324"/>
      <c r="EY963" s="324"/>
      <c r="EZ963" s="324"/>
      <c r="FA963" s="324"/>
      <c r="FB963" s="324"/>
      <c r="FC963" s="324"/>
      <c r="FD963" s="324"/>
      <c r="FE963" s="324"/>
      <c r="FF963" s="324"/>
      <c r="FG963" s="324"/>
      <c r="FH963" s="324"/>
      <c r="FI963" s="324"/>
      <c r="FJ963" s="324"/>
      <c r="FK963" s="324"/>
      <c r="FL963" s="324"/>
      <c r="FM963" s="324"/>
      <c r="FN963" s="324"/>
      <c r="FR963" s="324" t="s">
        <v>271</v>
      </c>
      <c r="FS963" s="324"/>
      <c r="FT963" s="324"/>
      <c r="FU963" s="324"/>
      <c r="FV963" s="324"/>
      <c r="FW963" s="324"/>
      <c r="FX963" s="324"/>
      <c r="FY963" s="324"/>
      <c r="FZ963" s="324"/>
      <c r="GA963" s="324"/>
      <c r="GB963" s="324"/>
      <c r="GC963" s="324"/>
      <c r="GD963" s="324"/>
      <c r="GE963" s="324"/>
      <c r="GF963" s="324"/>
      <c r="GG963" s="324"/>
      <c r="GH963" s="324"/>
      <c r="GI963" s="324"/>
      <c r="GJ963" s="324"/>
      <c r="GK963" s="324"/>
      <c r="GL963" s="324"/>
      <c r="GM963" s="324"/>
      <c r="GN963" s="324"/>
      <c r="GO963" s="324"/>
      <c r="GP963" s="324"/>
      <c r="GQ963" s="324"/>
      <c r="GR963" s="324"/>
      <c r="GS963" s="324"/>
      <c r="GT963" s="324"/>
      <c r="GU963" s="324"/>
      <c r="GV963" s="324"/>
      <c r="GW963" s="324"/>
      <c r="HA963" s="324" t="s">
        <v>271</v>
      </c>
      <c r="HB963" s="324"/>
      <c r="HC963" s="324"/>
      <c r="HD963" s="324"/>
      <c r="HE963" s="324"/>
      <c r="HF963" s="324"/>
      <c r="HG963" s="324"/>
      <c r="HH963" s="324"/>
      <c r="HI963" s="324"/>
      <c r="HJ963" s="324"/>
      <c r="HK963" s="324"/>
      <c r="HL963" s="324"/>
      <c r="HM963" s="324"/>
      <c r="HN963" s="324"/>
      <c r="HO963" s="324"/>
      <c r="HP963" s="324"/>
      <c r="HQ963" s="324"/>
      <c r="HR963" s="324"/>
      <c r="HS963" s="324"/>
      <c r="HT963" s="324"/>
      <c r="HU963" s="324"/>
      <c r="HV963" s="324"/>
      <c r="HW963" s="324"/>
      <c r="HX963" s="324"/>
      <c r="HY963" s="324"/>
      <c r="HZ963" s="324"/>
      <c r="IA963" s="324"/>
      <c r="IB963" s="324"/>
      <c r="IC963" s="324"/>
      <c r="ID963" s="324"/>
      <c r="IE963" s="324"/>
      <c r="IF963" s="324"/>
      <c r="IH963" s="54"/>
      <c r="II963" s="54"/>
      <c r="IJ963" s="324" t="s">
        <v>336</v>
      </c>
      <c r="IK963" s="324"/>
      <c r="IL963" s="324"/>
      <c r="IM963" s="324"/>
      <c r="IN963" s="324"/>
      <c r="IO963" s="324"/>
      <c r="IP963" s="324"/>
      <c r="IQ963" s="324"/>
      <c r="IR963" s="324"/>
      <c r="IS963" s="324"/>
      <c r="IT963" s="324"/>
      <c r="IU963" s="324"/>
      <c r="IV963" s="324"/>
      <c r="IW963" s="324"/>
      <c r="IX963" s="324"/>
      <c r="IY963" s="324"/>
      <c r="IZ963" s="324"/>
      <c r="JA963" s="324"/>
      <c r="JB963" s="324"/>
      <c r="JC963" s="324"/>
      <c r="JD963" s="324"/>
      <c r="JE963" s="324"/>
      <c r="JF963" s="324"/>
      <c r="JG963" s="324"/>
      <c r="JH963" s="324"/>
      <c r="JI963" s="324"/>
      <c r="JJ963" s="324"/>
      <c r="JK963" s="324"/>
      <c r="JL963" s="324"/>
      <c r="JM963" s="324"/>
      <c r="JN963" s="324"/>
      <c r="JO963" s="324"/>
      <c r="JS963" s="324" t="s">
        <v>271</v>
      </c>
      <c r="JT963" s="324"/>
      <c r="JU963" s="324"/>
      <c r="JV963" s="324"/>
      <c r="JW963" s="324"/>
      <c r="JX963" s="324"/>
      <c r="JY963" s="324"/>
      <c r="JZ963" s="324"/>
      <c r="KA963" s="324"/>
      <c r="KB963" s="324"/>
      <c r="KC963" s="324"/>
      <c r="KD963" s="324"/>
      <c r="KE963" s="324"/>
      <c r="KF963" s="324"/>
      <c r="KG963" s="324"/>
      <c r="KH963" s="324"/>
      <c r="KI963" s="324"/>
      <c r="KJ963" s="324"/>
      <c r="KK963" s="324"/>
      <c r="KL963" s="324"/>
      <c r="KM963" s="324"/>
      <c r="KN963" s="324"/>
      <c r="KO963" s="324"/>
      <c r="KP963" s="324"/>
      <c r="KQ963" s="324"/>
      <c r="KR963" s="324"/>
      <c r="KS963" s="324"/>
      <c r="KT963" s="324"/>
      <c r="KU963" s="324"/>
      <c r="KV963" s="324"/>
      <c r="KW963" s="324"/>
      <c r="KX963" s="324"/>
    </row>
    <row r="964" spans="1:310" ht="12.75" customHeight="1" x14ac:dyDescent="0.2">
      <c r="A964" s="54"/>
      <c r="B964" s="54"/>
      <c r="C964" s="54"/>
      <c r="D964" s="54"/>
      <c r="E964" s="324"/>
      <c r="F964" s="324"/>
      <c r="G964" s="324"/>
      <c r="H964" s="324"/>
      <c r="I964" s="324"/>
      <c r="J964" s="324"/>
      <c r="K964" s="324"/>
      <c r="L964" s="324"/>
      <c r="M964" s="324"/>
      <c r="N964" s="324"/>
      <c r="O964" s="324"/>
      <c r="P964" s="324"/>
      <c r="Q964" s="324"/>
      <c r="R964" s="324"/>
      <c r="S964" s="324"/>
      <c r="T964" s="324"/>
      <c r="U964" s="324"/>
      <c r="V964" s="324"/>
      <c r="W964" s="324"/>
      <c r="X964" s="324"/>
      <c r="Y964" s="324"/>
      <c r="Z964" s="324"/>
      <c r="AA964" s="324"/>
      <c r="AB964" s="324"/>
      <c r="AC964" s="324"/>
      <c r="AD964" s="324"/>
      <c r="AE964" s="324"/>
      <c r="AF964" s="324"/>
      <c r="AG964" s="324"/>
      <c r="AH964" s="324"/>
      <c r="AI964" s="324"/>
      <c r="AJ964" s="324"/>
      <c r="AK964" s="173"/>
      <c r="AN964" s="324"/>
      <c r="AO964" s="324"/>
      <c r="AP964" s="324"/>
      <c r="AQ964" s="324"/>
      <c r="AR964" s="324"/>
      <c r="AS964" s="324"/>
      <c r="AT964" s="324"/>
      <c r="AU964" s="324"/>
      <c r="AV964" s="324"/>
      <c r="AW964" s="324"/>
      <c r="AX964" s="324"/>
      <c r="AY964" s="324"/>
      <c r="AZ964" s="324"/>
      <c r="BA964" s="324"/>
      <c r="BB964" s="324"/>
      <c r="BC964" s="324"/>
      <c r="BD964" s="324"/>
      <c r="BE964" s="324"/>
      <c r="BF964" s="324"/>
      <c r="BG964" s="324"/>
      <c r="BH964" s="324"/>
      <c r="BI964" s="324"/>
      <c r="BJ964" s="324"/>
      <c r="BK964" s="324"/>
      <c r="BL964" s="324"/>
      <c r="BM964" s="324"/>
      <c r="BN964" s="324"/>
      <c r="BO964" s="324"/>
      <c r="BP964" s="324"/>
      <c r="BQ964" s="324"/>
      <c r="BR964" s="324"/>
      <c r="BS964" s="324"/>
      <c r="BT964" s="55"/>
      <c r="BU964" s="55"/>
      <c r="BV964" s="55"/>
      <c r="BW964" s="173"/>
      <c r="BX964" s="173"/>
      <c r="BY964" s="173"/>
      <c r="BZ964" s="173"/>
      <c r="CA964" s="173"/>
      <c r="CB964" s="173"/>
      <c r="CC964" s="173"/>
      <c r="CD964" s="173"/>
      <c r="CE964" s="173"/>
      <c r="CF964" s="173"/>
      <c r="CG964" s="173"/>
      <c r="CH964" s="173"/>
      <c r="CI964" s="173"/>
      <c r="CJ964" s="173"/>
      <c r="CK964" s="55"/>
      <c r="CL964" s="55"/>
      <c r="CM964" s="55"/>
      <c r="CN964" s="324"/>
      <c r="CO964" s="324"/>
      <c r="CP964" s="324"/>
      <c r="CQ964" s="324"/>
      <c r="CR964" s="324"/>
      <c r="CS964" s="324"/>
      <c r="CT964" s="324"/>
      <c r="CU964" s="324"/>
      <c r="CV964" s="324"/>
      <c r="CW964" s="324"/>
      <c r="CX964" s="324"/>
      <c r="CY964" s="324"/>
      <c r="CZ964" s="324"/>
      <c r="DA964" s="324"/>
      <c r="DB964" s="324"/>
      <c r="DC964" s="324"/>
      <c r="DD964" s="324"/>
      <c r="DE964" s="324"/>
      <c r="DF964" s="324"/>
      <c r="DG964" s="324"/>
      <c r="DH964" s="324"/>
      <c r="DI964" s="324"/>
      <c r="DJ964" s="324"/>
      <c r="DK964" s="324"/>
      <c r="DL964" s="324"/>
      <c r="DM964" s="324"/>
      <c r="DN964" s="324"/>
      <c r="DO964" s="324"/>
      <c r="DP964" s="324"/>
      <c r="DQ964" s="324"/>
      <c r="DR964" s="324"/>
      <c r="DS964" s="324"/>
      <c r="DT964" s="324"/>
      <c r="DU964" s="324"/>
      <c r="DV964" s="324"/>
      <c r="DW964" s="324"/>
      <c r="DX964" s="324"/>
      <c r="DY964" s="324"/>
      <c r="DZ964" s="324"/>
      <c r="EA964" s="324"/>
      <c r="EB964" s="324"/>
      <c r="EC964" s="324"/>
      <c r="ED964" s="324"/>
      <c r="EE964" s="324"/>
      <c r="EI964" s="324"/>
      <c r="EJ964" s="324"/>
      <c r="EK964" s="324"/>
      <c r="EL964" s="324"/>
      <c r="EM964" s="324"/>
      <c r="EN964" s="324"/>
      <c r="EO964" s="324"/>
      <c r="EP964" s="324"/>
      <c r="EQ964" s="324"/>
      <c r="ER964" s="324"/>
      <c r="ES964" s="324"/>
      <c r="ET964" s="324"/>
      <c r="EU964" s="324"/>
      <c r="EV964" s="324"/>
      <c r="EW964" s="324"/>
      <c r="EX964" s="324"/>
      <c r="EY964" s="324"/>
      <c r="EZ964" s="324"/>
      <c r="FA964" s="324"/>
      <c r="FB964" s="324"/>
      <c r="FC964" s="324"/>
      <c r="FD964" s="324"/>
      <c r="FE964" s="324"/>
      <c r="FF964" s="324"/>
      <c r="FG964" s="324"/>
      <c r="FH964" s="324"/>
      <c r="FI964" s="324"/>
      <c r="FJ964" s="324"/>
      <c r="FK964" s="324"/>
      <c r="FL964" s="324"/>
      <c r="FM964" s="324"/>
      <c r="FN964" s="324"/>
      <c r="FR964" s="324"/>
      <c r="FS964" s="324"/>
      <c r="FT964" s="324"/>
      <c r="FU964" s="324"/>
      <c r="FV964" s="324"/>
      <c r="FW964" s="324"/>
      <c r="FX964" s="324"/>
      <c r="FY964" s="324"/>
      <c r="FZ964" s="324"/>
      <c r="GA964" s="324"/>
      <c r="GB964" s="324"/>
      <c r="GC964" s="324"/>
      <c r="GD964" s="324"/>
      <c r="GE964" s="324"/>
      <c r="GF964" s="324"/>
      <c r="GG964" s="324"/>
      <c r="GH964" s="324"/>
      <c r="GI964" s="324"/>
      <c r="GJ964" s="324"/>
      <c r="GK964" s="324"/>
      <c r="GL964" s="324"/>
      <c r="GM964" s="324"/>
      <c r="GN964" s="324"/>
      <c r="GO964" s="324"/>
      <c r="GP964" s="324"/>
      <c r="GQ964" s="324"/>
      <c r="GR964" s="324"/>
      <c r="GS964" s="324"/>
      <c r="GT964" s="324"/>
      <c r="GU964" s="324"/>
      <c r="GV964" s="324"/>
      <c r="GW964" s="324"/>
      <c r="HA964" s="324"/>
      <c r="HB964" s="324"/>
      <c r="HC964" s="324"/>
      <c r="HD964" s="324"/>
      <c r="HE964" s="324"/>
      <c r="HF964" s="324"/>
      <c r="HG964" s="324"/>
      <c r="HH964" s="324"/>
      <c r="HI964" s="324"/>
      <c r="HJ964" s="324"/>
      <c r="HK964" s="324"/>
      <c r="HL964" s="324"/>
      <c r="HM964" s="324"/>
      <c r="HN964" s="324"/>
      <c r="HO964" s="324"/>
      <c r="HP964" s="324"/>
      <c r="HQ964" s="324"/>
      <c r="HR964" s="324"/>
      <c r="HS964" s="324"/>
      <c r="HT964" s="324"/>
      <c r="HU964" s="324"/>
      <c r="HV964" s="324"/>
      <c r="HW964" s="324"/>
      <c r="HX964" s="324"/>
      <c r="HY964" s="324"/>
      <c r="HZ964" s="324"/>
      <c r="IA964" s="324"/>
      <c r="IB964" s="324"/>
      <c r="IC964" s="324"/>
      <c r="ID964" s="324"/>
      <c r="IE964" s="324"/>
      <c r="IF964" s="324"/>
      <c r="IH964" s="54"/>
      <c r="II964" s="54"/>
      <c r="IJ964" s="324"/>
      <c r="IK964" s="324"/>
      <c r="IL964" s="324"/>
      <c r="IM964" s="324"/>
      <c r="IN964" s="324"/>
      <c r="IO964" s="324"/>
      <c r="IP964" s="324"/>
      <c r="IQ964" s="324"/>
      <c r="IR964" s="324"/>
      <c r="IS964" s="324"/>
      <c r="IT964" s="324"/>
      <c r="IU964" s="324"/>
      <c r="IV964" s="324"/>
      <c r="IW964" s="324"/>
      <c r="IX964" s="324"/>
      <c r="IY964" s="324"/>
      <c r="IZ964" s="324"/>
      <c r="JA964" s="324"/>
      <c r="JB964" s="324"/>
      <c r="JC964" s="324"/>
      <c r="JD964" s="324"/>
      <c r="JE964" s="324"/>
      <c r="JF964" s="324"/>
      <c r="JG964" s="324"/>
      <c r="JH964" s="324"/>
      <c r="JI964" s="324"/>
      <c r="JJ964" s="324"/>
      <c r="JK964" s="324"/>
      <c r="JL964" s="324"/>
      <c r="JM964" s="324"/>
      <c r="JN964" s="324"/>
      <c r="JO964" s="324"/>
      <c r="JS964" s="324"/>
      <c r="JT964" s="324"/>
      <c r="JU964" s="324"/>
      <c r="JV964" s="324"/>
      <c r="JW964" s="324"/>
      <c r="JX964" s="324"/>
      <c r="JY964" s="324"/>
      <c r="JZ964" s="324"/>
      <c r="KA964" s="324"/>
      <c r="KB964" s="324"/>
      <c r="KC964" s="324"/>
      <c r="KD964" s="324"/>
      <c r="KE964" s="324"/>
      <c r="KF964" s="324"/>
      <c r="KG964" s="324"/>
      <c r="KH964" s="324"/>
      <c r="KI964" s="324"/>
      <c r="KJ964" s="324"/>
      <c r="KK964" s="324"/>
      <c r="KL964" s="324"/>
      <c r="KM964" s="324"/>
      <c r="KN964" s="324"/>
      <c r="KO964" s="324"/>
      <c r="KP964" s="324"/>
      <c r="KQ964" s="324"/>
      <c r="KR964" s="324"/>
      <c r="KS964" s="324"/>
      <c r="KT964" s="324"/>
      <c r="KU964" s="324"/>
      <c r="KV964" s="324"/>
      <c r="KW964" s="324"/>
      <c r="KX964" s="324"/>
    </row>
    <row r="965" spans="1:310" ht="12.75" x14ac:dyDescent="0.2">
      <c r="A965" s="54"/>
      <c r="B965" s="54"/>
      <c r="C965" s="54"/>
      <c r="D965" s="54"/>
      <c r="E965" s="80"/>
      <c r="F965" s="81"/>
      <c r="G965" s="81"/>
      <c r="H965" s="81"/>
      <c r="I965" s="81"/>
      <c r="J965" s="81"/>
      <c r="K965" s="81"/>
      <c r="L965" s="81"/>
      <c r="M965" s="81"/>
      <c r="N965" s="81"/>
      <c r="O965" s="81"/>
      <c r="P965" s="81"/>
      <c r="Q965" s="81"/>
      <c r="R965" s="81"/>
      <c r="S965" s="81"/>
      <c r="T965" s="81"/>
      <c r="U965" s="81"/>
      <c r="V965" s="81"/>
      <c r="W965" s="81"/>
      <c r="X965" s="81"/>
      <c r="Y965" s="81"/>
      <c r="Z965" s="81"/>
      <c r="AA965" s="81"/>
      <c r="AB965" s="81"/>
      <c r="AC965" s="81"/>
      <c r="AD965" s="81"/>
      <c r="AE965" s="81"/>
      <c r="AF965" s="81"/>
      <c r="AG965" s="81"/>
      <c r="AH965" s="81"/>
      <c r="AI965" s="81"/>
      <c r="AJ965" s="91"/>
      <c r="AK965" s="182"/>
      <c r="AN965" s="173"/>
      <c r="AO965" s="175"/>
      <c r="AP965" s="175"/>
      <c r="AQ965" s="175"/>
      <c r="AR965" s="175"/>
      <c r="AS965" s="175"/>
      <c r="AT965" s="175"/>
      <c r="AU965" s="175"/>
      <c r="AV965" s="175"/>
      <c r="AW965" s="175"/>
      <c r="AX965" s="175"/>
      <c r="AY965" s="175"/>
      <c r="AZ965" s="175"/>
      <c r="BA965" s="175"/>
      <c r="BB965" s="175"/>
      <c r="BC965" s="175"/>
      <c r="BD965" s="175"/>
      <c r="BE965" s="175"/>
      <c r="BF965" s="175"/>
      <c r="BG965" s="175"/>
      <c r="BH965" s="175"/>
      <c r="BI965" s="175"/>
      <c r="BJ965" s="175"/>
      <c r="BK965" s="175"/>
      <c r="BL965" s="175"/>
      <c r="BM965" s="175"/>
      <c r="BN965" s="175"/>
      <c r="BO965" s="175"/>
      <c r="BP965" s="175"/>
      <c r="BQ965" s="175"/>
      <c r="BR965" s="175"/>
      <c r="BS965" s="175"/>
      <c r="BT965" s="55"/>
      <c r="BU965" s="55"/>
      <c r="BV965" s="55"/>
      <c r="BW965" s="173"/>
      <c r="BX965" s="175"/>
      <c r="BY965" s="175"/>
      <c r="BZ965" s="175"/>
      <c r="CA965" s="173"/>
      <c r="CB965" s="173"/>
      <c r="CC965" s="173"/>
      <c r="CD965" s="173"/>
      <c r="CE965" s="173"/>
      <c r="CF965" s="173"/>
      <c r="CG965" s="175"/>
      <c r="CH965" s="175"/>
      <c r="CI965" s="175"/>
      <c r="CJ965" s="175"/>
      <c r="CK965" s="55"/>
      <c r="CL965" s="55"/>
      <c r="CM965" s="55"/>
      <c r="CN965" s="173"/>
      <c r="CO965" s="175"/>
      <c r="CP965" s="175"/>
      <c r="CQ965" s="175"/>
      <c r="CR965" s="175"/>
      <c r="CS965" s="175"/>
      <c r="CT965" s="175"/>
      <c r="CU965" s="175"/>
      <c r="CV965" s="175"/>
      <c r="CW965" s="218"/>
      <c r="CX965" s="218"/>
      <c r="CY965" s="218"/>
      <c r="CZ965" s="218"/>
      <c r="DA965" s="218"/>
      <c r="DB965" s="218"/>
      <c r="DC965" s="218"/>
      <c r="DD965" s="218"/>
      <c r="DE965" s="218"/>
      <c r="DF965" s="218"/>
      <c r="DG965" s="175"/>
      <c r="DH965" s="175"/>
      <c r="DI965" s="175"/>
      <c r="DJ965" s="175"/>
      <c r="DK965" s="175"/>
      <c r="DL965" s="175"/>
      <c r="DM965" s="175"/>
      <c r="DN965" s="175"/>
      <c r="DO965" s="175"/>
      <c r="DP965" s="175"/>
      <c r="DQ965" s="175"/>
      <c r="DR965" s="175"/>
      <c r="DS965" s="175"/>
      <c r="DT965" s="175"/>
      <c r="DU965" s="175"/>
      <c r="DV965" s="175"/>
      <c r="DW965" s="175"/>
      <c r="DX965" s="175"/>
      <c r="DY965" s="175"/>
      <c r="DZ965" s="175"/>
      <c r="EA965" s="175"/>
      <c r="EB965" s="175"/>
      <c r="EC965" s="175"/>
      <c r="ED965" s="175"/>
      <c r="EE965" s="175"/>
      <c r="EI965" s="173"/>
      <c r="EJ965" s="175"/>
      <c r="EK965" s="175"/>
      <c r="EL965" s="175"/>
      <c r="EM965" s="175"/>
      <c r="EN965" s="175"/>
      <c r="EO965" s="175"/>
      <c r="EP965" s="175"/>
      <c r="EQ965" s="175"/>
      <c r="ER965" s="175"/>
      <c r="ES965" s="175"/>
      <c r="ET965" s="175"/>
      <c r="EU965" s="175"/>
      <c r="EV965" s="175"/>
      <c r="EW965" s="175"/>
      <c r="EX965" s="175"/>
      <c r="EY965" s="175"/>
      <c r="EZ965" s="175"/>
      <c r="FA965" s="175"/>
      <c r="FB965" s="175"/>
      <c r="FC965" s="175"/>
      <c r="FD965" s="175"/>
      <c r="FE965" s="175"/>
      <c r="FF965" s="175"/>
      <c r="FG965" s="175"/>
      <c r="FH965" s="175"/>
      <c r="FI965" s="175"/>
      <c r="FJ965" s="175"/>
      <c r="FK965" s="175"/>
      <c r="FL965" s="175"/>
      <c r="FM965" s="175"/>
      <c r="FN965" s="175"/>
      <c r="FR965" s="173"/>
      <c r="FS965" s="175"/>
      <c r="FT965" s="175"/>
      <c r="FU965" s="175"/>
      <c r="FV965" s="175"/>
      <c r="FW965" s="175"/>
      <c r="FX965" s="175"/>
      <c r="FY965" s="175"/>
      <c r="FZ965" s="175"/>
      <c r="GA965" s="175"/>
      <c r="GB965" s="175"/>
      <c r="GC965" s="175"/>
      <c r="GD965" s="175"/>
      <c r="GE965" s="175"/>
      <c r="GF965" s="175"/>
      <c r="GG965" s="175"/>
      <c r="GH965" s="175"/>
      <c r="GI965" s="175"/>
      <c r="GJ965" s="175"/>
      <c r="GK965" s="175"/>
      <c r="GL965" s="175"/>
      <c r="GM965" s="175"/>
      <c r="GN965" s="175"/>
      <c r="GO965" s="175"/>
      <c r="GP965" s="175"/>
      <c r="GQ965" s="175"/>
      <c r="GR965" s="175"/>
      <c r="GS965" s="175"/>
      <c r="GT965" s="175"/>
      <c r="GU965" s="175"/>
      <c r="GV965" s="175"/>
      <c r="GW965" s="175"/>
      <c r="HA965" s="173"/>
      <c r="HB965" s="175"/>
      <c r="HC965" s="175"/>
      <c r="HD965" s="175"/>
      <c r="HE965" s="175"/>
      <c r="HF965" s="175"/>
      <c r="HG965" s="175"/>
      <c r="HH965" s="175"/>
      <c r="HI965" s="175"/>
      <c r="HJ965" s="175"/>
      <c r="HK965" s="175"/>
      <c r="HL965" s="175"/>
      <c r="HM965" s="175"/>
      <c r="HN965" s="175"/>
      <c r="HO965" s="175"/>
      <c r="HP965" s="175"/>
      <c r="HQ965" s="175"/>
      <c r="HR965" s="175"/>
      <c r="HS965" s="175"/>
      <c r="HT965" s="175"/>
      <c r="HU965" s="175"/>
      <c r="HV965" s="175"/>
      <c r="HW965" s="175"/>
      <c r="HX965" s="175"/>
      <c r="HY965" s="175"/>
      <c r="HZ965" s="175"/>
      <c r="IA965" s="175"/>
      <c r="IB965" s="175"/>
      <c r="IC965" s="175"/>
      <c r="ID965" s="175"/>
      <c r="IE965" s="175"/>
      <c r="IF965" s="175"/>
      <c r="IH965" s="54"/>
      <c r="II965" s="54"/>
      <c r="IJ965" s="173"/>
      <c r="IK965" s="175"/>
      <c r="IL965" s="175"/>
      <c r="IM965" s="175"/>
      <c r="IN965" s="175"/>
      <c r="IO965" s="175"/>
      <c r="IP965" s="175"/>
      <c r="IQ965" s="175"/>
      <c r="IR965" s="175"/>
      <c r="IS965" s="175"/>
      <c r="IT965" s="175"/>
      <c r="IU965" s="175"/>
      <c r="IV965" s="175"/>
      <c r="IW965" s="175"/>
      <c r="IX965" s="175"/>
      <c r="IY965" s="175"/>
      <c r="IZ965" s="175"/>
      <c r="JA965" s="175"/>
      <c r="JB965" s="175"/>
      <c r="JC965" s="175"/>
      <c r="JD965" s="175"/>
      <c r="JE965" s="175"/>
      <c r="JF965" s="175"/>
      <c r="JG965" s="175"/>
      <c r="JH965" s="175"/>
      <c r="JI965" s="175"/>
      <c r="JJ965" s="175"/>
      <c r="JK965" s="175"/>
      <c r="JL965" s="175"/>
      <c r="JM965" s="175"/>
      <c r="JN965" s="175"/>
      <c r="JO965" s="175"/>
      <c r="JS965" s="173"/>
      <c r="JT965" s="175"/>
      <c r="JU965" s="175"/>
      <c r="JV965" s="175"/>
      <c r="JW965" s="175"/>
      <c r="JX965" s="175"/>
      <c r="JY965" s="175"/>
      <c r="JZ965" s="175"/>
      <c r="KA965" s="175"/>
      <c r="KB965" s="175"/>
      <c r="KC965" s="175"/>
      <c r="KD965" s="175"/>
      <c r="KE965" s="175"/>
      <c r="KF965" s="175"/>
      <c r="KG965" s="175"/>
      <c r="KH965" s="175"/>
      <c r="KI965" s="175"/>
      <c r="KJ965" s="175"/>
      <c r="KK965" s="175"/>
      <c r="KL965" s="175"/>
      <c r="KM965" s="175"/>
      <c r="KN965" s="175"/>
      <c r="KO965" s="175"/>
      <c r="KP965" s="175"/>
      <c r="KQ965" s="175"/>
      <c r="KR965" s="175"/>
      <c r="KS965" s="175"/>
      <c r="KT965" s="175"/>
      <c r="KU965" s="175"/>
      <c r="KV965" s="175"/>
      <c r="KW965" s="175"/>
      <c r="KX965" s="175"/>
    </row>
    <row r="966" spans="1:310" ht="12.75" customHeight="1" x14ac:dyDescent="0.2">
      <c r="A966" s="54"/>
      <c r="B966" s="54"/>
      <c r="C966" s="54"/>
      <c r="D966" s="54"/>
      <c r="E966" s="324" t="str">
        <f>IF( $O$61="Embebido",$BW$966,
          IF( OR($O$64 ="Hilti HIT-RE 500-SD",$O$64 ="Hilti HIT-HY 200-R",$O$64 ="Hilti HIT-MM Plus",$O$64 ="Inyectable"),$IJ$966,
                    IF( OR($O$64 ="Hilti HDA",$O$64 ="Sobre-excavado"),$HA$966,
                            IF( OR($O$64 ="Hilti HSL-3",$O$64 ="Expansivo de camisa"),$FR$966,
                                         IF( OR($O$64 ="Hilti KH-EZ",$O$64 ="Hilti KH",$O$64 ="Hilti KH-EZ-I",$O$64 ="Hilti KH-I",$O$64 ="Atornillado"),$EI$966,
                                                      IF( OR( $O$64 ="Hilti HKB3",$O$64 ="Expansivo de cuña"),$CN$966,
                                                                    IF( OR($O$64 ="Hilti HVA",$O$64 ="Capsula"),$JS$966,
                                                                                  $AN$966                                                                        )
                                                          )
                                              )
                                 )
                        )
             )
   )</f>
        <v>g.      Varillas corrugadas de construcción con sistema HIT-MM Plus para anclaje a concreto, sin certificaciones y limitado para uso en aplicaciones no estructurales sin responsabilidad sísmica.</v>
      </c>
      <c r="F966" s="324"/>
      <c r="G966" s="324"/>
      <c r="H966" s="324"/>
      <c r="I966" s="324"/>
      <c r="J966" s="324"/>
      <c r="K966" s="324"/>
      <c r="L966" s="324"/>
      <c r="M966" s="324"/>
      <c r="N966" s="324"/>
      <c r="O966" s="324"/>
      <c r="P966" s="324"/>
      <c r="Q966" s="324"/>
      <c r="R966" s="324"/>
      <c r="S966" s="324"/>
      <c r="T966" s="324"/>
      <c r="U966" s="324"/>
      <c r="V966" s="324"/>
      <c r="W966" s="324"/>
      <c r="X966" s="324"/>
      <c r="Y966" s="324"/>
      <c r="Z966" s="324"/>
      <c r="AA966" s="324"/>
      <c r="AB966" s="324"/>
      <c r="AC966" s="324"/>
      <c r="AD966" s="324"/>
      <c r="AE966" s="324"/>
      <c r="AF966" s="324"/>
      <c r="AG966" s="324"/>
      <c r="AH966" s="324"/>
      <c r="AI966" s="324"/>
      <c r="AJ966" s="324"/>
      <c r="AK966" s="173"/>
      <c r="AN966" s="324"/>
      <c r="AO966" s="324"/>
      <c r="AP966" s="324"/>
      <c r="AQ966" s="324"/>
      <c r="AR966" s="324"/>
      <c r="AS966" s="324"/>
      <c r="AT966" s="324"/>
      <c r="AU966" s="324"/>
      <c r="AV966" s="324"/>
      <c r="AW966" s="324"/>
      <c r="AX966" s="324"/>
      <c r="AY966" s="324"/>
      <c r="AZ966" s="324"/>
      <c r="BA966" s="324"/>
      <c r="BB966" s="324"/>
      <c r="BC966" s="324"/>
      <c r="BD966" s="324"/>
      <c r="BE966" s="324"/>
      <c r="BF966" s="324"/>
      <c r="BG966" s="324"/>
      <c r="BH966" s="324"/>
      <c r="BI966" s="324"/>
      <c r="BJ966" s="324"/>
      <c r="BK966" s="324"/>
      <c r="BL966" s="324"/>
      <c r="BM966" s="324"/>
      <c r="BN966" s="324"/>
      <c r="BO966" s="324"/>
      <c r="BP966" s="324"/>
      <c r="BQ966" s="324"/>
      <c r="BR966" s="324"/>
      <c r="BS966" s="324"/>
      <c r="BT966" s="55"/>
      <c r="BU966" s="55"/>
      <c r="BV966" s="55"/>
      <c r="BW966" s="173" t="s">
        <v>271</v>
      </c>
      <c r="BX966" s="173"/>
      <c r="BY966" s="173"/>
      <c r="BZ966" s="173"/>
      <c r="CA966" s="175"/>
      <c r="CB966" s="175"/>
      <c r="CC966" s="175"/>
      <c r="CD966" s="175"/>
      <c r="CE966" s="175"/>
      <c r="CF966" s="175"/>
      <c r="CG966" s="173"/>
      <c r="CH966" s="173"/>
      <c r="CI966" s="173"/>
      <c r="CJ966" s="173"/>
      <c r="CK966" s="55"/>
      <c r="CL966" s="55"/>
      <c r="CM966" s="55"/>
      <c r="CN966" s="324" t="s">
        <v>271</v>
      </c>
      <c r="CO966" s="324"/>
      <c r="CP966" s="324"/>
      <c r="CQ966" s="324"/>
      <c r="CR966" s="324"/>
      <c r="CS966" s="324"/>
      <c r="CT966" s="324"/>
      <c r="CU966" s="324"/>
      <c r="CV966" s="324"/>
      <c r="CW966" s="324"/>
      <c r="CX966" s="324"/>
      <c r="CY966" s="324"/>
      <c r="CZ966" s="324"/>
      <c r="DA966" s="324"/>
      <c r="DB966" s="324"/>
      <c r="DC966" s="324"/>
      <c r="DD966" s="324"/>
      <c r="DE966" s="324"/>
      <c r="DF966" s="324"/>
      <c r="DG966" s="324"/>
      <c r="DH966" s="324"/>
      <c r="DI966" s="324"/>
      <c r="DJ966" s="324"/>
      <c r="DK966" s="324"/>
      <c r="DL966" s="324"/>
      <c r="DM966" s="324"/>
      <c r="DN966" s="324"/>
      <c r="DO966" s="324"/>
      <c r="DP966" s="324"/>
      <c r="DQ966" s="324"/>
      <c r="DR966" s="324"/>
      <c r="DS966" s="324"/>
      <c r="DT966" s="324"/>
      <c r="DU966" s="324"/>
      <c r="DV966" s="324"/>
      <c r="DW966" s="324"/>
      <c r="DX966" s="324"/>
      <c r="DY966" s="324"/>
      <c r="DZ966" s="324"/>
      <c r="EA966" s="324"/>
      <c r="EB966" s="324"/>
      <c r="EC966" s="324"/>
      <c r="ED966" s="324"/>
      <c r="EE966" s="324"/>
      <c r="EI966" s="324" t="s">
        <v>271</v>
      </c>
      <c r="EJ966" s="324"/>
      <c r="EK966" s="324"/>
      <c r="EL966" s="324"/>
      <c r="EM966" s="324"/>
      <c r="EN966" s="324"/>
      <c r="EO966" s="324"/>
      <c r="EP966" s="324"/>
      <c r="EQ966" s="324"/>
      <c r="ER966" s="324"/>
      <c r="ES966" s="324"/>
      <c r="ET966" s="324"/>
      <c r="EU966" s="324"/>
      <c r="EV966" s="324"/>
      <c r="EW966" s="324"/>
      <c r="EX966" s="324"/>
      <c r="EY966" s="324"/>
      <c r="EZ966" s="324"/>
      <c r="FA966" s="324"/>
      <c r="FB966" s="324"/>
      <c r="FC966" s="324"/>
      <c r="FD966" s="324"/>
      <c r="FE966" s="324"/>
      <c r="FF966" s="324"/>
      <c r="FG966" s="324"/>
      <c r="FH966" s="324"/>
      <c r="FI966" s="324"/>
      <c r="FJ966" s="324"/>
      <c r="FK966" s="324"/>
      <c r="FL966" s="324"/>
      <c r="FM966" s="324"/>
      <c r="FN966" s="324"/>
      <c r="FR966" s="324" t="s">
        <v>271</v>
      </c>
      <c r="FS966" s="324"/>
      <c r="FT966" s="324"/>
      <c r="FU966" s="324"/>
      <c r="FV966" s="324"/>
      <c r="FW966" s="324"/>
      <c r="FX966" s="324"/>
      <c r="FY966" s="324"/>
      <c r="FZ966" s="324"/>
      <c r="GA966" s="324"/>
      <c r="GB966" s="324"/>
      <c r="GC966" s="324"/>
      <c r="GD966" s="324"/>
      <c r="GE966" s="324"/>
      <c r="GF966" s="324"/>
      <c r="GG966" s="324"/>
      <c r="GH966" s="324"/>
      <c r="GI966" s="324"/>
      <c r="GJ966" s="324"/>
      <c r="GK966" s="324"/>
      <c r="GL966" s="324"/>
      <c r="GM966" s="324"/>
      <c r="GN966" s="324"/>
      <c r="GO966" s="324"/>
      <c r="GP966" s="324"/>
      <c r="GQ966" s="324"/>
      <c r="GR966" s="324"/>
      <c r="GS966" s="324"/>
      <c r="GT966" s="324"/>
      <c r="GU966" s="324"/>
      <c r="GV966" s="324"/>
      <c r="GW966" s="324"/>
      <c r="HA966" s="324" t="s">
        <v>271</v>
      </c>
      <c r="HB966" s="324"/>
      <c r="HC966" s="324"/>
      <c r="HD966" s="324"/>
      <c r="HE966" s="324"/>
      <c r="HF966" s="324"/>
      <c r="HG966" s="324"/>
      <c r="HH966" s="324"/>
      <c r="HI966" s="324"/>
      <c r="HJ966" s="324"/>
      <c r="HK966" s="324"/>
      <c r="HL966" s="324"/>
      <c r="HM966" s="324"/>
      <c r="HN966" s="324"/>
      <c r="HO966" s="324"/>
      <c r="HP966" s="324"/>
      <c r="HQ966" s="324"/>
      <c r="HR966" s="324"/>
      <c r="HS966" s="324"/>
      <c r="HT966" s="324"/>
      <c r="HU966" s="324"/>
      <c r="HV966" s="324"/>
      <c r="HW966" s="324"/>
      <c r="HX966" s="324"/>
      <c r="HY966" s="324"/>
      <c r="HZ966" s="324"/>
      <c r="IA966" s="324"/>
      <c r="IB966" s="324"/>
      <c r="IC966" s="324"/>
      <c r="ID966" s="324"/>
      <c r="IE966" s="324"/>
      <c r="IF966" s="324"/>
      <c r="IH966" s="54"/>
      <c r="II966" s="54"/>
      <c r="IJ966" s="324" t="s">
        <v>337</v>
      </c>
      <c r="IK966" s="324"/>
      <c r="IL966" s="324"/>
      <c r="IM966" s="324"/>
      <c r="IN966" s="324"/>
      <c r="IO966" s="324"/>
      <c r="IP966" s="324"/>
      <c r="IQ966" s="324"/>
      <c r="IR966" s="324"/>
      <c r="IS966" s="324"/>
      <c r="IT966" s="324"/>
      <c r="IU966" s="324"/>
      <c r="IV966" s="324"/>
      <c r="IW966" s="324"/>
      <c r="IX966" s="324"/>
      <c r="IY966" s="324"/>
      <c r="IZ966" s="324"/>
      <c r="JA966" s="324"/>
      <c r="JB966" s="324"/>
      <c r="JC966" s="324"/>
      <c r="JD966" s="324"/>
      <c r="JE966" s="324"/>
      <c r="JF966" s="324"/>
      <c r="JG966" s="324"/>
      <c r="JH966" s="324"/>
      <c r="JI966" s="324"/>
      <c r="JJ966" s="324"/>
      <c r="JK966" s="324"/>
      <c r="JL966" s="324"/>
      <c r="JM966" s="324"/>
      <c r="JN966" s="324"/>
      <c r="JO966" s="324"/>
      <c r="JS966" s="324" t="s">
        <v>271</v>
      </c>
      <c r="JT966" s="324"/>
      <c r="JU966" s="324"/>
      <c r="JV966" s="324"/>
      <c r="JW966" s="324"/>
      <c r="JX966" s="324"/>
      <c r="JY966" s="324"/>
      <c r="JZ966" s="324"/>
      <c r="KA966" s="324"/>
      <c r="KB966" s="324"/>
      <c r="KC966" s="324"/>
      <c r="KD966" s="324"/>
      <c r="KE966" s="324"/>
      <c r="KF966" s="324"/>
      <c r="KG966" s="324"/>
      <c r="KH966" s="324"/>
      <c r="KI966" s="324"/>
      <c r="KJ966" s="324"/>
      <c r="KK966" s="324"/>
      <c r="KL966" s="324"/>
      <c r="KM966" s="324"/>
      <c r="KN966" s="324"/>
      <c r="KO966" s="324"/>
      <c r="KP966" s="324"/>
      <c r="KQ966" s="324"/>
      <c r="KR966" s="324"/>
      <c r="KS966" s="324"/>
      <c r="KT966" s="324"/>
      <c r="KU966" s="324"/>
      <c r="KV966" s="324"/>
      <c r="KW966" s="324"/>
      <c r="KX966" s="324"/>
    </row>
    <row r="967" spans="1:310" ht="12.75" x14ac:dyDescent="0.2">
      <c r="A967" s="54"/>
      <c r="B967" s="54"/>
      <c r="C967" s="54"/>
      <c r="D967" s="54"/>
      <c r="E967" s="324"/>
      <c r="F967" s="324"/>
      <c r="G967" s="324"/>
      <c r="H967" s="324"/>
      <c r="I967" s="324"/>
      <c r="J967" s="324"/>
      <c r="K967" s="324"/>
      <c r="L967" s="324"/>
      <c r="M967" s="324"/>
      <c r="N967" s="324"/>
      <c r="O967" s="324"/>
      <c r="P967" s="324"/>
      <c r="Q967" s="324"/>
      <c r="R967" s="324"/>
      <c r="S967" s="324"/>
      <c r="T967" s="324"/>
      <c r="U967" s="324"/>
      <c r="V967" s="324"/>
      <c r="W967" s="324"/>
      <c r="X967" s="324"/>
      <c r="Y967" s="324"/>
      <c r="Z967" s="324"/>
      <c r="AA967" s="324"/>
      <c r="AB967" s="324"/>
      <c r="AC967" s="324"/>
      <c r="AD967" s="324"/>
      <c r="AE967" s="324"/>
      <c r="AF967" s="324"/>
      <c r="AG967" s="324"/>
      <c r="AH967" s="324"/>
      <c r="AI967" s="324"/>
      <c r="AJ967" s="324"/>
      <c r="AK967" s="173"/>
      <c r="AN967" s="324"/>
      <c r="AO967" s="324"/>
      <c r="AP967" s="324"/>
      <c r="AQ967" s="324"/>
      <c r="AR967" s="324"/>
      <c r="AS967" s="324"/>
      <c r="AT967" s="324"/>
      <c r="AU967" s="324"/>
      <c r="AV967" s="324"/>
      <c r="AW967" s="324"/>
      <c r="AX967" s="324"/>
      <c r="AY967" s="324"/>
      <c r="AZ967" s="324"/>
      <c r="BA967" s="324"/>
      <c r="BB967" s="324"/>
      <c r="BC967" s="324"/>
      <c r="BD967" s="324"/>
      <c r="BE967" s="324"/>
      <c r="BF967" s="324"/>
      <c r="BG967" s="324"/>
      <c r="BH967" s="324"/>
      <c r="BI967" s="324"/>
      <c r="BJ967" s="324"/>
      <c r="BK967" s="324"/>
      <c r="BL967" s="324"/>
      <c r="BM967" s="324"/>
      <c r="BN967" s="324"/>
      <c r="BO967" s="324"/>
      <c r="BP967" s="324"/>
      <c r="BQ967" s="324"/>
      <c r="BR967" s="324"/>
      <c r="BS967" s="324"/>
      <c r="BT967" s="55"/>
      <c r="BU967" s="55"/>
      <c r="BV967" s="55"/>
      <c r="BW967" s="173"/>
      <c r="BX967" s="173"/>
      <c r="BY967" s="173"/>
      <c r="BZ967" s="173"/>
      <c r="CA967" s="173"/>
      <c r="CB967" s="173"/>
      <c r="CC967" s="173"/>
      <c r="CD967" s="173"/>
      <c r="CE967" s="173"/>
      <c r="CF967" s="173"/>
      <c r="CG967" s="173"/>
      <c r="CH967" s="173"/>
      <c r="CI967" s="173"/>
      <c r="CJ967" s="173"/>
      <c r="CK967" s="55"/>
      <c r="CL967" s="55"/>
      <c r="CM967" s="55"/>
      <c r="CN967" s="324"/>
      <c r="CO967" s="324"/>
      <c r="CP967" s="324"/>
      <c r="CQ967" s="324"/>
      <c r="CR967" s="324"/>
      <c r="CS967" s="324"/>
      <c r="CT967" s="324"/>
      <c r="CU967" s="324"/>
      <c r="CV967" s="324"/>
      <c r="CW967" s="324"/>
      <c r="CX967" s="324"/>
      <c r="CY967" s="324"/>
      <c r="CZ967" s="324"/>
      <c r="DA967" s="324"/>
      <c r="DB967" s="324"/>
      <c r="DC967" s="324"/>
      <c r="DD967" s="324"/>
      <c r="DE967" s="324"/>
      <c r="DF967" s="324"/>
      <c r="DG967" s="324"/>
      <c r="DH967" s="324"/>
      <c r="DI967" s="324"/>
      <c r="DJ967" s="324"/>
      <c r="DK967" s="324"/>
      <c r="DL967" s="324"/>
      <c r="DM967" s="324"/>
      <c r="DN967" s="324"/>
      <c r="DO967" s="324"/>
      <c r="DP967" s="324"/>
      <c r="DQ967" s="324"/>
      <c r="DR967" s="324"/>
      <c r="DS967" s="324"/>
      <c r="DT967" s="324"/>
      <c r="DU967" s="324"/>
      <c r="DV967" s="324"/>
      <c r="DW967" s="324"/>
      <c r="DX967" s="324"/>
      <c r="DY967" s="324"/>
      <c r="DZ967" s="324"/>
      <c r="EA967" s="324"/>
      <c r="EB967" s="324"/>
      <c r="EC967" s="324"/>
      <c r="ED967" s="324"/>
      <c r="EE967" s="324"/>
      <c r="EI967" s="324"/>
      <c r="EJ967" s="324"/>
      <c r="EK967" s="324"/>
      <c r="EL967" s="324"/>
      <c r="EM967" s="324"/>
      <c r="EN967" s="324"/>
      <c r="EO967" s="324"/>
      <c r="EP967" s="324"/>
      <c r="EQ967" s="324"/>
      <c r="ER967" s="324"/>
      <c r="ES967" s="324"/>
      <c r="ET967" s="324"/>
      <c r="EU967" s="324"/>
      <c r="EV967" s="324"/>
      <c r="EW967" s="324"/>
      <c r="EX967" s="324"/>
      <c r="EY967" s="324"/>
      <c r="EZ967" s="324"/>
      <c r="FA967" s="324"/>
      <c r="FB967" s="324"/>
      <c r="FC967" s="324"/>
      <c r="FD967" s="324"/>
      <c r="FE967" s="324"/>
      <c r="FF967" s="324"/>
      <c r="FG967" s="324"/>
      <c r="FH967" s="324"/>
      <c r="FI967" s="324"/>
      <c r="FJ967" s="324"/>
      <c r="FK967" s="324"/>
      <c r="FL967" s="324"/>
      <c r="FM967" s="324"/>
      <c r="FN967" s="324"/>
      <c r="FR967" s="324"/>
      <c r="FS967" s="324"/>
      <c r="FT967" s="324"/>
      <c r="FU967" s="324"/>
      <c r="FV967" s="324"/>
      <c r="FW967" s="324"/>
      <c r="FX967" s="324"/>
      <c r="FY967" s="324"/>
      <c r="FZ967" s="324"/>
      <c r="GA967" s="324"/>
      <c r="GB967" s="324"/>
      <c r="GC967" s="324"/>
      <c r="GD967" s="324"/>
      <c r="GE967" s="324"/>
      <c r="GF967" s="324"/>
      <c r="GG967" s="324"/>
      <c r="GH967" s="324"/>
      <c r="GI967" s="324"/>
      <c r="GJ967" s="324"/>
      <c r="GK967" s="324"/>
      <c r="GL967" s="324"/>
      <c r="GM967" s="324"/>
      <c r="GN967" s="324"/>
      <c r="GO967" s="324"/>
      <c r="GP967" s="324"/>
      <c r="GQ967" s="324"/>
      <c r="GR967" s="324"/>
      <c r="GS967" s="324"/>
      <c r="GT967" s="324"/>
      <c r="GU967" s="324"/>
      <c r="GV967" s="324"/>
      <c r="GW967" s="324"/>
      <c r="HA967" s="324"/>
      <c r="HB967" s="324"/>
      <c r="HC967" s="324"/>
      <c r="HD967" s="324"/>
      <c r="HE967" s="324"/>
      <c r="HF967" s="324"/>
      <c r="HG967" s="324"/>
      <c r="HH967" s="324"/>
      <c r="HI967" s="324"/>
      <c r="HJ967" s="324"/>
      <c r="HK967" s="324"/>
      <c r="HL967" s="324"/>
      <c r="HM967" s="324"/>
      <c r="HN967" s="324"/>
      <c r="HO967" s="324"/>
      <c r="HP967" s="324"/>
      <c r="HQ967" s="324"/>
      <c r="HR967" s="324"/>
      <c r="HS967" s="324"/>
      <c r="HT967" s="324"/>
      <c r="HU967" s="324"/>
      <c r="HV967" s="324"/>
      <c r="HW967" s="324"/>
      <c r="HX967" s="324"/>
      <c r="HY967" s="324"/>
      <c r="HZ967" s="324"/>
      <c r="IA967" s="324"/>
      <c r="IB967" s="324"/>
      <c r="IC967" s="324"/>
      <c r="ID967" s="324"/>
      <c r="IE967" s="324"/>
      <c r="IF967" s="324"/>
      <c r="IH967" s="54"/>
      <c r="II967" s="54"/>
      <c r="IJ967" s="324"/>
      <c r="IK967" s="324"/>
      <c r="IL967" s="324"/>
      <c r="IM967" s="324"/>
      <c r="IN967" s="324"/>
      <c r="IO967" s="324"/>
      <c r="IP967" s="324"/>
      <c r="IQ967" s="324"/>
      <c r="IR967" s="324"/>
      <c r="IS967" s="324"/>
      <c r="IT967" s="324"/>
      <c r="IU967" s="324"/>
      <c r="IV967" s="324"/>
      <c r="IW967" s="324"/>
      <c r="IX967" s="324"/>
      <c r="IY967" s="324"/>
      <c r="IZ967" s="324"/>
      <c r="JA967" s="324"/>
      <c r="JB967" s="324"/>
      <c r="JC967" s="324"/>
      <c r="JD967" s="324"/>
      <c r="JE967" s="324"/>
      <c r="JF967" s="324"/>
      <c r="JG967" s="324"/>
      <c r="JH967" s="324"/>
      <c r="JI967" s="324"/>
      <c r="JJ967" s="324"/>
      <c r="JK967" s="324"/>
      <c r="JL967" s="324"/>
      <c r="JM967" s="324"/>
      <c r="JN967" s="324"/>
      <c r="JO967" s="324"/>
      <c r="JS967" s="324"/>
      <c r="JT967" s="324"/>
      <c r="JU967" s="324"/>
      <c r="JV967" s="324"/>
      <c r="JW967" s="324"/>
      <c r="JX967" s="324"/>
      <c r="JY967" s="324"/>
      <c r="JZ967" s="324"/>
      <c r="KA967" s="324"/>
      <c r="KB967" s="324"/>
      <c r="KC967" s="324"/>
      <c r="KD967" s="324"/>
      <c r="KE967" s="324"/>
      <c r="KF967" s="324"/>
      <c r="KG967" s="324"/>
      <c r="KH967" s="324"/>
      <c r="KI967" s="324"/>
      <c r="KJ967" s="324"/>
      <c r="KK967" s="324"/>
      <c r="KL967" s="324"/>
      <c r="KM967" s="324"/>
      <c r="KN967" s="324"/>
      <c r="KO967" s="324"/>
      <c r="KP967" s="324"/>
      <c r="KQ967" s="324"/>
      <c r="KR967" s="324"/>
      <c r="KS967" s="324"/>
      <c r="KT967" s="324"/>
      <c r="KU967" s="324"/>
      <c r="KV967" s="324"/>
      <c r="KW967" s="324"/>
      <c r="KX967" s="324"/>
    </row>
    <row r="968" spans="1:310" ht="12.75" x14ac:dyDescent="0.2">
      <c r="A968" s="54"/>
      <c r="B968" s="54"/>
      <c r="C968" s="54"/>
      <c r="D968" s="54"/>
      <c r="E968" s="81"/>
      <c r="F968" s="81"/>
      <c r="G968" s="81"/>
      <c r="H968" s="81"/>
      <c r="I968" s="81"/>
      <c r="J968" s="81"/>
      <c r="K968" s="81"/>
      <c r="L968" s="81"/>
      <c r="M968" s="81"/>
      <c r="N968" s="81"/>
      <c r="O968" s="81"/>
      <c r="P968" s="81"/>
      <c r="Q968" s="81"/>
      <c r="R968" s="81"/>
      <c r="S968" s="81"/>
      <c r="T968" s="81"/>
      <c r="U968" s="81"/>
      <c r="V968" s="81"/>
      <c r="W968" s="81"/>
      <c r="X968" s="81"/>
      <c r="Y968" s="81"/>
      <c r="Z968" s="81"/>
      <c r="AA968" s="81"/>
      <c r="AB968" s="81"/>
      <c r="AC968" s="81"/>
      <c r="AD968" s="81"/>
      <c r="AE968" s="81"/>
      <c r="AF968" s="81"/>
      <c r="AG968" s="81"/>
      <c r="AH968" s="81"/>
      <c r="AI968" s="81"/>
      <c r="AJ968" s="91"/>
      <c r="AK968" s="182"/>
      <c r="AY968" s="55"/>
      <c r="AZ968" s="55"/>
      <c r="BA968" s="55"/>
      <c r="BB968" s="55"/>
      <c r="BC968" s="55"/>
      <c r="BD968" s="55"/>
      <c r="BE968" s="55"/>
      <c r="BF968" s="55"/>
      <c r="BG968" s="55"/>
      <c r="BH968" s="55"/>
      <c r="BI968" s="55"/>
      <c r="BJ968" s="55"/>
      <c r="BK968" s="55"/>
      <c r="BL968" s="55"/>
      <c r="BM968" s="55"/>
      <c r="BN968" s="55"/>
      <c r="BO968" s="55"/>
      <c r="BP968" s="55"/>
      <c r="BQ968" s="55"/>
      <c r="BR968" s="55"/>
      <c r="BS968" s="55"/>
      <c r="BT968" s="55"/>
      <c r="BU968" s="55"/>
      <c r="BV968" s="55"/>
      <c r="BW968" s="55"/>
      <c r="BX968" s="55"/>
      <c r="BY968" s="55"/>
      <c r="BZ968" s="55"/>
      <c r="CA968" s="173"/>
      <c r="CB968" s="173"/>
      <c r="CC968" s="173"/>
      <c r="CD968" s="173"/>
      <c r="CE968" s="173"/>
      <c r="CF968" s="173"/>
      <c r="CI968" s="55"/>
      <c r="CJ968" s="55"/>
      <c r="CK968" s="55"/>
      <c r="CL968" s="55"/>
      <c r="CM968" s="55"/>
      <c r="CN968" s="55"/>
      <c r="CO968" s="55"/>
      <c r="CP968" s="55"/>
      <c r="CQ968" s="55"/>
      <c r="DJ968" s="55"/>
      <c r="DK968" s="55"/>
      <c r="DL968" s="55"/>
      <c r="DM968" s="55"/>
      <c r="DN968" s="55"/>
      <c r="DO968" s="55"/>
      <c r="DP968" s="55"/>
      <c r="DQ968" s="55"/>
      <c r="DR968" s="55"/>
      <c r="DS968" s="55"/>
      <c r="DT968" s="55"/>
      <c r="DU968" s="55"/>
      <c r="DV968" s="55"/>
      <c r="IH968" s="54"/>
      <c r="II968" s="54"/>
      <c r="IJ968" s="175"/>
      <c r="IK968" s="175"/>
      <c r="IL968" s="175"/>
      <c r="IM968" s="175"/>
      <c r="IN968" s="175"/>
      <c r="IO968" s="175"/>
      <c r="IP968" s="175"/>
      <c r="IQ968" s="175"/>
      <c r="IR968" s="175"/>
      <c r="IS968" s="175"/>
      <c r="IT968" s="175"/>
      <c r="IU968" s="175"/>
      <c r="IV968" s="175"/>
      <c r="IW968" s="175"/>
      <c r="IX968" s="175"/>
      <c r="IY968" s="175"/>
      <c r="IZ968" s="175"/>
      <c r="JA968" s="175"/>
      <c r="JB968" s="175"/>
      <c r="JC968" s="175"/>
      <c r="JD968" s="175"/>
      <c r="JE968" s="175"/>
      <c r="JF968" s="175"/>
      <c r="JG968" s="175"/>
      <c r="JH968" s="175"/>
      <c r="JI968" s="175"/>
      <c r="JJ968" s="175"/>
      <c r="JK968" s="175"/>
      <c r="JL968" s="175"/>
      <c r="JM968" s="175"/>
      <c r="JN968" s="175"/>
      <c r="JO968" s="175"/>
    </row>
    <row r="969" spans="1:310" ht="12.75" x14ac:dyDescent="0.2">
      <c r="A969" s="56"/>
      <c r="B969" s="54"/>
      <c r="C969" s="54"/>
      <c r="D969" s="54"/>
      <c r="F969" s="54"/>
      <c r="G969" s="54"/>
      <c r="H969" s="54"/>
      <c r="I969" s="54"/>
      <c r="J969" s="54"/>
      <c r="K969" s="54"/>
      <c r="L969" s="54"/>
      <c r="M969" s="54"/>
      <c r="N969" s="54"/>
      <c r="O969" s="54"/>
      <c r="P969" s="54"/>
      <c r="Q969" s="54"/>
      <c r="R969" s="54"/>
      <c r="S969" s="54"/>
      <c r="T969" s="54"/>
      <c r="U969" s="54"/>
      <c r="V969" s="54"/>
      <c r="W969" s="54"/>
      <c r="X969" s="54"/>
      <c r="Y969" s="54"/>
      <c r="Z969" s="54"/>
      <c r="AY969" s="55"/>
      <c r="AZ969" s="55"/>
      <c r="BA969" s="55"/>
      <c r="BB969" s="55"/>
      <c r="BC969" s="55"/>
      <c r="BD969" s="55"/>
      <c r="BE969" s="55"/>
      <c r="BF969" s="55"/>
      <c r="BG969" s="55"/>
      <c r="BH969" s="55"/>
      <c r="BI969" s="55"/>
      <c r="BJ969" s="55"/>
      <c r="BK969" s="55"/>
      <c r="BL969" s="55"/>
      <c r="BM969" s="55"/>
      <c r="BN969" s="55"/>
      <c r="BO969" s="55"/>
      <c r="BP969" s="55"/>
      <c r="BQ969" s="55"/>
      <c r="BR969" s="55"/>
      <c r="BS969" s="55"/>
      <c r="BT969" s="55"/>
      <c r="BU969" s="55"/>
      <c r="BV969" s="55"/>
      <c r="BW969" s="55"/>
      <c r="BX969" s="55"/>
      <c r="BY969" s="55"/>
      <c r="BZ969" s="55"/>
      <c r="CI969" s="55"/>
      <c r="CJ969" s="55"/>
      <c r="CK969" s="55"/>
      <c r="CL969" s="55"/>
      <c r="CM969" s="55"/>
      <c r="CN969" s="55"/>
      <c r="CO969" s="55"/>
      <c r="CP969" s="55"/>
      <c r="CQ969" s="55"/>
      <c r="DJ969" s="55"/>
      <c r="DK969" s="55"/>
      <c r="DL969" s="55"/>
      <c r="DM969" s="55"/>
      <c r="DN969" s="55"/>
      <c r="DO969" s="55"/>
      <c r="DP969" s="55"/>
      <c r="DQ969" s="55"/>
      <c r="DR969" s="55"/>
      <c r="DS969" s="55"/>
      <c r="DT969" s="55"/>
      <c r="DU969" s="55"/>
      <c r="DV969" s="55"/>
    </row>
    <row r="970" spans="1:310" ht="15" customHeight="1" x14ac:dyDescent="0.2">
      <c r="A970" s="54"/>
      <c r="B970" s="248" t="s">
        <v>627</v>
      </c>
      <c r="C970" s="248"/>
      <c r="D970" s="248"/>
      <c r="E970" s="248"/>
      <c r="F970" s="248"/>
      <c r="G970" s="248"/>
      <c r="H970" s="248"/>
      <c r="I970" s="248"/>
      <c r="J970" s="248"/>
      <c r="K970" s="248"/>
      <c r="L970" s="248"/>
      <c r="M970" s="248"/>
      <c r="N970" s="248"/>
      <c r="O970" s="248"/>
      <c r="P970" s="248"/>
      <c r="Q970" s="248"/>
      <c r="R970" s="248"/>
      <c r="S970" s="248"/>
      <c r="T970" s="248"/>
      <c r="U970" s="248"/>
      <c r="V970" s="248"/>
      <c r="W970" s="248"/>
      <c r="X970" s="248"/>
      <c r="Y970" s="248"/>
      <c r="Z970" s="248"/>
      <c r="AA970" s="248"/>
      <c r="AB970" s="248"/>
      <c r="AC970" s="248"/>
      <c r="AD970" s="248"/>
      <c r="AE970" s="248"/>
      <c r="AF970" s="248"/>
      <c r="AG970" s="248"/>
      <c r="AH970" s="248"/>
      <c r="AI970" s="248"/>
      <c r="AJ970" s="248"/>
      <c r="AK970" s="176"/>
      <c r="AY970" s="55"/>
      <c r="AZ970" s="55"/>
      <c r="BA970" s="55"/>
      <c r="BB970" s="55"/>
      <c r="BC970" s="55"/>
      <c r="BD970" s="55"/>
      <c r="BE970" s="55"/>
      <c r="BF970" s="55"/>
      <c r="BG970" s="55"/>
      <c r="BH970" s="55"/>
      <c r="BI970" s="55"/>
      <c r="BJ970" s="55"/>
      <c r="BK970" s="55"/>
      <c r="BL970" s="55"/>
      <c r="BM970" s="55"/>
      <c r="BN970" s="55"/>
      <c r="BO970" s="55"/>
      <c r="BP970" s="55"/>
      <c r="BQ970" s="55"/>
      <c r="BR970" s="55"/>
      <c r="BS970" s="55"/>
      <c r="BT970" s="55"/>
      <c r="BU970" s="55"/>
      <c r="BV970" s="55"/>
      <c r="BW970" s="55"/>
      <c r="BX970" s="55"/>
      <c r="BY970" s="55"/>
      <c r="BZ970" s="55"/>
      <c r="CI970" s="55"/>
      <c r="CJ970" s="55"/>
      <c r="CK970" s="55"/>
      <c r="CL970" s="55"/>
      <c r="CM970" s="55"/>
      <c r="CN970" s="55"/>
      <c r="CO970" s="55"/>
      <c r="CP970" s="55"/>
      <c r="CQ970" s="55"/>
      <c r="DJ970" s="55"/>
      <c r="DK970" s="55"/>
      <c r="DL970" s="55"/>
      <c r="DM970" s="55"/>
      <c r="DN970" s="55"/>
      <c r="DO970" s="55"/>
      <c r="DP970" s="55"/>
      <c r="DQ970" s="55"/>
      <c r="DR970" s="55"/>
      <c r="DS970" s="55"/>
      <c r="DT970" s="55"/>
      <c r="DU970" s="55"/>
      <c r="DV970" s="55"/>
    </row>
    <row r="971" spans="1:310" ht="12.75" customHeight="1" x14ac:dyDescent="0.2">
      <c r="A971" s="56"/>
      <c r="B971" s="54"/>
      <c r="C971" s="54"/>
      <c r="D971" s="54"/>
      <c r="F971" s="54"/>
      <c r="G971" s="54"/>
      <c r="H971" s="54"/>
      <c r="I971" s="54"/>
      <c r="J971" s="54"/>
      <c r="K971" s="54"/>
      <c r="L971" s="54"/>
      <c r="M971" s="54"/>
      <c r="N971" s="54"/>
      <c r="O971" s="54"/>
      <c r="P971" s="54"/>
      <c r="Q971" s="54"/>
      <c r="R971" s="54"/>
      <c r="S971" s="54"/>
      <c r="T971" s="54"/>
      <c r="U971" s="54"/>
      <c r="V971" s="54"/>
      <c r="W971" s="54"/>
      <c r="X971" s="54"/>
      <c r="Y971" s="54"/>
      <c r="Z971" s="54"/>
      <c r="AJ971" s="91"/>
      <c r="AK971" s="182"/>
      <c r="AY971" s="55"/>
      <c r="AZ971" s="55"/>
      <c r="BA971" s="55"/>
      <c r="BB971" s="55"/>
      <c r="BC971" s="55"/>
      <c r="BD971" s="55"/>
      <c r="BE971" s="55"/>
      <c r="BF971" s="55"/>
      <c r="BG971" s="55"/>
      <c r="BH971" s="55"/>
      <c r="BI971" s="55"/>
      <c r="BJ971" s="55"/>
      <c r="BK971" s="55"/>
      <c r="BL971" s="55"/>
      <c r="BM971" s="55"/>
      <c r="BN971" s="55"/>
      <c r="BO971" s="55"/>
      <c r="BP971" s="55"/>
      <c r="BQ971" s="55"/>
      <c r="BR971" s="55"/>
      <c r="BS971" s="55"/>
      <c r="BT971" s="55"/>
      <c r="BU971" s="55"/>
      <c r="BV971" s="55"/>
      <c r="BW971" s="55"/>
      <c r="BX971" s="55"/>
      <c r="BY971" s="55"/>
      <c r="BZ971" s="55"/>
      <c r="CI971" s="55"/>
      <c r="CJ971" s="55"/>
      <c r="CK971" s="55"/>
      <c r="CL971" s="55"/>
      <c r="CM971" s="55"/>
      <c r="CN971" s="55"/>
      <c r="CO971" s="55"/>
      <c r="CP971" s="55"/>
      <c r="CQ971" s="55"/>
      <c r="DJ971" s="55"/>
      <c r="DK971" s="55"/>
      <c r="DL971" s="55"/>
      <c r="DM971" s="55"/>
      <c r="DN971" s="55"/>
      <c r="DO971" s="55"/>
      <c r="DP971" s="55"/>
      <c r="DQ971" s="55"/>
      <c r="DR971" s="55"/>
      <c r="DS971" s="55"/>
      <c r="DT971" s="55"/>
      <c r="DU971" s="55"/>
      <c r="DV971" s="55"/>
    </row>
    <row r="972" spans="1:310" ht="12.75" customHeight="1" x14ac:dyDescent="0.2">
      <c r="A972" s="54"/>
      <c r="B972" s="54"/>
      <c r="C972" s="288" t="s">
        <v>845</v>
      </c>
      <c r="D972" s="288"/>
      <c r="E972" s="288"/>
      <c r="F972" s="288"/>
      <c r="G972" s="288"/>
      <c r="H972" s="288"/>
      <c r="I972" s="288"/>
      <c r="J972" s="288"/>
      <c r="K972" s="288"/>
      <c r="L972" s="288"/>
      <c r="M972" s="288"/>
      <c r="N972" s="288"/>
      <c r="O972" s="288"/>
      <c r="P972" s="288"/>
      <c r="Q972" s="288"/>
      <c r="R972" s="288"/>
      <c r="S972" s="288"/>
      <c r="T972" s="288"/>
      <c r="U972" s="288"/>
      <c r="V972" s="288"/>
      <c r="W972" s="288"/>
      <c r="X972" s="288"/>
      <c r="Y972" s="288"/>
      <c r="Z972" s="288"/>
      <c r="AA972" s="288"/>
      <c r="AB972" s="288"/>
      <c r="AC972" s="288"/>
      <c r="AD972" s="288"/>
      <c r="AE972" s="288"/>
      <c r="AF972" s="288"/>
      <c r="AG972" s="288"/>
      <c r="AH972" s="288"/>
      <c r="AI972" s="288"/>
      <c r="AJ972" s="288"/>
      <c r="AK972" s="179"/>
      <c r="AY972" s="55"/>
      <c r="AZ972" s="55"/>
      <c r="BA972" s="55"/>
      <c r="BB972" s="55"/>
      <c r="BC972" s="55"/>
      <c r="BD972" s="55"/>
      <c r="BE972" s="55"/>
      <c r="BF972" s="55"/>
      <c r="BG972" s="55"/>
      <c r="BH972" s="55"/>
      <c r="BI972" s="55"/>
      <c r="BJ972" s="55"/>
      <c r="BK972" s="55"/>
      <c r="BL972" s="55"/>
      <c r="BM972" s="55"/>
      <c r="BN972" s="55"/>
      <c r="BO972" s="55"/>
      <c r="BP972" s="55"/>
      <c r="BQ972" s="55"/>
      <c r="BR972" s="55"/>
      <c r="BS972" s="55"/>
      <c r="BT972" s="55"/>
      <c r="BU972" s="55"/>
      <c r="BV972" s="55"/>
      <c r="BW972" s="55"/>
      <c r="BX972" s="55"/>
      <c r="BY972" s="55"/>
      <c r="BZ972" s="55"/>
      <c r="CI972" s="55"/>
      <c r="CJ972" s="55"/>
      <c r="CK972" s="55"/>
      <c r="CL972" s="55"/>
      <c r="CM972" s="55"/>
      <c r="CN972" s="55"/>
      <c r="CO972" s="55"/>
      <c r="CP972" s="55"/>
      <c r="CQ972" s="55"/>
      <c r="DJ972" s="55"/>
      <c r="DK972" s="55"/>
      <c r="DL972" s="55"/>
      <c r="DM972" s="55"/>
      <c r="DN972" s="55"/>
      <c r="DO972" s="55"/>
      <c r="DP972" s="55"/>
      <c r="DQ972" s="55"/>
      <c r="DR972" s="55"/>
      <c r="DS972" s="55"/>
      <c r="DT972" s="55"/>
      <c r="DU972" s="55"/>
      <c r="DV972" s="55"/>
    </row>
    <row r="973" spans="1:310" ht="12.75" x14ac:dyDescent="0.2">
      <c r="A973" s="54"/>
      <c r="B973" s="54"/>
      <c r="C973" s="54"/>
      <c r="D973" s="54"/>
      <c r="E973" s="54"/>
      <c r="F973" s="54"/>
      <c r="G973" s="54"/>
      <c r="H973" s="54"/>
      <c r="I973" s="54"/>
      <c r="J973" s="54"/>
      <c r="K973" s="54"/>
      <c r="L973" s="54"/>
      <c r="M973" s="54"/>
      <c r="N973" s="54"/>
      <c r="O973" s="54"/>
      <c r="P973" s="54"/>
      <c r="Q973" s="54"/>
      <c r="R973" s="54"/>
      <c r="S973" s="54"/>
      <c r="T973" s="54"/>
      <c r="U973" s="54"/>
      <c r="V973" s="54"/>
      <c r="W973" s="54"/>
      <c r="X973" s="54"/>
      <c r="Y973" s="54"/>
      <c r="Z973" s="54"/>
      <c r="AY973" s="55"/>
      <c r="AZ973" s="55"/>
      <c r="BA973" s="55"/>
      <c r="BB973" s="55"/>
      <c r="BC973" s="55"/>
      <c r="BD973" s="55"/>
      <c r="BE973" s="55"/>
      <c r="BF973" s="55"/>
      <c r="BG973" s="55"/>
      <c r="BH973" s="55"/>
      <c r="BI973" s="55"/>
      <c r="BJ973" s="55"/>
      <c r="BK973" s="55"/>
      <c r="BL973" s="55"/>
      <c r="BM973" s="55"/>
      <c r="BN973" s="55"/>
      <c r="BO973" s="55"/>
      <c r="BP973" s="55"/>
      <c r="BQ973" s="55"/>
      <c r="BR973" s="55"/>
      <c r="BS973" s="55"/>
      <c r="BT973" s="55"/>
      <c r="BU973" s="55"/>
      <c r="BV973" s="55"/>
      <c r="BW973" s="55"/>
      <c r="BX973" s="55"/>
      <c r="BY973" s="55"/>
      <c r="BZ973" s="55"/>
      <c r="CI973" s="55"/>
      <c r="CJ973" s="55"/>
      <c r="CK973" s="55"/>
      <c r="CL973" s="55"/>
      <c r="CM973" s="55"/>
      <c r="CN973" s="55"/>
      <c r="CO973" s="55"/>
      <c r="CP973" s="55"/>
      <c r="CQ973" s="55"/>
      <c r="DJ973" s="55"/>
      <c r="DK973" s="55"/>
      <c r="DL973" s="55"/>
      <c r="DM973" s="55"/>
      <c r="DN973" s="55"/>
      <c r="DO973" s="55"/>
      <c r="DP973" s="55"/>
      <c r="DQ973" s="55"/>
      <c r="DR973" s="55"/>
      <c r="DS973" s="55"/>
      <c r="DT973" s="55"/>
      <c r="DU973" s="55"/>
      <c r="DV973" s="55"/>
    </row>
    <row r="974" spans="1:310" ht="15.75" customHeight="1" x14ac:dyDescent="0.25">
      <c r="A974" s="54"/>
      <c r="B974" s="374" t="s">
        <v>351</v>
      </c>
      <c r="C974" s="374"/>
      <c r="D974" s="374"/>
      <c r="E974" s="374"/>
      <c r="F974" s="374"/>
      <c r="G974" s="374"/>
      <c r="H974" s="374"/>
      <c r="I974" s="374"/>
      <c r="J974" s="374"/>
      <c r="K974" s="374"/>
      <c r="L974" s="374"/>
      <c r="M974" s="374"/>
      <c r="N974" s="374"/>
      <c r="O974" s="374"/>
      <c r="P974" s="374"/>
      <c r="Q974" s="374"/>
      <c r="R974" s="373" t="s">
        <v>862</v>
      </c>
      <c r="S974" s="373"/>
      <c r="T974" s="373"/>
      <c r="U974" s="373"/>
      <c r="V974" s="373"/>
      <c r="W974" s="373"/>
      <c r="X974" s="373" t="s">
        <v>352</v>
      </c>
      <c r="Y974" s="373"/>
      <c r="Z974" s="373"/>
      <c r="AA974" s="373"/>
      <c r="AB974" s="373"/>
      <c r="AC974" s="373"/>
      <c r="AD974" s="91"/>
      <c r="AE974" s="91"/>
      <c r="AJ974" s="55"/>
      <c r="AK974" s="55"/>
      <c r="AY974" s="55"/>
      <c r="AZ974" s="55"/>
      <c r="BA974" s="55"/>
      <c r="BB974" s="55"/>
      <c r="BC974" s="55"/>
      <c r="BD974" s="55"/>
      <c r="BE974" s="55"/>
      <c r="BF974" s="55"/>
      <c r="BG974" s="55"/>
      <c r="BH974" s="55"/>
      <c r="BI974" s="55"/>
      <c r="BJ974" s="55"/>
      <c r="BK974" s="55"/>
      <c r="BL974" s="55"/>
      <c r="BM974" s="55"/>
      <c r="BN974" s="55"/>
      <c r="BO974" s="55"/>
      <c r="BP974" s="55"/>
      <c r="BQ974" s="55"/>
      <c r="BR974" s="55"/>
      <c r="BS974" s="55"/>
      <c r="BT974" s="55"/>
      <c r="BU974" s="55"/>
      <c r="BV974" s="55"/>
      <c r="BW974" s="55"/>
      <c r="BX974" s="55"/>
      <c r="BY974" s="55"/>
      <c r="BZ974" s="55"/>
      <c r="CI974" s="55"/>
      <c r="CJ974" s="55"/>
      <c r="CK974" s="55"/>
      <c r="CL974" s="55"/>
      <c r="CM974" s="55"/>
      <c r="CN974" s="55"/>
      <c r="CO974" s="55"/>
      <c r="CP974" s="55"/>
      <c r="CQ974" s="55"/>
      <c r="DJ974" s="55"/>
      <c r="DK974" s="55"/>
      <c r="DL974" s="55"/>
      <c r="DM974" s="55"/>
      <c r="DN974" s="55"/>
      <c r="DO974" s="55"/>
      <c r="DP974" s="55"/>
      <c r="DQ974" s="55"/>
      <c r="DR974" s="55"/>
      <c r="DS974" s="55"/>
      <c r="DT974" s="55"/>
      <c r="DU974" s="55"/>
      <c r="DV974" s="55"/>
    </row>
    <row r="975" spans="1:310" ht="12.75" customHeight="1" x14ac:dyDescent="0.2">
      <c r="A975" s="54"/>
      <c r="B975" s="375" t="s">
        <v>811</v>
      </c>
      <c r="C975" s="375"/>
      <c r="D975" s="375"/>
      <c r="E975" s="375"/>
      <c r="F975" s="375"/>
      <c r="G975" s="375"/>
      <c r="H975" s="375"/>
      <c r="I975" s="375"/>
      <c r="J975" s="375"/>
      <c r="K975" s="375"/>
      <c r="L975" s="375"/>
      <c r="M975" s="375"/>
      <c r="N975" s="375"/>
      <c r="O975" s="375"/>
      <c r="P975" s="375"/>
      <c r="Q975" s="375"/>
      <c r="R975" s="376"/>
      <c r="S975" s="376"/>
      <c r="T975" s="376"/>
      <c r="U975" s="376"/>
      <c r="V975" s="376"/>
      <c r="W975" s="376"/>
      <c r="X975" s="344">
        <f t="shared" ref="X975:X986" si="43">IFERROR(IF(B975="","",IF(IFERROR(FIND("ml)",B975,1),0)&gt;0,$B$1025,$O$60)),0)</f>
        <v>0</v>
      </c>
      <c r="Y975" s="344"/>
      <c r="Z975" s="344"/>
      <c r="AA975" s="344"/>
      <c r="AB975" s="344"/>
      <c r="AC975" s="344"/>
      <c r="AD975" s="88"/>
      <c r="AE975" s="88"/>
      <c r="AJ975" s="55"/>
      <c r="AK975" s="55"/>
      <c r="AY975" s="55"/>
      <c r="AZ975" s="55"/>
      <c r="BA975" s="55"/>
      <c r="BB975" s="55"/>
      <c r="BC975" s="55"/>
      <c r="BD975" s="55"/>
      <c r="BE975" s="55"/>
      <c r="BF975" s="55"/>
      <c r="BG975" s="55"/>
      <c r="BH975" s="55"/>
      <c r="BI975" s="55"/>
      <c r="BJ975" s="55"/>
      <c r="BK975" s="55"/>
      <c r="BL975" s="55"/>
      <c r="BM975" s="55"/>
      <c r="BN975" s="55"/>
      <c r="BO975" s="55"/>
      <c r="BP975" s="55"/>
      <c r="BQ975" s="55"/>
      <c r="BR975" s="55"/>
      <c r="BS975" s="55"/>
      <c r="BT975" s="55"/>
      <c r="BU975" s="55"/>
      <c r="BV975" s="55"/>
      <c r="BW975" s="55"/>
      <c r="BX975" s="55"/>
      <c r="BY975" s="55"/>
      <c r="BZ975" s="55"/>
      <c r="CI975" s="55"/>
      <c r="CJ975" s="55"/>
      <c r="CK975" s="55"/>
      <c r="CL975" s="55"/>
      <c r="CM975" s="55"/>
      <c r="CN975" s="55"/>
      <c r="CO975" s="55"/>
      <c r="CP975" s="55"/>
      <c r="CQ975" s="55"/>
      <c r="DJ975" s="55"/>
      <c r="DK975" s="55"/>
      <c r="DL975" s="55"/>
      <c r="DM975" s="55"/>
      <c r="DN975" s="55"/>
      <c r="DO975" s="55"/>
      <c r="DP975" s="55"/>
      <c r="DQ975" s="55"/>
      <c r="DR975" s="55"/>
      <c r="DS975" s="55"/>
      <c r="DT975" s="55"/>
      <c r="DU975" s="55"/>
      <c r="DV975" s="55"/>
    </row>
    <row r="976" spans="1:310" ht="12.75" customHeight="1" x14ac:dyDescent="0.2">
      <c r="A976" s="54"/>
      <c r="B976" s="299" t="s">
        <v>171</v>
      </c>
      <c r="C976" s="299"/>
      <c r="D976" s="299"/>
      <c r="E976" s="299"/>
      <c r="F976" s="299"/>
      <c r="G976" s="299"/>
      <c r="H976" s="299"/>
      <c r="I976" s="299"/>
      <c r="J976" s="299"/>
      <c r="K976" s="299"/>
      <c r="L976" s="299"/>
      <c r="M976" s="299"/>
      <c r="N976" s="299"/>
      <c r="O976" s="299"/>
      <c r="P976" s="299"/>
      <c r="Q976" s="299"/>
      <c r="R976" s="327"/>
      <c r="S976" s="327"/>
      <c r="T976" s="327"/>
      <c r="U976" s="327"/>
      <c r="V976" s="327"/>
      <c r="W976" s="327"/>
      <c r="X976" s="312">
        <f t="shared" si="43"/>
        <v>0</v>
      </c>
      <c r="Y976" s="312"/>
      <c r="Z976" s="312"/>
      <c r="AA976" s="312"/>
      <c r="AB976" s="312"/>
      <c r="AC976" s="312"/>
      <c r="AD976" s="88"/>
      <c r="AE976" s="88"/>
      <c r="AJ976" s="55"/>
      <c r="AK976" s="55"/>
      <c r="AY976" s="55"/>
      <c r="AZ976" s="55"/>
      <c r="BA976" s="55"/>
      <c r="BB976" s="55"/>
      <c r="BC976" s="55"/>
      <c r="BD976" s="55"/>
      <c r="BE976" s="55"/>
      <c r="BF976" s="55"/>
      <c r="BG976" s="55"/>
      <c r="BH976" s="55"/>
      <c r="BI976" s="55"/>
      <c r="BJ976" s="55"/>
      <c r="BK976" s="55"/>
      <c r="BL976" s="55"/>
      <c r="BM976" s="55"/>
      <c r="BN976" s="55"/>
      <c r="BO976" s="55"/>
      <c r="BP976" s="55"/>
      <c r="BQ976" s="55"/>
      <c r="BR976" s="55"/>
      <c r="BS976" s="55"/>
      <c r="BT976" s="55"/>
      <c r="BU976" s="55"/>
      <c r="BV976" s="55"/>
      <c r="BW976" s="55"/>
      <c r="BX976" s="55"/>
      <c r="BY976" s="55"/>
      <c r="BZ976" s="55"/>
      <c r="CI976" s="55"/>
      <c r="CJ976" s="55"/>
      <c r="CK976" s="55"/>
      <c r="CL976" s="55"/>
      <c r="CM976" s="55"/>
      <c r="CN976" s="55"/>
      <c r="CO976" s="55"/>
      <c r="CP976" s="55"/>
      <c r="CQ976" s="55"/>
      <c r="DJ976" s="55"/>
      <c r="DK976" s="55"/>
      <c r="DL976" s="55"/>
      <c r="DM976" s="55"/>
      <c r="DN976" s="55"/>
      <c r="DO976" s="55"/>
      <c r="DP976" s="55"/>
      <c r="DQ976" s="55"/>
      <c r="DR976" s="55"/>
      <c r="DS976" s="55"/>
      <c r="DT976" s="55"/>
      <c r="DU976" s="55"/>
      <c r="DV976" s="55"/>
    </row>
    <row r="977" spans="1:126" ht="12.75" customHeight="1" x14ac:dyDescent="0.2">
      <c r="A977" s="54"/>
      <c r="B977" s="299" t="s">
        <v>694</v>
      </c>
      <c r="C977" s="299"/>
      <c r="D977" s="299"/>
      <c r="E977" s="299"/>
      <c r="F977" s="299"/>
      <c r="G977" s="299"/>
      <c r="H977" s="299"/>
      <c r="I977" s="299"/>
      <c r="J977" s="299"/>
      <c r="K977" s="299"/>
      <c r="L977" s="299"/>
      <c r="M977" s="299"/>
      <c r="N977" s="299"/>
      <c r="O977" s="299"/>
      <c r="P977" s="299"/>
      <c r="Q977" s="299"/>
      <c r="R977" s="327"/>
      <c r="S977" s="327"/>
      <c r="T977" s="327"/>
      <c r="U977" s="327"/>
      <c r="V977" s="327"/>
      <c r="W977" s="327"/>
      <c r="X977" s="312">
        <f t="shared" si="43"/>
        <v>0</v>
      </c>
      <c r="Y977" s="312"/>
      <c r="Z977" s="312"/>
      <c r="AA977" s="312"/>
      <c r="AB977" s="312"/>
      <c r="AC977" s="312"/>
      <c r="AD977" s="88"/>
      <c r="AE977" s="88"/>
      <c r="AJ977" s="55"/>
      <c r="AK977" s="55"/>
      <c r="AY977" s="55"/>
      <c r="AZ977" s="55"/>
      <c r="BA977" s="55"/>
      <c r="BB977" s="55"/>
      <c r="BC977" s="55"/>
      <c r="BD977" s="55"/>
      <c r="BE977" s="55"/>
      <c r="BF977" s="55"/>
      <c r="BG977" s="55"/>
      <c r="BH977" s="55"/>
      <c r="BI977" s="55"/>
      <c r="BJ977" s="55"/>
      <c r="BK977" s="55"/>
      <c r="BL977" s="55"/>
      <c r="BM977" s="55"/>
      <c r="BN977" s="55"/>
      <c r="BO977" s="55"/>
      <c r="BP977" s="55"/>
      <c r="BQ977" s="55"/>
      <c r="BR977" s="55"/>
      <c r="BS977" s="55"/>
      <c r="BT977" s="55"/>
      <c r="BU977" s="55"/>
      <c r="BV977" s="55"/>
      <c r="BW977" s="55"/>
      <c r="BX977" s="55"/>
      <c r="BY977" s="55"/>
      <c r="BZ977" s="55"/>
      <c r="CI977" s="55"/>
      <c r="CJ977" s="55"/>
      <c r="CK977" s="55"/>
      <c r="CL977" s="55"/>
      <c r="CM977" s="55"/>
      <c r="CN977" s="55"/>
      <c r="CO977" s="55"/>
      <c r="CP977" s="55"/>
      <c r="CQ977" s="55"/>
      <c r="DJ977" s="55"/>
      <c r="DK977" s="55"/>
      <c r="DL977" s="55"/>
      <c r="DM977" s="55"/>
      <c r="DN977" s="55"/>
      <c r="DO977" s="55"/>
      <c r="DP977" s="55"/>
      <c r="DQ977" s="55"/>
      <c r="DR977" s="55"/>
      <c r="DS977" s="55"/>
      <c r="DT977" s="55"/>
      <c r="DU977" s="55"/>
      <c r="DV977" s="55"/>
    </row>
    <row r="978" spans="1:126" ht="12.75" customHeight="1" x14ac:dyDescent="0.2">
      <c r="A978" s="54"/>
      <c r="B978" s="299" t="s">
        <v>265</v>
      </c>
      <c r="C978" s="299"/>
      <c r="D978" s="299"/>
      <c r="E978" s="299"/>
      <c r="F978" s="299"/>
      <c r="G978" s="299"/>
      <c r="H978" s="299"/>
      <c r="I978" s="299"/>
      <c r="J978" s="299"/>
      <c r="K978" s="299"/>
      <c r="L978" s="299"/>
      <c r="M978" s="299"/>
      <c r="N978" s="299"/>
      <c r="O978" s="299"/>
      <c r="P978" s="299"/>
      <c r="Q978" s="299"/>
      <c r="R978" s="327"/>
      <c r="S978" s="327"/>
      <c r="T978" s="327"/>
      <c r="U978" s="327"/>
      <c r="V978" s="327"/>
      <c r="W978" s="327"/>
      <c r="X978" s="312">
        <f t="shared" si="43"/>
        <v>0</v>
      </c>
      <c r="Y978" s="312"/>
      <c r="Z978" s="312"/>
      <c r="AA978" s="312"/>
      <c r="AB978" s="312"/>
      <c r="AC978" s="312"/>
      <c r="AD978" s="88"/>
      <c r="AE978" s="88"/>
      <c r="AJ978" s="55"/>
      <c r="AK978" s="55"/>
      <c r="AY978" s="55"/>
      <c r="AZ978" s="55"/>
      <c r="BA978" s="55"/>
      <c r="BB978" s="55"/>
      <c r="BC978" s="55"/>
      <c r="BD978" s="55"/>
      <c r="BE978" s="55"/>
      <c r="BF978" s="55"/>
      <c r="BG978" s="55"/>
      <c r="BH978" s="55"/>
      <c r="BI978" s="55"/>
      <c r="BJ978" s="55"/>
      <c r="BK978" s="55"/>
      <c r="BL978" s="55"/>
      <c r="BM978" s="55"/>
      <c r="BN978" s="55"/>
      <c r="BO978" s="55"/>
      <c r="BP978" s="55"/>
      <c r="BQ978" s="55"/>
      <c r="BR978" s="55"/>
      <c r="BS978" s="55"/>
      <c r="BT978" s="55"/>
      <c r="BU978" s="55"/>
      <c r="BV978" s="55"/>
      <c r="BW978" s="55"/>
      <c r="BX978" s="55"/>
      <c r="BY978" s="55"/>
      <c r="BZ978" s="55"/>
      <c r="CI978" s="55"/>
      <c r="CJ978" s="55"/>
      <c r="CK978" s="55"/>
      <c r="CL978" s="55"/>
      <c r="CM978" s="55"/>
      <c r="CN978" s="55"/>
      <c r="CO978" s="55"/>
      <c r="CP978" s="55"/>
      <c r="CQ978" s="55"/>
      <c r="DJ978" s="55"/>
      <c r="DK978" s="55"/>
      <c r="DL978" s="55"/>
      <c r="DM978" s="55"/>
      <c r="DN978" s="55"/>
      <c r="DO978" s="55"/>
      <c r="DP978" s="55"/>
      <c r="DQ978" s="55"/>
      <c r="DR978" s="55"/>
      <c r="DS978" s="55"/>
      <c r="DT978" s="55"/>
      <c r="DU978" s="55"/>
      <c r="DV978" s="55"/>
    </row>
    <row r="979" spans="1:126" ht="12.75" customHeight="1" x14ac:dyDescent="0.2">
      <c r="A979" s="54"/>
      <c r="B979" s="299"/>
      <c r="C979" s="299"/>
      <c r="D979" s="299"/>
      <c r="E979" s="299"/>
      <c r="F979" s="299"/>
      <c r="G979" s="299"/>
      <c r="H979" s="299"/>
      <c r="I979" s="299"/>
      <c r="J979" s="299"/>
      <c r="K979" s="299"/>
      <c r="L979" s="299"/>
      <c r="M979" s="299"/>
      <c r="N979" s="299"/>
      <c r="O979" s="299"/>
      <c r="P979" s="299"/>
      <c r="Q979" s="299"/>
      <c r="R979" s="327"/>
      <c r="S979" s="327"/>
      <c r="T979" s="327"/>
      <c r="U979" s="327"/>
      <c r="V979" s="327"/>
      <c r="W979" s="327"/>
      <c r="X979" s="312" t="str">
        <f t="shared" si="43"/>
        <v/>
      </c>
      <c r="Y979" s="312"/>
      <c r="Z979" s="312"/>
      <c r="AA979" s="312"/>
      <c r="AB979" s="312"/>
      <c r="AC979" s="312"/>
      <c r="AD979" s="88"/>
      <c r="AE979" s="88"/>
      <c r="AJ979" s="55"/>
      <c r="AK979" s="55"/>
      <c r="AY979" s="55"/>
      <c r="AZ979" s="55"/>
      <c r="BA979" s="55"/>
      <c r="BB979" s="55"/>
      <c r="BC979" s="55"/>
      <c r="BD979" s="55"/>
      <c r="BE979" s="55"/>
      <c r="BF979" s="55"/>
      <c r="BG979" s="55"/>
      <c r="BH979" s="55"/>
      <c r="BI979" s="55"/>
      <c r="BJ979" s="55"/>
      <c r="BK979" s="55"/>
      <c r="BL979" s="55"/>
      <c r="BM979" s="55"/>
      <c r="BN979" s="55"/>
      <c r="BO979" s="55"/>
      <c r="BP979" s="55"/>
      <c r="BQ979" s="55"/>
      <c r="BR979" s="55"/>
      <c r="BS979" s="55"/>
      <c r="BT979" s="55"/>
      <c r="BU979" s="55"/>
      <c r="BV979" s="55"/>
      <c r="BW979" s="55"/>
      <c r="BX979" s="55"/>
      <c r="BY979" s="55"/>
      <c r="BZ979" s="55"/>
      <c r="CI979" s="55"/>
      <c r="CJ979" s="55"/>
      <c r="CK979" s="55"/>
      <c r="CL979" s="55"/>
      <c r="CM979" s="55"/>
      <c r="CN979" s="55"/>
      <c r="CO979" s="55"/>
      <c r="CP979" s="55"/>
      <c r="CQ979" s="55"/>
      <c r="DJ979" s="55"/>
      <c r="DK979" s="55"/>
      <c r="DL979" s="55"/>
      <c r="DM979" s="55"/>
      <c r="DN979" s="55"/>
      <c r="DO979" s="55"/>
      <c r="DP979" s="55"/>
      <c r="DQ979" s="55"/>
      <c r="DR979" s="55"/>
      <c r="DS979" s="55"/>
      <c r="DT979" s="55"/>
      <c r="DU979" s="55"/>
      <c r="DV979" s="55"/>
    </row>
    <row r="980" spans="1:126" ht="12.75" customHeight="1" x14ac:dyDescent="0.2">
      <c r="A980" s="54"/>
      <c r="B980" s="299"/>
      <c r="C980" s="299"/>
      <c r="D980" s="299"/>
      <c r="E980" s="299"/>
      <c r="F980" s="299"/>
      <c r="G980" s="299"/>
      <c r="H980" s="299"/>
      <c r="I980" s="299"/>
      <c r="J980" s="299"/>
      <c r="K980" s="299"/>
      <c r="L980" s="299"/>
      <c r="M980" s="299"/>
      <c r="N980" s="299"/>
      <c r="O980" s="299"/>
      <c r="P980" s="299"/>
      <c r="Q980" s="299"/>
      <c r="R980" s="327"/>
      <c r="S980" s="327"/>
      <c r="T980" s="327"/>
      <c r="U980" s="327"/>
      <c r="V980" s="327"/>
      <c r="W980" s="327"/>
      <c r="X980" s="312" t="str">
        <f t="shared" si="43"/>
        <v/>
      </c>
      <c r="Y980" s="312"/>
      <c r="Z980" s="312"/>
      <c r="AA980" s="312"/>
      <c r="AB980" s="312"/>
      <c r="AC980" s="312"/>
      <c r="AD980" s="88"/>
      <c r="AE980" s="88"/>
      <c r="AJ980" s="55"/>
      <c r="AK980" s="55"/>
      <c r="AY980" s="55"/>
      <c r="AZ980" s="55"/>
      <c r="BA980" s="55"/>
      <c r="BB980" s="55"/>
      <c r="BC980" s="55"/>
      <c r="BD980" s="55"/>
      <c r="BE980" s="55"/>
      <c r="BF980" s="55"/>
      <c r="BG980" s="55"/>
      <c r="BH980" s="55"/>
      <c r="BI980" s="55"/>
      <c r="BJ980" s="55"/>
      <c r="BK980" s="55"/>
      <c r="BL980" s="55"/>
      <c r="BM980" s="55"/>
      <c r="BN980" s="55"/>
      <c r="BO980" s="55"/>
      <c r="BP980" s="55"/>
      <c r="BQ980" s="55"/>
      <c r="BR980" s="55"/>
      <c r="BS980" s="55"/>
      <c r="BT980" s="55"/>
      <c r="BU980" s="55"/>
      <c r="BV980" s="55"/>
      <c r="BW980" s="55"/>
      <c r="BX980" s="55"/>
      <c r="BY980" s="55"/>
      <c r="BZ980" s="55"/>
      <c r="CI980" s="55"/>
      <c r="CJ980" s="55"/>
      <c r="CK980" s="55"/>
      <c r="CL980" s="55"/>
      <c r="CM980" s="55"/>
      <c r="CN980" s="55"/>
      <c r="CO980" s="55"/>
      <c r="CP980" s="55"/>
      <c r="CQ980" s="55"/>
      <c r="DJ980" s="55"/>
      <c r="DK980" s="55"/>
      <c r="DL980" s="55"/>
      <c r="DM980" s="55"/>
      <c r="DN980" s="55"/>
      <c r="DO980" s="55"/>
      <c r="DP980" s="55"/>
      <c r="DQ980" s="55"/>
      <c r="DR980" s="55"/>
      <c r="DS980" s="55"/>
      <c r="DT980" s="55"/>
      <c r="DU980" s="55"/>
      <c r="DV980" s="55"/>
    </row>
    <row r="981" spans="1:126" ht="12.75" customHeight="1" x14ac:dyDescent="0.2">
      <c r="A981" s="54"/>
      <c r="B981" s="299"/>
      <c r="C981" s="299"/>
      <c r="D981" s="299"/>
      <c r="E981" s="299"/>
      <c r="F981" s="299"/>
      <c r="G981" s="299"/>
      <c r="H981" s="299"/>
      <c r="I981" s="299"/>
      <c r="J981" s="299"/>
      <c r="K981" s="299"/>
      <c r="L981" s="299"/>
      <c r="M981" s="299"/>
      <c r="N981" s="299"/>
      <c r="O981" s="299"/>
      <c r="P981" s="299"/>
      <c r="Q981" s="299"/>
      <c r="R981" s="327"/>
      <c r="S981" s="327"/>
      <c r="T981" s="327"/>
      <c r="U981" s="327"/>
      <c r="V981" s="327"/>
      <c r="W981" s="327"/>
      <c r="X981" s="312" t="str">
        <f t="shared" si="43"/>
        <v/>
      </c>
      <c r="Y981" s="312"/>
      <c r="Z981" s="312"/>
      <c r="AA981" s="312"/>
      <c r="AB981" s="312"/>
      <c r="AC981" s="312"/>
      <c r="AD981" s="88"/>
      <c r="AE981" s="88"/>
      <c r="AJ981" s="55"/>
      <c r="AK981" s="55"/>
      <c r="AY981" s="55"/>
      <c r="AZ981" s="55"/>
      <c r="BA981" s="55"/>
      <c r="BB981" s="55"/>
      <c r="BC981" s="55"/>
      <c r="BD981" s="55"/>
      <c r="BE981" s="55"/>
      <c r="BF981" s="55"/>
      <c r="BG981" s="55"/>
      <c r="BH981" s="55"/>
      <c r="BI981" s="55"/>
      <c r="BJ981" s="55"/>
      <c r="BK981" s="55"/>
      <c r="BL981" s="55"/>
      <c r="BM981" s="55"/>
      <c r="BN981" s="55"/>
      <c r="BO981" s="55"/>
      <c r="BP981" s="55"/>
      <c r="BQ981" s="55"/>
      <c r="BR981" s="55"/>
      <c r="BS981" s="55"/>
      <c r="BT981" s="55"/>
      <c r="BU981" s="55"/>
      <c r="BV981" s="55"/>
      <c r="BW981" s="55"/>
      <c r="BX981" s="55"/>
      <c r="BY981" s="55"/>
      <c r="BZ981" s="55"/>
      <c r="CI981" s="55"/>
      <c r="CJ981" s="55"/>
      <c r="CK981" s="55"/>
      <c r="CL981" s="55"/>
      <c r="CM981" s="55"/>
      <c r="CN981" s="55"/>
      <c r="CO981" s="55"/>
      <c r="CP981" s="55"/>
      <c r="CQ981" s="55"/>
      <c r="DJ981" s="55"/>
      <c r="DK981" s="55"/>
      <c r="DL981" s="55"/>
      <c r="DM981" s="55"/>
      <c r="DN981" s="55"/>
      <c r="DO981" s="55"/>
      <c r="DP981" s="55"/>
      <c r="DQ981" s="55"/>
      <c r="DR981" s="55"/>
      <c r="DS981" s="55"/>
      <c r="DT981" s="55"/>
      <c r="DU981" s="55"/>
      <c r="DV981" s="55"/>
    </row>
    <row r="982" spans="1:126" ht="12.75" customHeight="1" x14ac:dyDescent="0.2">
      <c r="A982" s="54"/>
      <c r="B982" s="299"/>
      <c r="C982" s="299"/>
      <c r="D982" s="299"/>
      <c r="E982" s="299"/>
      <c r="F982" s="299"/>
      <c r="G982" s="299"/>
      <c r="H982" s="299"/>
      <c r="I982" s="299"/>
      <c r="J982" s="299"/>
      <c r="K982" s="299"/>
      <c r="L982" s="299"/>
      <c r="M982" s="299"/>
      <c r="N982" s="299"/>
      <c r="O982" s="299"/>
      <c r="P982" s="299"/>
      <c r="Q982" s="299"/>
      <c r="R982" s="327"/>
      <c r="S982" s="327"/>
      <c r="T982" s="327"/>
      <c r="U982" s="327"/>
      <c r="V982" s="327"/>
      <c r="W982" s="327"/>
      <c r="X982" s="312" t="str">
        <f t="shared" si="43"/>
        <v/>
      </c>
      <c r="Y982" s="312"/>
      <c r="Z982" s="312"/>
      <c r="AA982" s="312"/>
      <c r="AB982" s="312"/>
      <c r="AC982" s="312"/>
      <c r="AD982" s="88"/>
      <c r="AE982" s="88"/>
      <c r="AJ982" s="55"/>
      <c r="AK982" s="55"/>
      <c r="AY982" s="55"/>
      <c r="AZ982" s="55"/>
      <c r="BA982" s="55"/>
      <c r="BB982" s="55"/>
      <c r="BC982" s="55"/>
      <c r="BD982" s="55"/>
      <c r="BE982" s="55"/>
      <c r="BF982" s="55"/>
      <c r="BG982" s="55"/>
      <c r="BH982" s="55"/>
      <c r="BI982" s="55"/>
      <c r="BJ982" s="55"/>
      <c r="BK982" s="55"/>
      <c r="BL982" s="55"/>
      <c r="BM982" s="55"/>
      <c r="BN982" s="55"/>
      <c r="BO982" s="55"/>
      <c r="BP982" s="55"/>
      <c r="BQ982" s="55"/>
      <c r="BR982" s="55"/>
      <c r="BS982" s="55"/>
      <c r="BT982" s="55"/>
      <c r="BU982" s="55"/>
      <c r="BV982" s="55"/>
      <c r="BW982" s="55"/>
      <c r="BX982" s="55"/>
      <c r="BY982" s="55"/>
      <c r="BZ982" s="55"/>
      <c r="CI982" s="55"/>
      <c r="CJ982" s="55"/>
      <c r="CK982" s="55"/>
      <c r="CL982" s="55"/>
      <c r="CM982" s="55"/>
      <c r="CN982" s="55"/>
      <c r="CO982" s="55"/>
      <c r="CP982" s="55"/>
      <c r="CQ982" s="55"/>
      <c r="DJ982" s="55"/>
      <c r="DK982" s="55"/>
      <c r="DL982" s="55"/>
      <c r="DM982" s="55"/>
      <c r="DN982" s="55"/>
      <c r="DO982" s="55"/>
      <c r="DP982" s="55"/>
      <c r="DQ982" s="55"/>
      <c r="DR982" s="55"/>
      <c r="DS982" s="55"/>
      <c r="DT982" s="55"/>
      <c r="DU982" s="55"/>
      <c r="DV982" s="55"/>
    </row>
    <row r="983" spans="1:126" ht="12.75" customHeight="1" x14ac:dyDescent="0.2">
      <c r="A983" s="54"/>
      <c r="B983" s="299"/>
      <c r="C983" s="299"/>
      <c r="D983" s="299"/>
      <c r="E983" s="299"/>
      <c r="F983" s="299"/>
      <c r="G983" s="299"/>
      <c r="H983" s="299"/>
      <c r="I983" s="299"/>
      <c r="J983" s="299"/>
      <c r="K983" s="299"/>
      <c r="L983" s="299"/>
      <c r="M983" s="299"/>
      <c r="N983" s="299"/>
      <c r="O983" s="299"/>
      <c r="P983" s="299"/>
      <c r="Q983" s="299"/>
      <c r="R983" s="327"/>
      <c r="S983" s="327"/>
      <c r="T983" s="327"/>
      <c r="U983" s="327"/>
      <c r="V983" s="327"/>
      <c r="W983" s="327"/>
      <c r="X983" s="312" t="str">
        <f t="shared" si="43"/>
        <v/>
      </c>
      <c r="Y983" s="312"/>
      <c r="Z983" s="312"/>
      <c r="AA983" s="312"/>
      <c r="AB983" s="312"/>
      <c r="AC983" s="312"/>
      <c r="AD983" s="88"/>
      <c r="AE983" s="88"/>
      <c r="AJ983" s="55"/>
      <c r="AK983" s="55"/>
      <c r="AY983" s="55"/>
      <c r="AZ983" s="55"/>
      <c r="BA983" s="55"/>
      <c r="BB983" s="55"/>
      <c r="BC983" s="55"/>
      <c r="BD983" s="55"/>
      <c r="BE983" s="55"/>
      <c r="BF983" s="55"/>
      <c r="BG983" s="55"/>
      <c r="BH983" s="55"/>
      <c r="BI983" s="55"/>
      <c r="BJ983" s="55"/>
      <c r="BK983" s="55"/>
      <c r="BL983" s="55"/>
      <c r="BM983" s="55"/>
      <c r="BN983" s="55"/>
      <c r="BO983" s="55"/>
      <c r="BP983" s="55"/>
      <c r="BQ983" s="55"/>
      <c r="BR983" s="55"/>
      <c r="BS983" s="55"/>
      <c r="BT983" s="55"/>
      <c r="BU983" s="55"/>
      <c r="BV983" s="55"/>
      <c r="BW983" s="55"/>
      <c r="BX983" s="55"/>
      <c r="BY983" s="55"/>
      <c r="BZ983" s="55"/>
      <c r="CI983" s="55"/>
      <c r="CJ983" s="55"/>
      <c r="CK983" s="55"/>
      <c r="CL983" s="55"/>
      <c r="CM983" s="55"/>
      <c r="CN983" s="55"/>
      <c r="CO983" s="55"/>
      <c r="CP983" s="55"/>
      <c r="CQ983" s="55"/>
      <c r="DJ983" s="55"/>
      <c r="DK983" s="55"/>
      <c r="DL983" s="55"/>
      <c r="DM983" s="55"/>
      <c r="DN983" s="55"/>
      <c r="DO983" s="55"/>
      <c r="DP983" s="55"/>
      <c r="DQ983" s="55"/>
      <c r="DR983" s="55"/>
      <c r="DS983" s="55"/>
      <c r="DT983" s="55"/>
      <c r="DU983" s="55"/>
      <c r="DV983" s="55"/>
    </row>
    <row r="984" spans="1:126" ht="12.75" customHeight="1" x14ac:dyDescent="0.2">
      <c r="A984" s="54"/>
      <c r="B984" s="299"/>
      <c r="C984" s="299"/>
      <c r="D984" s="299"/>
      <c r="E984" s="299"/>
      <c r="F984" s="299"/>
      <c r="G984" s="299"/>
      <c r="H984" s="299"/>
      <c r="I984" s="299"/>
      <c r="J984" s="299"/>
      <c r="K984" s="299"/>
      <c r="L984" s="299"/>
      <c r="M984" s="299"/>
      <c r="N984" s="299"/>
      <c r="O984" s="299"/>
      <c r="P984" s="299"/>
      <c r="Q984" s="299"/>
      <c r="R984" s="327"/>
      <c r="S984" s="327"/>
      <c r="T984" s="327"/>
      <c r="U984" s="327"/>
      <c r="V984" s="327"/>
      <c r="W984" s="327"/>
      <c r="X984" s="312" t="str">
        <f t="shared" si="43"/>
        <v/>
      </c>
      <c r="Y984" s="312"/>
      <c r="Z984" s="312"/>
      <c r="AA984" s="312"/>
      <c r="AB984" s="312"/>
      <c r="AC984" s="312"/>
      <c r="AD984" s="88"/>
      <c r="AE984" s="88"/>
      <c r="AJ984" s="55"/>
      <c r="AK984" s="55"/>
      <c r="AY984" s="55"/>
      <c r="AZ984" s="55"/>
      <c r="BA984" s="55"/>
      <c r="BB984" s="55"/>
      <c r="BC984" s="55"/>
      <c r="BD984" s="55"/>
      <c r="BE984" s="55"/>
      <c r="BF984" s="55"/>
      <c r="BG984" s="55"/>
      <c r="BH984" s="55"/>
      <c r="BI984" s="55"/>
      <c r="BJ984" s="55"/>
      <c r="BK984" s="55"/>
      <c r="BL984" s="55"/>
      <c r="BM984" s="55"/>
      <c r="BN984" s="55"/>
      <c r="BO984" s="55"/>
      <c r="BP984" s="55"/>
      <c r="BQ984" s="55"/>
      <c r="BR984" s="55"/>
      <c r="BS984" s="55"/>
      <c r="BT984" s="55"/>
      <c r="BU984" s="55"/>
      <c r="BV984" s="55"/>
      <c r="BW984" s="55"/>
      <c r="BX984" s="55"/>
      <c r="BY984" s="55"/>
      <c r="BZ984" s="55"/>
      <c r="CI984" s="55"/>
      <c r="CJ984" s="55"/>
      <c r="CK984" s="55"/>
      <c r="CL984" s="55"/>
      <c r="CM984" s="55"/>
      <c r="CN984" s="55"/>
      <c r="CO984" s="55"/>
      <c r="CP984" s="55"/>
      <c r="CQ984" s="55"/>
      <c r="DJ984" s="55"/>
      <c r="DK984" s="55"/>
      <c r="DL984" s="55"/>
      <c r="DM984" s="55"/>
      <c r="DN984" s="55"/>
      <c r="DO984" s="55"/>
      <c r="DP984" s="55"/>
      <c r="DQ984" s="55"/>
      <c r="DR984" s="55"/>
      <c r="DS984" s="55"/>
      <c r="DT984" s="55"/>
      <c r="DU984" s="55"/>
      <c r="DV984" s="55"/>
    </row>
    <row r="985" spans="1:126" ht="12.75" customHeight="1" x14ac:dyDescent="0.2">
      <c r="A985" s="54"/>
      <c r="B985" s="299"/>
      <c r="C985" s="299"/>
      <c r="D985" s="299"/>
      <c r="E985" s="299"/>
      <c r="F985" s="299"/>
      <c r="G985" s="299"/>
      <c r="H985" s="299"/>
      <c r="I985" s="299"/>
      <c r="J985" s="299"/>
      <c r="K985" s="299"/>
      <c r="L985" s="299"/>
      <c r="M985" s="299"/>
      <c r="N985" s="299"/>
      <c r="O985" s="299"/>
      <c r="P985" s="299"/>
      <c r="Q985" s="299"/>
      <c r="R985" s="327"/>
      <c r="S985" s="327"/>
      <c r="T985" s="327"/>
      <c r="U985" s="327"/>
      <c r="V985" s="327"/>
      <c r="W985" s="327"/>
      <c r="X985" s="312" t="str">
        <f t="shared" si="43"/>
        <v/>
      </c>
      <c r="Y985" s="312"/>
      <c r="Z985" s="312"/>
      <c r="AA985" s="312"/>
      <c r="AB985" s="312"/>
      <c r="AC985" s="312"/>
      <c r="AD985" s="88"/>
      <c r="AE985" s="88"/>
      <c r="AJ985" s="55"/>
      <c r="AK985" s="55"/>
      <c r="AY985" s="55"/>
      <c r="AZ985" s="55"/>
      <c r="BA985" s="55"/>
      <c r="BB985" s="55"/>
      <c r="BC985" s="55"/>
      <c r="BD985" s="55"/>
      <c r="BE985" s="55"/>
      <c r="BF985" s="55"/>
      <c r="BG985" s="55"/>
      <c r="BH985" s="55"/>
      <c r="BI985" s="55"/>
      <c r="BJ985" s="55"/>
      <c r="BK985" s="55"/>
      <c r="BL985" s="55"/>
      <c r="BM985" s="55"/>
      <c r="BN985" s="55"/>
      <c r="BO985" s="55"/>
      <c r="BP985" s="55"/>
      <c r="BQ985" s="55"/>
      <c r="BR985" s="55"/>
      <c r="BS985" s="55"/>
      <c r="BT985" s="55"/>
      <c r="BU985" s="55"/>
      <c r="BV985" s="55"/>
      <c r="BW985" s="55"/>
      <c r="BX985" s="55"/>
      <c r="BY985" s="55"/>
      <c r="BZ985" s="55"/>
      <c r="CI985" s="55"/>
      <c r="CJ985" s="55"/>
      <c r="CK985" s="55"/>
      <c r="CL985" s="55"/>
      <c r="CM985" s="55"/>
      <c r="CN985" s="55"/>
      <c r="CO985" s="55"/>
      <c r="CP985" s="55"/>
      <c r="CQ985" s="55"/>
      <c r="DJ985" s="55"/>
      <c r="DK985" s="55"/>
      <c r="DL985" s="55"/>
      <c r="DM985" s="55"/>
      <c r="DN985" s="55"/>
      <c r="DO985" s="55"/>
      <c r="DP985" s="55"/>
      <c r="DQ985" s="55"/>
      <c r="DR985" s="55"/>
      <c r="DS985" s="55"/>
      <c r="DT985" s="55"/>
      <c r="DU985" s="55"/>
      <c r="DV985" s="55"/>
    </row>
    <row r="986" spans="1:126" ht="12.75" customHeight="1" x14ac:dyDescent="0.2">
      <c r="A986" s="54"/>
      <c r="B986" s="299"/>
      <c r="C986" s="299"/>
      <c r="D986" s="299"/>
      <c r="E986" s="299"/>
      <c r="F986" s="299"/>
      <c r="G986" s="299"/>
      <c r="H986" s="299"/>
      <c r="I986" s="299"/>
      <c r="J986" s="299"/>
      <c r="K986" s="299"/>
      <c r="L986" s="299"/>
      <c r="M986" s="299"/>
      <c r="N986" s="299"/>
      <c r="O986" s="299"/>
      <c r="P986" s="299"/>
      <c r="Q986" s="299"/>
      <c r="R986" s="327"/>
      <c r="S986" s="327"/>
      <c r="T986" s="327"/>
      <c r="U986" s="327"/>
      <c r="V986" s="327"/>
      <c r="W986" s="327"/>
      <c r="X986" s="312" t="str">
        <f t="shared" si="43"/>
        <v/>
      </c>
      <c r="Y986" s="312"/>
      <c r="Z986" s="312"/>
      <c r="AA986" s="312"/>
      <c r="AB986" s="312"/>
      <c r="AC986" s="312"/>
      <c r="AD986" s="88"/>
      <c r="AE986" s="88"/>
      <c r="AJ986" s="55"/>
      <c r="AK986" s="55"/>
      <c r="AY986" s="55"/>
      <c r="AZ986" s="55"/>
      <c r="BA986" s="55"/>
      <c r="BB986" s="55"/>
      <c r="BC986" s="55"/>
      <c r="BD986" s="55"/>
      <c r="BE986" s="55"/>
      <c r="BF986" s="55"/>
      <c r="BG986" s="55"/>
      <c r="BH986" s="55"/>
      <c r="BI986" s="55"/>
      <c r="BJ986" s="55"/>
      <c r="BK986" s="55"/>
      <c r="BL986" s="55"/>
      <c r="BM986" s="55"/>
      <c r="BN986" s="55"/>
      <c r="BO986" s="55"/>
      <c r="BP986" s="55"/>
      <c r="BQ986" s="55"/>
      <c r="BR986" s="55"/>
      <c r="BS986" s="55"/>
      <c r="BT986" s="55"/>
      <c r="BU986" s="55"/>
      <c r="BV986" s="55"/>
      <c r="BW986" s="55"/>
      <c r="BX986" s="55"/>
      <c r="BY986" s="55"/>
      <c r="BZ986" s="55"/>
      <c r="CI986" s="55"/>
      <c r="CJ986" s="55"/>
      <c r="CK986" s="55"/>
      <c r="CL986" s="55"/>
      <c r="CM986" s="55"/>
      <c r="CN986" s="55"/>
      <c r="CO986" s="55"/>
      <c r="CP986" s="55"/>
      <c r="CQ986" s="55"/>
      <c r="DJ986" s="55"/>
      <c r="DK986" s="55"/>
      <c r="DL986" s="55"/>
      <c r="DM986" s="55"/>
      <c r="DN986" s="55"/>
      <c r="DO986" s="55"/>
      <c r="DP986" s="55"/>
      <c r="DQ986" s="55"/>
      <c r="DR986" s="55"/>
      <c r="DS986" s="55"/>
      <c r="DT986" s="55"/>
      <c r="DU986" s="55"/>
      <c r="DV986" s="55"/>
    </row>
    <row r="987" spans="1:126" ht="12.75" x14ac:dyDescent="0.2">
      <c r="A987" s="54"/>
      <c r="B987" s="54"/>
      <c r="C987" s="54"/>
      <c r="D987" s="54"/>
      <c r="E987" s="54"/>
      <c r="F987" s="54"/>
      <c r="G987" s="54"/>
      <c r="H987" s="54"/>
      <c r="I987" s="54"/>
      <c r="J987" s="54"/>
      <c r="K987" s="54"/>
      <c r="L987" s="54"/>
      <c r="M987" s="54"/>
      <c r="N987" s="54"/>
      <c r="O987" s="54"/>
      <c r="P987" s="54"/>
      <c r="Q987" s="54"/>
      <c r="R987" s="54"/>
      <c r="S987" s="54"/>
      <c r="T987" s="54"/>
      <c r="U987" s="54"/>
      <c r="V987" s="54"/>
      <c r="W987" s="54"/>
      <c r="X987" s="54"/>
      <c r="Y987" s="54"/>
      <c r="Z987" s="54"/>
      <c r="AY987" s="55"/>
      <c r="AZ987" s="55"/>
      <c r="BA987" s="55"/>
      <c r="BB987" s="55"/>
      <c r="BC987" s="55"/>
      <c r="BD987" s="55"/>
      <c r="BE987" s="55"/>
      <c r="BF987" s="55"/>
      <c r="BG987" s="55"/>
      <c r="BH987" s="55"/>
      <c r="BI987" s="55"/>
      <c r="BJ987" s="55"/>
      <c r="BK987" s="55"/>
      <c r="BL987" s="55"/>
      <c r="BM987" s="55"/>
      <c r="BN987" s="55"/>
      <c r="BO987" s="55"/>
      <c r="BP987" s="55"/>
      <c r="BQ987" s="55"/>
      <c r="BR987" s="55"/>
      <c r="BS987" s="55"/>
      <c r="BT987" s="55"/>
      <c r="BU987" s="55"/>
      <c r="BV987" s="55"/>
      <c r="BW987" s="55"/>
      <c r="BX987" s="55"/>
      <c r="BY987" s="55"/>
      <c r="BZ987" s="55"/>
      <c r="CI987" s="55"/>
      <c r="CJ987" s="55"/>
      <c r="CK987" s="55"/>
      <c r="CL987" s="55"/>
      <c r="CM987" s="55"/>
      <c r="CN987" s="55"/>
      <c r="CO987" s="55"/>
      <c r="CP987" s="55"/>
      <c r="CQ987" s="55"/>
      <c r="DJ987" s="55"/>
      <c r="DK987" s="55"/>
      <c r="DL987" s="55"/>
      <c r="DM987" s="55"/>
      <c r="DN987" s="55"/>
      <c r="DO987" s="55"/>
      <c r="DP987" s="55"/>
      <c r="DQ987" s="55"/>
      <c r="DR987" s="55"/>
      <c r="DS987" s="55"/>
      <c r="DT987" s="55"/>
      <c r="DU987" s="55"/>
      <c r="DV987" s="55"/>
    </row>
    <row r="988" spans="1:126" ht="12.75" x14ac:dyDescent="0.2">
      <c r="A988" s="54"/>
      <c r="B988" s="54"/>
      <c r="C988" s="54"/>
      <c r="D988" s="54"/>
      <c r="E988" s="54"/>
      <c r="F988" s="54"/>
      <c r="G988" s="54"/>
      <c r="H988" s="54"/>
      <c r="I988" s="54"/>
      <c r="J988" s="54"/>
      <c r="K988" s="54"/>
      <c r="L988" s="54"/>
      <c r="M988" s="54"/>
      <c r="N988" s="54"/>
      <c r="O988" s="54"/>
      <c r="P988" s="54"/>
      <c r="Q988" s="54"/>
      <c r="R988" s="54"/>
      <c r="S988" s="54"/>
      <c r="T988" s="54"/>
      <c r="U988" s="54"/>
      <c r="V988" s="54"/>
      <c r="W988" s="54"/>
      <c r="X988" s="54"/>
      <c r="Y988" s="54"/>
      <c r="Z988" s="54"/>
      <c r="AY988" s="55"/>
      <c r="AZ988" s="55"/>
      <c r="BA988" s="55"/>
      <c r="BB988" s="55"/>
      <c r="BC988" s="55"/>
      <c r="BD988" s="55"/>
      <c r="BE988" s="55"/>
      <c r="BF988" s="55"/>
      <c r="BG988" s="55"/>
      <c r="BH988" s="55"/>
      <c r="BI988" s="55"/>
      <c r="BJ988" s="55"/>
      <c r="BK988" s="55"/>
      <c r="BL988" s="55"/>
      <c r="BM988" s="55"/>
      <c r="BN988" s="55"/>
      <c r="BO988" s="55"/>
      <c r="BP988" s="55"/>
      <c r="BQ988" s="55"/>
      <c r="BR988" s="55"/>
      <c r="BS988" s="55"/>
      <c r="BT988" s="55"/>
      <c r="BU988" s="55"/>
      <c r="BV988" s="55"/>
      <c r="BW988" s="55"/>
      <c r="BX988" s="55"/>
      <c r="BY988" s="55"/>
      <c r="BZ988" s="55"/>
      <c r="CI988" s="55"/>
      <c r="CJ988" s="55"/>
      <c r="CK988" s="55"/>
      <c r="CL988" s="55"/>
      <c r="CM988" s="55"/>
      <c r="CN988" s="55"/>
      <c r="CO988" s="55"/>
      <c r="CP988" s="55"/>
      <c r="CQ988" s="55"/>
      <c r="DJ988" s="55"/>
      <c r="DK988" s="55"/>
      <c r="DL988" s="55"/>
      <c r="DM988" s="55"/>
      <c r="DN988" s="55"/>
      <c r="DO988" s="55"/>
      <c r="DP988" s="55"/>
      <c r="DQ988" s="55"/>
      <c r="DR988" s="55"/>
      <c r="DS988" s="55"/>
      <c r="DT988" s="55"/>
      <c r="DU988" s="55"/>
      <c r="DV988" s="55"/>
    </row>
    <row r="989" spans="1:126" ht="15" hidden="1" customHeight="1" x14ac:dyDescent="0.2">
      <c r="A989" s="54"/>
      <c r="B989" s="248" t="s">
        <v>628</v>
      </c>
      <c r="C989" s="248"/>
      <c r="D989" s="248"/>
      <c r="E989" s="248"/>
      <c r="F989" s="248"/>
      <c r="G989" s="248"/>
      <c r="H989" s="248"/>
      <c r="I989" s="248"/>
      <c r="J989" s="248"/>
      <c r="K989" s="248"/>
      <c r="L989" s="248"/>
      <c r="M989" s="248"/>
      <c r="N989" s="248"/>
      <c r="O989" s="248"/>
      <c r="P989" s="248"/>
      <c r="Q989" s="248"/>
      <c r="R989" s="248"/>
      <c r="S989" s="248"/>
      <c r="T989" s="248"/>
      <c r="U989" s="248"/>
      <c r="V989" s="248"/>
      <c r="W989" s="248"/>
      <c r="X989" s="248"/>
      <c r="Y989" s="248"/>
      <c r="Z989" s="248"/>
      <c r="AA989" s="248"/>
      <c r="AB989" s="248"/>
      <c r="AC989" s="248"/>
      <c r="AD989" s="248"/>
      <c r="AE989" s="248"/>
      <c r="AF989" s="248"/>
      <c r="AG989" s="248"/>
      <c r="AH989" s="248"/>
      <c r="AI989" s="248"/>
      <c r="AJ989" s="248"/>
      <c r="AK989" s="176"/>
      <c r="AY989" s="55"/>
      <c r="AZ989" s="55"/>
      <c r="BA989" s="55"/>
      <c r="BB989" s="55"/>
      <c r="BC989" s="55"/>
      <c r="BD989" s="55"/>
      <c r="BE989" s="55"/>
      <c r="BF989" s="55"/>
      <c r="BG989" s="55"/>
      <c r="BH989" s="55"/>
      <c r="BI989" s="55"/>
      <c r="BJ989" s="55"/>
      <c r="BK989" s="55"/>
      <c r="BL989" s="55"/>
      <c r="BM989" s="55"/>
      <c r="BN989" s="55"/>
      <c r="BO989" s="55"/>
      <c r="BP989" s="55"/>
      <c r="BQ989" s="55"/>
      <c r="BR989" s="55"/>
      <c r="BS989" s="55"/>
      <c r="BT989" s="55"/>
      <c r="BU989" s="55"/>
      <c r="BV989" s="55"/>
      <c r="BW989" s="55"/>
      <c r="BX989" s="55"/>
      <c r="BY989" s="55"/>
      <c r="BZ989" s="55"/>
      <c r="CI989" s="55"/>
      <c r="CJ989" s="55"/>
      <c r="CK989" s="55"/>
      <c r="CL989" s="55"/>
      <c r="CM989" s="55"/>
      <c r="CN989" s="55"/>
      <c r="CO989" s="55"/>
      <c r="CP989" s="55"/>
      <c r="CQ989" s="55"/>
      <c r="DJ989" s="55"/>
      <c r="DK989" s="55"/>
      <c r="DL989" s="55"/>
      <c r="DM989" s="55"/>
      <c r="DN989" s="55"/>
      <c r="DO989" s="55"/>
      <c r="DP989" s="55"/>
      <c r="DQ989" s="55"/>
      <c r="DR989" s="55"/>
      <c r="DS989" s="55"/>
      <c r="DT989" s="55"/>
      <c r="DU989" s="55"/>
      <c r="DV989" s="55"/>
    </row>
    <row r="990" spans="1:126" ht="12.75" hidden="1" customHeight="1" x14ac:dyDescent="0.2">
      <c r="A990" s="54"/>
      <c r="B990" s="56"/>
      <c r="C990" s="54"/>
      <c r="D990" s="54"/>
      <c r="E990" s="54"/>
      <c r="F990" s="54"/>
      <c r="G990" s="54"/>
      <c r="H990" s="54"/>
      <c r="I990" s="54"/>
      <c r="J990" s="54"/>
      <c r="K990" s="54"/>
      <c r="L990" s="54"/>
      <c r="M990" s="54"/>
      <c r="N990" s="54"/>
      <c r="O990" s="54"/>
      <c r="P990" s="54"/>
      <c r="Q990" s="54"/>
      <c r="R990" s="54"/>
      <c r="S990" s="54"/>
      <c r="T990" s="54"/>
      <c r="U990" s="54"/>
      <c r="V990" s="54"/>
      <c r="W990" s="54"/>
      <c r="X990" s="54"/>
      <c r="Y990" s="54"/>
      <c r="Z990" s="54"/>
      <c r="AY990" s="55"/>
      <c r="AZ990" s="55"/>
      <c r="BA990" s="55"/>
      <c r="BB990" s="55"/>
      <c r="BC990" s="55"/>
      <c r="BD990" s="55"/>
      <c r="BE990" s="55"/>
      <c r="BF990" s="55"/>
      <c r="BG990" s="55"/>
      <c r="BH990" s="55"/>
      <c r="BI990" s="55"/>
      <c r="BJ990" s="55"/>
      <c r="BK990" s="55"/>
      <c r="BL990" s="55"/>
      <c r="BM990" s="55"/>
      <c r="BN990" s="55"/>
      <c r="BO990" s="55"/>
      <c r="BP990" s="55"/>
      <c r="BQ990" s="55"/>
      <c r="BR990" s="55"/>
      <c r="BS990" s="55"/>
      <c r="BT990" s="55"/>
      <c r="BU990" s="55"/>
      <c r="BV990" s="55"/>
      <c r="BW990" s="55"/>
      <c r="BX990" s="55"/>
      <c r="BY990" s="55"/>
      <c r="BZ990" s="55"/>
      <c r="CI990" s="55"/>
      <c r="CJ990" s="55"/>
      <c r="CK990" s="55"/>
      <c r="CL990" s="55"/>
      <c r="CM990" s="55"/>
      <c r="CN990" s="55"/>
      <c r="CO990" s="55"/>
      <c r="CP990" s="55"/>
      <c r="CQ990" s="55"/>
      <c r="DJ990" s="55"/>
      <c r="DK990" s="55"/>
      <c r="DL990" s="55"/>
      <c r="DM990" s="55"/>
      <c r="DN990" s="55"/>
      <c r="DO990" s="55"/>
      <c r="DP990" s="55"/>
      <c r="DQ990" s="55"/>
      <c r="DR990" s="55"/>
      <c r="DS990" s="55"/>
      <c r="DT990" s="55"/>
      <c r="DU990" s="55"/>
      <c r="DV990" s="55"/>
    </row>
    <row r="991" spans="1:126" ht="12.75" hidden="1" customHeight="1" x14ac:dyDescent="0.2">
      <c r="A991" s="54"/>
      <c r="C991" s="288" t="s">
        <v>353</v>
      </c>
      <c r="D991" s="288"/>
      <c r="E991" s="288"/>
      <c r="F991" s="288"/>
      <c r="G991" s="288"/>
      <c r="H991" s="288"/>
      <c r="I991" s="288"/>
      <c r="J991" s="288"/>
      <c r="K991" s="288"/>
      <c r="L991" s="288"/>
      <c r="M991" s="288"/>
      <c r="N991" s="288"/>
      <c r="O991" s="288"/>
      <c r="P991" s="288"/>
      <c r="Q991" s="288"/>
      <c r="R991" s="288"/>
      <c r="S991" s="288"/>
      <c r="T991" s="288"/>
      <c r="U991" s="288"/>
      <c r="V991" s="288"/>
      <c r="W991" s="288"/>
      <c r="X991" s="288"/>
      <c r="Y991" s="288"/>
      <c r="Z991" s="288"/>
      <c r="AA991" s="288"/>
      <c r="AB991" s="288"/>
      <c r="AC991" s="288"/>
      <c r="AD991" s="288"/>
      <c r="AE991" s="288"/>
      <c r="AF991" s="288"/>
      <c r="AG991" s="288"/>
      <c r="AH991" s="288"/>
      <c r="AI991" s="288"/>
      <c r="AJ991" s="288"/>
      <c r="AK991" s="179"/>
      <c r="AY991" s="55"/>
      <c r="AZ991" s="55"/>
      <c r="BA991" s="55"/>
      <c r="BB991" s="55"/>
      <c r="BC991" s="55"/>
      <c r="BD991" s="55"/>
      <c r="BE991" s="55"/>
      <c r="BF991" s="55"/>
      <c r="BG991" s="55"/>
      <c r="BH991" s="55"/>
      <c r="BI991" s="55"/>
      <c r="BJ991" s="55"/>
      <c r="BK991" s="55"/>
      <c r="BL991" s="55"/>
      <c r="BM991" s="55"/>
      <c r="BN991" s="55"/>
      <c r="BO991" s="55"/>
      <c r="BP991" s="55"/>
      <c r="BQ991" s="55"/>
      <c r="BR991" s="55"/>
      <c r="BS991" s="55"/>
      <c r="BT991" s="55"/>
      <c r="BU991" s="55"/>
      <c r="BV991" s="55"/>
      <c r="BW991" s="55"/>
      <c r="BX991" s="55"/>
      <c r="BY991" s="55"/>
      <c r="BZ991" s="55"/>
      <c r="CI991" s="55"/>
      <c r="CJ991" s="55"/>
      <c r="CK991" s="55"/>
      <c r="CL991" s="55"/>
      <c r="CM991" s="55"/>
      <c r="CN991" s="55"/>
      <c r="CO991" s="55"/>
      <c r="CP991" s="55"/>
      <c r="CQ991" s="55"/>
      <c r="DJ991" s="55"/>
      <c r="DK991" s="55"/>
      <c r="DL991" s="55"/>
      <c r="DM991" s="55"/>
      <c r="DN991" s="55"/>
      <c r="DO991" s="55"/>
      <c r="DP991" s="55"/>
      <c r="DQ991" s="55"/>
      <c r="DR991" s="55"/>
      <c r="DS991" s="55"/>
      <c r="DT991" s="55"/>
      <c r="DU991" s="55"/>
      <c r="DV991" s="55"/>
    </row>
    <row r="992" spans="1:126" ht="12.75" hidden="1" customHeight="1" x14ac:dyDescent="0.2">
      <c r="A992" s="54"/>
      <c r="B992" s="54"/>
      <c r="C992" s="54"/>
      <c r="D992" s="54"/>
      <c r="E992" s="54"/>
      <c r="F992" s="54"/>
      <c r="G992" s="54"/>
      <c r="H992" s="54"/>
      <c r="I992" s="54"/>
      <c r="J992" s="54"/>
      <c r="K992" s="54"/>
      <c r="L992" s="54"/>
      <c r="M992" s="54"/>
      <c r="N992" s="54"/>
      <c r="O992" s="54"/>
      <c r="P992" s="54"/>
      <c r="Q992" s="54"/>
      <c r="R992" s="54"/>
      <c r="S992" s="54"/>
      <c r="T992" s="54"/>
      <c r="U992" s="54"/>
      <c r="V992" s="54"/>
      <c r="W992" s="54"/>
      <c r="X992" s="54"/>
      <c r="Y992" s="54"/>
      <c r="Z992" s="54"/>
      <c r="AY992" s="55"/>
      <c r="AZ992" s="55"/>
      <c r="BA992" s="55"/>
      <c r="BB992" s="55"/>
      <c r="BC992" s="55"/>
      <c r="BD992" s="55"/>
      <c r="BE992" s="55"/>
      <c r="BF992" s="55"/>
      <c r="BG992" s="55"/>
      <c r="BH992" s="55"/>
      <c r="BI992" s="55"/>
      <c r="BJ992" s="55"/>
      <c r="BK992" s="55"/>
      <c r="BL992" s="55"/>
      <c r="BM992" s="55"/>
      <c r="BN992" s="55"/>
      <c r="BO992" s="55"/>
      <c r="BP992" s="55"/>
      <c r="BQ992" s="55"/>
      <c r="BR992" s="55"/>
      <c r="BS992" s="55"/>
      <c r="BT992" s="55"/>
      <c r="BU992" s="55"/>
      <c r="BV992" s="55"/>
      <c r="BW992" s="55"/>
      <c r="BX992" s="55"/>
      <c r="BY992" s="55"/>
      <c r="BZ992" s="55"/>
      <c r="CI992" s="55"/>
      <c r="CJ992" s="55"/>
      <c r="CK992" s="55"/>
      <c r="CL992" s="55"/>
      <c r="CM992" s="55"/>
      <c r="CN992" s="55"/>
      <c r="CO992" s="55"/>
      <c r="CP992" s="55"/>
      <c r="CQ992" s="55"/>
      <c r="DJ992" s="55"/>
      <c r="DK992" s="55"/>
      <c r="DL992" s="55"/>
      <c r="DM992" s="55"/>
      <c r="DN992" s="55"/>
      <c r="DO992" s="55"/>
      <c r="DP992" s="55"/>
      <c r="DQ992" s="55"/>
      <c r="DR992" s="55"/>
      <c r="DS992" s="55"/>
      <c r="DT992" s="55"/>
      <c r="DU992" s="55"/>
      <c r="DV992" s="55"/>
    </row>
    <row r="993" spans="1:126" ht="12.75" hidden="1" customHeight="1" x14ac:dyDescent="0.25">
      <c r="A993" s="54"/>
      <c r="B993" s="320" t="s">
        <v>351</v>
      </c>
      <c r="C993" s="320"/>
      <c r="D993" s="320"/>
      <c r="E993" s="320"/>
      <c r="F993" s="320"/>
      <c r="G993" s="320"/>
      <c r="H993" s="320"/>
      <c r="I993" s="320"/>
      <c r="J993" s="320"/>
      <c r="K993" s="320"/>
      <c r="L993" s="320"/>
      <c r="M993" s="320"/>
      <c r="N993" s="320"/>
      <c r="O993" s="320"/>
      <c r="P993" s="320"/>
      <c r="Q993" s="320"/>
      <c r="R993" s="321" t="s">
        <v>354</v>
      </c>
      <c r="S993" s="321"/>
      <c r="T993" s="321"/>
      <c r="U993" s="321"/>
      <c r="V993" s="321"/>
      <c r="W993" s="321"/>
      <c r="X993" s="321" t="s">
        <v>355</v>
      </c>
      <c r="Y993" s="321"/>
      <c r="Z993" s="321"/>
      <c r="AA993" s="321"/>
      <c r="AB993" s="321"/>
      <c r="AC993" s="321"/>
      <c r="AD993" s="321" t="s">
        <v>356</v>
      </c>
      <c r="AE993" s="321"/>
      <c r="AF993" s="321"/>
      <c r="AG993" s="321"/>
      <c r="AH993" s="321"/>
      <c r="AI993" s="321"/>
      <c r="AJ993" s="91"/>
      <c r="AK993" s="182"/>
      <c r="AY993" s="55"/>
      <c r="AZ993" s="55"/>
      <c r="BA993" s="55"/>
      <c r="BB993" s="55"/>
      <c r="BC993" s="55"/>
      <c r="BD993" s="55"/>
      <c r="BE993" s="55"/>
      <c r="BF993" s="55"/>
      <c r="BG993" s="55"/>
      <c r="BH993" s="55"/>
      <c r="BI993" s="55"/>
      <c r="BJ993" s="55"/>
      <c r="BK993" s="55"/>
      <c r="BL993" s="55"/>
      <c r="BM993" s="55"/>
      <c r="BN993" s="55"/>
      <c r="BO993" s="55"/>
      <c r="BP993" s="55"/>
      <c r="BQ993" s="55"/>
      <c r="BR993" s="55"/>
      <c r="BS993" s="55"/>
      <c r="BT993" s="55"/>
      <c r="BU993" s="55"/>
      <c r="BV993" s="55"/>
      <c r="BW993" s="55"/>
      <c r="BX993" s="55"/>
      <c r="BY993" s="55"/>
      <c r="BZ993" s="55"/>
      <c r="CI993" s="55"/>
      <c r="CJ993" s="55"/>
      <c r="CK993" s="55"/>
      <c r="CL993" s="55"/>
      <c r="CM993" s="55"/>
      <c r="CN993" s="55"/>
      <c r="CO993" s="55"/>
      <c r="CP993" s="55"/>
      <c r="CQ993" s="55"/>
      <c r="DJ993" s="55"/>
      <c r="DK993" s="55"/>
      <c r="DL993" s="55"/>
      <c r="DM993" s="55"/>
      <c r="DN993" s="55"/>
      <c r="DO993" s="55"/>
      <c r="DP993" s="55"/>
      <c r="DQ993" s="55"/>
      <c r="DR993" s="55"/>
      <c r="DS993" s="55"/>
      <c r="DT993" s="55"/>
      <c r="DU993" s="55"/>
      <c r="DV993" s="55"/>
    </row>
    <row r="994" spans="1:126" ht="12.75" hidden="1" customHeight="1" x14ac:dyDescent="0.2">
      <c r="A994" s="54"/>
      <c r="B994" s="341" t="str">
        <f>IF(B975="","",B975)</f>
        <v>HIT-RE 500 SD  (500ml)</v>
      </c>
      <c r="C994" s="341"/>
      <c r="D994" s="341"/>
      <c r="E994" s="341"/>
      <c r="F994" s="341"/>
      <c r="G994" s="341"/>
      <c r="H994" s="341"/>
      <c r="I994" s="341"/>
      <c r="J994" s="341"/>
      <c r="K994" s="341"/>
      <c r="L994" s="341"/>
      <c r="M994" s="341"/>
      <c r="N994" s="341"/>
      <c r="O994" s="341"/>
      <c r="P994" s="341"/>
      <c r="Q994" s="341"/>
      <c r="R994" s="342">
        <v>0</v>
      </c>
      <c r="S994" s="342"/>
      <c r="T994" s="342"/>
      <c r="U994" s="342"/>
      <c r="V994" s="342"/>
      <c r="W994" s="342"/>
      <c r="X994" s="343">
        <f>X975</f>
        <v>0</v>
      </c>
      <c r="Y994" s="343"/>
      <c r="Z994" s="343"/>
      <c r="AA994" s="343"/>
      <c r="AB994" s="343"/>
      <c r="AC994" s="343"/>
      <c r="AD994" s="342">
        <f>IF(B994="","",R994*X994)</f>
        <v>0</v>
      </c>
      <c r="AE994" s="342"/>
      <c r="AF994" s="342"/>
      <c r="AG994" s="342"/>
      <c r="AH994" s="342"/>
      <c r="AI994" s="342"/>
      <c r="AY994" s="55"/>
      <c r="AZ994" s="55"/>
      <c r="BA994" s="55"/>
      <c r="BB994" s="55"/>
      <c r="BC994" s="55"/>
      <c r="BD994" s="55"/>
      <c r="BE994" s="55"/>
      <c r="BF994" s="55"/>
      <c r="BG994" s="55"/>
      <c r="BH994" s="55"/>
      <c r="BI994" s="55"/>
      <c r="BJ994" s="55"/>
      <c r="BK994" s="55"/>
      <c r="BL994" s="55"/>
      <c r="BM994" s="55"/>
      <c r="BN994" s="55"/>
      <c r="BO994" s="55"/>
      <c r="BP994" s="55"/>
      <c r="BQ994" s="55"/>
      <c r="BR994" s="55"/>
      <c r="BS994" s="55"/>
      <c r="BT994" s="55"/>
      <c r="BU994" s="55"/>
      <c r="BV994" s="55"/>
      <c r="BW994" s="55"/>
      <c r="BX994" s="55"/>
      <c r="BY994" s="55"/>
      <c r="BZ994" s="55"/>
      <c r="CI994" s="55"/>
      <c r="CJ994" s="55"/>
      <c r="CK994" s="55"/>
      <c r="CL994" s="55"/>
      <c r="CM994" s="55"/>
      <c r="CN994" s="55"/>
      <c r="CO994" s="55"/>
      <c r="CP994" s="55"/>
      <c r="CQ994" s="55"/>
      <c r="DJ994" s="55"/>
      <c r="DK994" s="55"/>
      <c r="DL994" s="55"/>
      <c r="DM994" s="55"/>
      <c r="DN994" s="55"/>
      <c r="DO994" s="55"/>
      <c r="DP994" s="55"/>
      <c r="DQ994" s="55"/>
      <c r="DR994" s="55"/>
      <c r="DS994" s="55"/>
      <c r="DT994" s="55"/>
      <c r="DU994" s="55"/>
      <c r="DV994" s="55"/>
    </row>
    <row r="995" spans="1:126" ht="12.75" hidden="1" customHeight="1" x14ac:dyDescent="0.2">
      <c r="A995" s="54"/>
      <c r="B995" s="339" t="str">
        <f>IF(B984="","",B984)</f>
        <v/>
      </c>
      <c r="C995" s="339"/>
      <c r="D995" s="339"/>
      <c r="E995" s="339"/>
      <c r="F995" s="339"/>
      <c r="G995" s="339"/>
      <c r="H995" s="339"/>
      <c r="I995" s="339"/>
      <c r="J995" s="339"/>
      <c r="K995" s="339"/>
      <c r="L995" s="339"/>
      <c r="M995" s="339"/>
      <c r="N995" s="339"/>
      <c r="O995" s="339"/>
      <c r="P995" s="339"/>
      <c r="Q995" s="339"/>
      <c r="R995" s="340">
        <v>0</v>
      </c>
      <c r="S995" s="340"/>
      <c r="T995" s="340"/>
      <c r="U995" s="340"/>
      <c r="V995" s="340"/>
      <c r="W995" s="340"/>
      <c r="X995" s="319" t="str">
        <f>X984</f>
        <v/>
      </c>
      <c r="Y995" s="319"/>
      <c r="Z995" s="319"/>
      <c r="AA995" s="319"/>
      <c r="AB995" s="319"/>
      <c r="AC995" s="319"/>
      <c r="AD995" s="340" t="str">
        <f>IF(B995="","",R995*X995)</f>
        <v/>
      </c>
      <c r="AE995" s="340"/>
      <c r="AF995" s="340"/>
      <c r="AG995" s="340"/>
      <c r="AH995" s="340"/>
      <c r="AI995" s="340"/>
      <c r="AY995" s="55"/>
      <c r="AZ995" s="55"/>
      <c r="BA995" s="55"/>
      <c r="BB995" s="55"/>
      <c r="BC995" s="55"/>
      <c r="BD995" s="55"/>
      <c r="BE995" s="55"/>
      <c r="BF995" s="55"/>
      <c r="BG995" s="55"/>
      <c r="BH995" s="55"/>
      <c r="BI995" s="55"/>
      <c r="BJ995" s="55"/>
      <c r="BK995" s="55"/>
      <c r="BL995" s="55"/>
      <c r="BM995" s="55"/>
      <c r="BN995" s="55"/>
      <c r="BO995" s="55"/>
      <c r="BP995" s="55"/>
      <c r="BQ995" s="55"/>
      <c r="BR995" s="55"/>
      <c r="BS995" s="55"/>
      <c r="BT995" s="55"/>
      <c r="BU995" s="55"/>
      <c r="BV995" s="55"/>
      <c r="BW995" s="55"/>
      <c r="BX995" s="55"/>
      <c r="BY995" s="55"/>
      <c r="BZ995" s="55"/>
      <c r="CI995" s="55"/>
      <c r="CJ995" s="55"/>
      <c r="CK995" s="55"/>
      <c r="CL995" s="55"/>
      <c r="CM995" s="55"/>
      <c r="CN995" s="55"/>
      <c r="CO995" s="55"/>
      <c r="CP995" s="55"/>
      <c r="CQ995" s="55"/>
      <c r="DJ995" s="55"/>
      <c r="DK995" s="55"/>
      <c r="DL995" s="55"/>
      <c r="DM995" s="55"/>
      <c r="DN995" s="55"/>
      <c r="DO995" s="55"/>
      <c r="DP995" s="55"/>
      <c r="DQ995" s="55"/>
      <c r="DR995" s="55"/>
      <c r="DS995" s="55"/>
      <c r="DT995" s="55"/>
      <c r="DU995" s="55"/>
      <c r="DV995" s="55"/>
    </row>
    <row r="996" spans="1:126" ht="12.75" hidden="1" customHeight="1" x14ac:dyDescent="0.2">
      <c r="A996" s="54"/>
      <c r="B996" s="339" t="str">
        <f>IF(B986="","",B986)</f>
        <v/>
      </c>
      <c r="C996" s="339"/>
      <c r="D996" s="339"/>
      <c r="E996" s="339"/>
      <c r="F996" s="339"/>
      <c r="G996" s="339"/>
      <c r="H996" s="339"/>
      <c r="I996" s="339"/>
      <c r="J996" s="339"/>
      <c r="K996" s="339"/>
      <c r="L996" s="339"/>
      <c r="M996" s="339"/>
      <c r="N996" s="339"/>
      <c r="O996" s="339"/>
      <c r="P996" s="339"/>
      <c r="Q996" s="339"/>
      <c r="R996" s="340">
        <v>0</v>
      </c>
      <c r="S996" s="340"/>
      <c r="T996" s="340"/>
      <c r="U996" s="340"/>
      <c r="V996" s="340"/>
      <c r="W996" s="340"/>
      <c r="X996" s="319" t="str">
        <f>X986</f>
        <v/>
      </c>
      <c r="Y996" s="319"/>
      <c r="Z996" s="319"/>
      <c r="AA996" s="319"/>
      <c r="AB996" s="319"/>
      <c r="AC996" s="319"/>
      <c r="AD996" s="340" t="str">
        <f>IF(B996="","",R996*X996)</f>
        <v/>
      </c>
      <c r="AE996" s="340"/>
      <c r="AF996" s="340"/>
      <c r="AG996" s="340"/>
      <c r="AH996" s="340"/>
      <c r="AI996" s="340"/>
      <c r="AY996" s="55"/>
      <c r="AZ996" s="55"/>
      <c r="BA996" s="55"/>
      <c r="BB996" s="55"/>
      <c r="BC996" s="55"/>
      <c r="BD996" s="55"/>
      <c r="BE996" s="55"/>
      <c r="BF996" s="55"/>
      <c r="BG996" s="55"/>
      <c r="BH996" s="55"/>
      <c r="BI996" s="55"/>
      <c r="BJ996" s="55"/>
      <c r="BK996" s="55"/>
      <c r="BL996" s="55"/>
      <c r="BM996" s="55"/>
      <c r="BN996" s="55"/>
      <c r="BO996" s="55"/>
      <c r="BP996" s="55"/>
      <c r="BQ996" s="55"/>
      <c r="BR996" s="55"/>
      <c r="BS996" s="55"/>
      <c r="BT996" s="55"/>
      <c r="BU996" s="55"/>
      <c r="BV996" s="55"/>
      <c r="BW996" s="55"/>
      <c r="BX996" s="55"/>
      <c r="BY996" s="55"/>
      <c r="BZ996" s="55"/>
      <c r="CI996" s="55"/>
      <c r="CJ996" s="55"/>
      <c r="CK996" s="55"/>
      <c r="CL996" s="55"/>
      <c r="CM996" s="55"/>
      <c r="CN996" s="55"/>
      <c r="CO996" s="55"/>
      <c r="CP996" s="55"/>
      <c r="CQ996" s="55"/>
      <c r="DJ996" s="55"/>
      <c r="DK996" s="55"/>
      <c r="DL996" s="55"/>
      <c r="DM996" s="55"/>
      <c r="DN996" s="55"/>
      <c r="DO996" s="55"/>
      <c r="DP996" s="55"/>
      <c r="DQ996" s="55"/>
      <c r="DR996" s="55"/>
      <c r="DS996" s="55"/>
      <c r="DT996" s="55"/>
      <c r="DU996" s="55"/>
      <c r="DV996" s="55"/>
    </row>
    <row r="997" spans="1:126" ht="12.75" hidden="1" customHeight="1" x14ac:dyDescent="0.2">
      <c r="A997" s="54"/>
      <c r="B997" s="54"/>
      <c r="C997" s="54"/>
      <c r="D997" s="54"/>
      <c r="E997" s="54"/>
      <c r="F997" s="54"/>
      <c r="G997" s="54"/>
      <c r="H997" s="54"/>
      <c r="I997" s="54"/>
      <c r="J997" s="54"/>
      <c r="K997" s="54"/>
      <c r="L997" s="54"/>
      <c r="M997" s="54"/>
      <c r="N997" s="54"/>
      <c r="O997" s="54"/>
      <c r="P997" s="54"/>
      <c r="Q997" s="54"/>
      <c r="R997" s="54"/>
      <c r="S997" s="54"/>
      <c r="T997" s="54"/>
      <c r="U997" s="54"/>
      <c r="V997" s="54"/>
      <c r="W997" s="54"/>
      <c r="X997" s="54"/>
      <c r="Y997" s="54"/>
      <c r="Z997" s="54"/>
      <c r="AY997" s="55"/>
      <c r="AZ997" s="55"/>
      <c r="BA997" s="55"/>
      <c r="BB997" s="55"/>
      <c r="BC997" s="55"/>
      <c r="BD997" s="55"/>
      <c r="BE997" s="55"/>
      <c r="BF997" s="55"/>
      <c r="BG997" s="55"/>
      <c r="BH997" s="55"/>
      <c r="BI997" s="55"/>
      <c r="BJ997" s="55"/>
      <c r="BK997" s="55"/>
      <c r="BL997" s="55"/>
      <c r="BM997" s="55"/>
      <c r="BN997" s="55"/>
      <c r="BO997" s="55"/>
      <c r="BP997" s="55"/>
      <c r="BQ997" s="55"/>
      <c r="BR997" s="55"/>
      <c r="BS997" s="55"/>
      <c r="BT997" s="55"/>
      <c r="BU997" s="55"/>
      <c r="BV997" s="55"/>
      <c r="BW997" s="55"/>
      <c r="BX997" s="55"/>
      <c r="BY997" s="55"/>
      <c r="BZ997" s="55"/>
      <c r="CI997" s="55"/>
      <c r="CJ997" s="55"/>
      <c r="CK997" s="55"/>
      <c r="CL997" s="55"/>
      <c r="CM997" s="55"/>
      <c r="CN997" s="55"/>
      <c r="CO997" s="55"/>
      <c r="CP997" s="55"/>
      <c r="CQ997" s="55"/>
      <c r="DJ997" s="55"/>
      <c r="DK997" s="55"/>
      <c r="DL997" s="55"/>
      <c r="DM997" s="55"/>
      <c r="DN997" s="55"/>
      <c r="DO997" s="55"/>
      <c r="DP997" s="55"/>
      <c r="DQ997" s="55"/>
      <c r="DR997" s="55"/>
      <c r="DS997" s="55"/>
      <c r="DT997" s="55"/>
      <c r="DU997" s="55"/>
      <c r="DV997" s="55"/>
    </row>
    <row r="998" spans="1:126" ht="12.75" x14ac:dyDescent="0.2">
      <c r="A998" s="54"/>
      <c r="B998" s="54"/>
      <c r="C998" s="288" t="s">
        <v>846</v>
      </c>
      <c r="D998" s="288"/>
      <c r="E998" s="288"/>
      <c r="F998" s="288"/>
      <c r="G998" s="288"/>
      <c r="H998" s="288"/>
      <c r="I998" s="288"/>
      <c r="J998" s="288"/>
      <c r="K998" s="288"/>
      <c r="L998" s="288"/>
      <c r="M998" s="288"/>
      <c r="N998" s="288"/>
      <c r="O998" s="288"/>
      <c r="P998" s="288"/>
      <c r="Q998" s="288"/>
      <c r="R998" s="288"/>
      <c r="S998" s="288"/>
      <c r="T998" s="288"/>
      <c r="U998" s="288"/>
      <c r="V998" s="288"/>
      <c r="W998" s="288"/>
      <c r="X998" s="288"/>
      <c r="Y998" s="288"/>
      <c r="Z998" s="288"/>
      <c r="AA998" s="288"/>
      <c r="AB998" s="288"/>
      <c r="AC998" s="288"/>
      <c r="AD998" s="288"/>
      <c r="AE998" s="288"/>
      <c r="AF998" s="288"/>
      <c r="AG998" s="288"/>
      <c r="AH998" s="288"/>
      <c r="AI998" s="288"/>
      <c r="AJ998" s="288"/>
      <c r="AK998" s="179"/>
      <c r="AY998" s="55"/>
      <c r="AZ998" s="55"/>
      <c r="BA998" s="55"/>
      <c r="BB998" s="55"/>
      <c r="BC998" s="55"/>
      <c r="BD998" s="55"/>
      <c r="BE998" s="55"/>
      <c r="BF998" s="55"/>
      <c r="BG998" s="55"/>
      <c r="BH998" s="55"/>
      <c r="BI998" s="55"/>
      <c r="BJ998" s="55"/>
      <c r="BK998" s="55"/>
      <c r="BL998" s="55"/>
      <c r="BM998" s="55"/>
      <c r="BN998" s="55"/>
      <c r="BO998" s="55"/>
      <c r="BP998" s="55"/>
      <c r="BQ998" s="55"/>
      <c r="BR998" s="55"/>
      <c r="BS998" s="55"/>
      <c r="BT998" s="55"/>
      <c r="BU998" s="55"/>
      <c r="BV998" s="55"/>
      <c r="BW998" s="55"/>
      <c r="BX998" s="55"/>
      <c r="BY998" s="55"/>
      <c r="BZ998" s="55"/>
      <c r="CI998" s="55"/>
      <c r="CJ998" s="55"/>
      <c r="CK998" s="55"/>
      <c r="CL998" s="55"/>
      <c r="CM998" s="55"/>
      <c r="CN998" s="55"/>
      <c r="CO998" s="55"/>
      <c r="CP998" s="55"/>
      <c r="CQ998" s="55"/>
      <c r="DJ998" s="55"/>
      <c r="DK998" s="55"/>
      <c r="DL998" s="55"/>
      <c r="DM998" s="55"/>
      <c r="DN998" s="55"/>
      <c r="DO998" s="55"/>
      <c r="DP998" s="55"/>
      <c r="DQ998" s="55"/>
      <c r="DR998" s="55"/>
      <c r="DS998" s="55"/>
      <c r="DT998" s="55"/>
      <c r="DU998" s="55"/>
      <c r="DV998" s="55"/>
    </row>
    <row r="999" spans="1:126" ht="12.75" x14ac:dyDescent="0.2">
      <c r="A999" s="54"/>
      <c r="B999" s="54"/>
      <c r="C999" s="54"/>
      <c r="D999" s="54"/>
      <c r="E999" s="54"/>
      <c r="F999" s="54"/>
      <c r="G999" s="54"/>
      <c r="H999" s="54"/>
      <c r="I999" s="54"/>
      <c r="J999" s="54"/>
      <c r="K999" s="54"/>
      <c r="L999" s="54"/>
      <c r="M999" s="54"/>
      <c r="N999" s="54"/>
      <c r="O999" s="54"/>
      <c r="P999" s="54"/>
      <c r="Q999" s="54"/>
      <c r="R999" s="54"/>
      <c r="S999" s="54"/>
      <c r="T999" s="54"/>
      <c r="U999" s="54"/>
      <c r="V999" s="54"/>
      <c r="W999" s="54"/>
      <c r="X999" s="54"/>
      <c r="Y999" s="54"/>
      <c r="Z999" s="54"/>
      <c r="AY999" s="55"/>
      <c r="AZ999" s="55"/>
      <c r="BA999" s="55"/>
      <c r="BB999" s="55"/>
      <c r="BC999" s="55"/>
      <c r="BD999" s="55"/>
      <c r="BE999" s="55"/>
      <c r="BF999" s="55"/>
      <c r="BG999" s="55"/>
      <c r="BH999" s="55"/>
      <c r="BI999" s="55"/>
      <c r="BJ999" s="55"/>
      <c r="BK999" s="55"/>
      <c r="BL999" s="55"/>
      <c r="BM999" s="55"/>
      <c r="BN999" s="55"/>
      <c r="BO999" s="55"/>
      <c r="BP999" s="55"/>
      <c r="BQ999" s="55"/>
      <c r="BR999" s="55"/>
      <c r="BS999" s="55"/>
      <c r="BT999" s="55"/>
      <c r="BU999" s="55"/>
      <c r="BV999" s="55"/>
      <c r="BW999" s="55"/>
      <c r="BX999" s="55"/>
      <c r="BY999" s="55"/>
      <c r="BZ999" s="55"/>
      <c r="CI999" s="55"/>
      <c r="CJ999" s="55"/>
      <c r="CK999" s="55"/>
      <c r="CL999" s="55"/>
      <c r="CM999" s="55"/>
      <c r="CN999" s="55"/>
      <c r="CO999" s="55"/>
      <c r="CP999" s="55"/>
      <c r="CQ999" s="55"/>
      <c r="DJ999" s="55"/>
      <c r="DK999" s="55"/>
      <c r="DL999" s="55"/>
      <c r="DM999" s="55"/>
      <c r="DN999" s="55"/>
      <c r="DO999" s="55"/>
      <c r="DP999" s="55"/>
      <c r="DQ999" s="55"/>
      <c r="DR999" s="55"/>
      <c r="DS999" s="55"/>
      <c r="DT999" s="55"/>
      <c r="DU999" s="55"/>
      <c r="DV999" s="55"/>
    </row>
    <row r="1000" spans="1:126" x14ac:dyDescent="0.2">
      <c r="A1000" s="54"/>
      <c r="B1000" s="54"/>
      <c r="D1000" s="328" t="s">
        <v>739</v>
      </c>
      <c r="E1000" s="328"/>
      <c r="F1000" s="328"/>
      <c r="G1000" s="328"/>
      <c r="H1000" s="328"/>
      <c r="I1000" s="328"/>
      <c r="J1000" s="328"/>
      <c r="K1000" s="328"/>
      <c r="L1000" s="328"/>
      <c r="M1000" s="328"/>
      <c r="N1000" s="328"/>
      <c r="O1000" s="328"/>
      <c r="P1000" s="328"/>
      <c r="Q1000" s="328"/>
      <c r="R1000" s="328"/>
      <c r="S1000" s="328"/>
      <c r="T1000" s="328"/>
      <c r="U1000" s="54"/>
      <c r="V1000" s="54"/>
      <c r="W1000" s="54"/>
      <c r="X1000" s="54"/>
      <c r="Y1000" s="59"/>
      <c r="Z1000" s="54"/>
      <c r="BB1000" s="55"/>
      <c r="BC1000" s="55"/>
      <c r="BD1000" s="55"/>
      <c r="BE1000" s="55"/>
      <c r="BF1000" s="55"/>
      <c r="BG1000" s="55"/>
      <c r="BH1000" s="55"/>
      <c r="BI1000" s="55"/>
      <c r="BJ1000" s="55"/>
      <c r="BK1000" s="55"/>
      <c r="BL1000" s="55"/>
      <c r="BM1000" s="55"/>
      <c r="BN1000" s="55"/>
      <c r="BO1000" s="55"/>
      <c r="BP1000" s="55"/>
      <c r="BQ1000" s="55"/>
      <c r="BR1000" s="55"/>
      <c r="BS1000" s="55"/>
      <c r="BT1000" s="55"/>
      <c r="BU1000" s="55"/>
      <c r="BV1000" s="55"/>
      <c r="BW1000" s="55"/>
      <c r="BX1000" s="55"/>
      <c r="BY1000" s="55"/>
      <c r="BZ1000" s="55"/>
      <c r="CI1000" s="55"/>
      <c r="CJ1000" s="55"/>
      <c r="CK1000" s="55"/>
      <c r="CL1000" s="55"/>
      <c r="CM1000" s="55"/>
      <c r="CN1000" s="55"/>
      <c r="CO1000" s="55"/>
      <c r="CP1000" s="55"/>
      <c r="CQ1000" s="55"/>
      <c r="DJ1000" s="55"/>
      <c r="DK1000" s="55"/>
      <c r="DL1000" s="55"/>
      <c r="DM1000" s="55"/>
      <c r="DN1000" s="55"/>
      <c r="DO1000" s="55"/>
      <c r="DP1000" s="55"/>
      <c r="DQ1000" s="55"/>
      <c r="DR1000" s="55"/>
      <c r="DS1000" s="55"/>
      <c r="DT1000" s="55"/>
      <c r="DU1000" s="55"/>
      <c r="DV1000" s="55"/>
    </row>
    <row r="1001" spans="1:126" x14ac:dyDescent="0.2">
      <c r="A1001" s="54"/>
      <c r="B1001" s="54"/>
      <c r="D1001" s="329" t="s">
        <v>740</v>
      </c>
      <c r="E1001" s="329"/>
      <c r="F1001" s="329"/>
      <c r="G1001" s="329"/>
      <c r="H1001" s="329"/>
      <c r="I1001" s="329"/>
      <c r="J1001" s="329"/>
      <c r="K1001" s="329"/>
      <c r="L1001" s="329"/>
      <c r="M1001" s="329"/>
      <c r="N1001" s="329"/>
      <c r="O1001" s="329"/>
      <c r="P1001" s="329"/>
      <c r="Q1001" s="329"/>
      <c r="R1001" s="329"/>
      <c r="S1001" s="329"/>
      <c r="T1001" s="329"/>
      <c r="U1001" s="54"/>
      <c r="V1001" s="54"/>
      <c r="W1001" s="54"/>
      <c r="X1001" s="54"/>
      <c r="Y1001" s="54"/>
      <c r="Z1001" s="54"/>
      <c r="BB1001" s="55"/>
      <c r="BC1001" s="55"/>
      <c r="BD1001" s="55"/>
      <c r="BE1001" s="55"/>
      <c r="BF1001" s="55"/>
      <c r="BG1001" s="55"/>
      <c r="BH1001" s="55"/>
      <c r="BI1001" s="55"/>
      <c r="BJ1001" s="55"/>
      <c r="BK1001" s="55"/>
      <c r="BL1001" s="55"/>
      <c r="BM1001" s="55"/>
      <c r="BN1001" s="55"/>
      <c r="BO1001" s="55"/>
      <c r="BP1001" s="55"/>
      <c r="BQ1001" s="55"/>
      <c r="BR1001" s="55"/>
      <c r="BS1001" s="55"/>
      <c r="BT1001" s="55"/>
      <c r="BU1001" s="55"/>
      <c r="BV1001" s="55"/>
      <c r="BW1001" s="55"/>
      <c r="BX1001" s="55"/>
      <c r="BY1001" s="55"/>
      <c r="BZ1001" s="55"/>
      <c r="CI1001" s="55"/>
      <c r="CJ1001" s="55"/>
      <c r="CK1001" s="55"/>
      <c r="CL1001" s="55"/>
      <c r="CM1001" s="55"/>
      <c r="CN1001" s="55"/>
      <c r="CO1001" s="55"/>
      <c r="CP1001" s="55"/>
      <c r="CQ1001" s="55"/>
      <c r="DJ1001" s="55"/>
      <c r="DK1001" s="55"/>
      <c r="DL1001" s="55"/>
      <c r="DM1001" s="55"/>
      <c r="DN1001" s="55"/>
      <c r="DO1001" s="55"/>
      <c r="DP1001" s="55"/>
      <c r="DQ1001" s="55"/>
      <c r="DR1001" s="55"/>
      <c r="DS1001" s="55"/>
      <c r="DT1001" s="55"/>
      <c r="DU1001" s="55"/>
      <c r="DV1001" s="55"/>
    </row>
    <row r="1002" spans="1:126" x14ac:dyDescent="0.2">
      <c r="A1002" s="54"/>
      <c r="B1002" s="54"/>
      <c r="D1002" s="329" t="s">
        <v>849</v>
      </c>
      <c r="E1002" s="329"/>
      <c r="F1002" s="329"/>
      <c r="G1002" s="329"/>
      <c r="H1002" s="329"/>
      <c r="I1002" s="329"/>
      <c r="J1002" s="329"/>
      <c r="K1002" s="329"/>
      <c r="L1002" s="329"/>
      <c r="M1002" s="329"/>
      <c r="N1002" s="329"/>
      <c r="O1002" s="329"/>
      <c r="P1002" s="329"/>
      <c r="Q1002" s="329"/>
      <c r="R1002" s="329"/>
      <c r="S1002" s="329"/>
      <c r="T1002" s="329"/>
      <c r="U1002" s="54"/>
      <c r="V1002" s="54"/>
      <c r="W1002" s="54"/>
      <c r="X1002" s="54"/>
      <c r="Y1002" s="54"/>
      <c r="Z1002" s="54"/>
      <c r="BB1002" s="55"/>
      <c r="BC1002" s="55"/>
      <c r="BD1002" s="55"/>
      <c r="BE1002" s="55"/>
      <c r="BF1002" s="55"/>
      <c r="BG1002" s="55"/>
      <c r="BH1002" s="55"/>
      <c r="BI1002" s="55"/>
      <c r="BJ1002" s="55"/>
      <c r="BK1002" s="55"/>
      <c r="BL1002" s="55"/>
      <c r="BM1002" s="55"/>
      <c r="BN1002" s="55"/>
      <c r="BO1002" s="55"/>
      <c r="BP1002" s="55"/>
      <c r="BQ1002" s="55"/>
      <c r="BR1002" s="55"/>
      <c r="BS1002" s="55"/>
      <c r="BT1002" s="55"/>
      <c r="BU1002" s="55"/>
      <c r="BV1002" s="55"/>
      <c r="BW1002" s="55"/>
      <c r="BX1002" s="55"/>
      <c r="BY1002" s="55"/>
      <c r="BZ1002" s="55"/>
      <c r="CI1002" s="55"/>
      <c r="CJ1002" s="55"/>
      <c r="CK1002" s="55"/>
      <c r="CL1002" s="55"/>
      <c r="CM1002" s="55"/>
      <c r="CN1002" s="55"/>
      <c r="CO1002" s="55"/>
      <c r="CP1002" s="55"/>
      <c r="CQ1002" s="55"/>
      <c r="DJ1002" s="55"/>
      <c r="DK1002" s="55"/>
      <c r="DL1002" s="55"/>
      <c r="DM1002" s="55"/>
      <c r="DN1002" s="55"/>
      <c r="DO1002" s="55"/>
      <c r="DP1002" s="55"/>
      <c r="DQ1002" s="55"/>
      <c r="DR1002" s="55"/>
      <c r="DS1002" s="55"/>
      <c r="DT1002" s="55"/>
      <c r="DU1002" s="55"/>
      <c r="DV1002" s="55"/>
    </row>
    <row r="1003" spans="1:126" x14ac:dyDescent="0.2">
      <c r="A1003" s="54"/>
      <c r="B1003" s="54"/>
      <c r="D1003" s="329" t="s">
        <v>741</v>
      </c>
      <c r="E1003" s="329"/>
      <c r="F1003" s="329"/>
      <c r="G1003" s="329"/>
      <c r="H1003" s="329"/>
      <c r="I1003" s="329"/>
      <c r="J1003" s="329"/>
      <c r="K1003" s="329"/>
      <c r="L1003" s="329"/>
      <c r="M1003" s="329"/>
      <c r="N1003" s="329"/>
      <c r="O1003" s="329"/>
      <c r="P1003" s="329"/>
      <c r="Q1003" s="329"/>
      <c r="R1003" s="329"/>
      <c r="S1003" s="329"/>
      <c r="T1003" s="329"/>
      <c r="U1003" s="54"/>
      <c r="V1003" s="54"/>
      <c r="W1003" s="54"/>
      <c r="X1003" s="54"/>
      <c r="Y1003" s="54"/>
      <c r="Z1003" s="54"/>
      <c r="BB1003" s="55"/>
      <c r="BC1003" s="55"/>
      <c r="BD1003" s="55"/>
      <c r="BE1003" s="55"/>
      <c r="BF1003" s="55"/>
      <c r="BG1003" s="55"/>
      <c r="BH1003" s="55"/>
      <c r="BI1003" s="55"/>
      <c r="BJ1003" s="55"/>
      <c r="BK1003" s="55"/>
      <c r="BL1003" s="55"/>
      <c r="BM1003" s="55"/>
      <c r="BN1003" s="55"/>
      <c r="BO1003" s="55"/>
      <c r="BP1003" s="55"/>
      <c r="BQ1003" s="55"/>
      <c r="BR1003" s="55"/>
      <c r="BS1003" s="55"/>
      <c r="BT1003" s="55"/>
      <c r="BU1003" s="55"/>
      <c r="BV1003" s="55"/>
      <c r="BW1003" s="55"/>
      <c r="BX1003" s="55"/>
      <c r="BY1003" s="55"/>
      <c r="BZ1003" s="55"/>
      <c r="CI1003" s="55"/>
      <c r="CJ1003" s="55"/>
      <c r="CK1003" s="55"/>
      <c r="CL1003" s="55"/>
      <c r="CM1003" s="55"/>
      <c r="CN1003" s="55"/>
      <c r="CO1003" s="55"/>
      <c r="CP1003" s="55"/>
      <c r="CQ1003" s="55"/>
      <c r="DJ1003" s="55"/>
      <c r="DK1003" s="55"/>
      <c r="DL1003" s="55"/>
      <c r="DM1003" s="55"/>
      <c r="DN1003" s="55"/>
      <c r="DO1003" s="55"/>
      <c r="DP1003" s="55"/>
      <c r="DQ1003" s="55"/>
      <c r="DR1003" s="55"/>
      <c r="DS1003" s="55"/>
      <c r="DT1003" s="55"/>
      <c r="DU1003" s="55"/>
      <c r="DV1003" s="55"/>
    </row>
    <row r="1004" spans="1:126" x14ac:dyDescent="0.2">
      <c r="A1004" s="54"/>
      <c r="B1004" s="54"/>
      <c r="D1004" s="329" t="s">
        <v>742</v>
      </c>
      <c r="E1004" s="329"/>
      <c r="F1004" s="329"/>
      <c r="G1004" s="329"/>
      <c r="H1004" s="329"/>
      <c r="I1004" s="329"/>
      <c r="J1004" s="329"/>
      <c r="K1004" s="329"/>
      <c r="L1004" s="329"/>
      <c r="M1004" s="329"/>
      <c r="N1004" s="329"/>
      <c r="O1004" s="329"/>
      <c r="P1004" s="329"/>
      <c r="Q1004" s="329"/>
      <c r="R1004" s="329"/>
      <c r="S1004" s="329"/>
      <c r="T1004" s="329"/>
      <c r="U1004" s="54"/>
      <c r="V1004" s="54"/>
      <c r="W1004" s="54"/>
      <c r="X1004" s="54"/>
      <c r="Y1004" s="54"/>
      <c r="Z1004" s="54"/>
      <c r="BB1004" s="55"/>
      <c r="BC1004" s="55"/>
      <c r="BD1004" s="55"/>
      <c r="BE1004" s="55"/>
      <c r="BF1004" s="55"/>
      <c r="BG1004" s="55"/>
      <c r="BH1004" s="55"/>
      <c r="BI1004" s="55"/>
      <c r="BJ1004" s="55"/>
      <c r="BK1004" s="55"/>
      <c r="BL1004" s="55"/>
      <c r="BM1004" s="55"/>
      <c r="BN1004" s="55"/>
      <c r="BO1004" s="55"/>
      <c r="BP1004" s="55"/>
      <c r="BQ1004" s="55"/>
      <c r="BR1004" s="55"/>
      <c r="BS1004" s="55"/>
      <c r="BT1004" s="55"/>
      <c r="BU1004" s="55"/>
      <c r="BV1004" s="55"/>
      <c r="BW1004" s="55"/>
      <c r="BX1004" s="55"/>
      <c r="BY1004" s="55"/>
      <c r="BZ1004" s="55"/>
      <c r="CI1004" s="55"/>
      <c r="CJ1004" s="55"/>
      <c r="CK1004" s="55"/>
      <c r="CL1004" s="55"/>
      <c r="CM1004" s="55"/>
      <c r="CN1004" s="55"/>
      <c r="CO1004" s="55"/>
      <c r="CP1004" s="55"/>
      <c r="CQ1004" s="55"/>
      <c r="DJ1004" s="55"/>
      <c r="DK1004" s="55"/>
      <c r="DL1004" s="55"/>
      <c r="DM1004" s="55"/>
      <c r="DN1004" s="55"/>
      <c r="DO1004" s="55"/>
      <c r="DP1004" s="55"/>
      <c r="DQ1004" s="55"/>
      <c r="DR1004" s="55"/>
      <c r="DS1004" s="55"/>
      <c r="DT1004" s="55"/>
      <c r="DU1004" s="55"/>
      <c r="DV1004" s="55"/>
    </row>
    <row r="1005" spans="1:126" ht="12.75" x14ac:dyDescent="0.2">
      <c r="A1005" s="54"/>
      <c r="B1005" s="54"/>
      <c r="C1005" s="330"/>
      <c r="D1005" s="330"/>
      <c r="E1005" s="330"/>
      <c r="F1005" s="330"/>
      <c r="G1005" s="330"/>
      <c r="H1005" s="330"/>
      <c r="I1005" s="330"/>
      <c r="J1005" s="330"/>
      <c r="K1005" s="330"/>
      <c r="L1005" s="330"/>
      <c r="M1005" s="330"/>
      <c r="N1005" s="330"/>
      <c r="O1005" s="330"/>
      <c r="P1005" s="330"/>
      <c r="Q1005" s="330"/>
      <c r="R1005" s="330"/>
      <c r="S1005" s="330"/>
      <c r="T1005" s="330"/>
      <c r="U1005" s="54"/>
      <c r="V1005" s="54"/>
      <c r="W1005" s="54"/>
      <c r="X1005" s="54"/>
      <c r="Y1005" s="54"/>
      <c r="Z1005" s="54"/>
      <c r="AY1005" s="55"/>
      <c r="AZ1005" s="55"/>
      <c r="BA1005" s="55"/>
      <c r="BB1005" s="55"/>
      <c r="BC1005" s="55"/>
      <c r="BD1005" s="55"/>
      <c r="BE1005" s="55"/>
      <c r="BF1005" s="55"/>
      <c r="BG1005" s="55"/>
      <c r="BH1005" s="55"/>
      <c r="BI1005" s="55"/>
      <c r="BJ1005" s="55"/>
      <c r="BK1005" s="55"/>
      <c r="BL1005" s="55"/>
      <c r="BM1005" s="55"/>
      <c r="BN1005" s="55"/>
      <c r="BO1005" s="55"/>
      <c r="BP1005" s="55"/>
      <c r="BQ1005" s="55"/>
      <c r="BR1005" s="55"/>
      <c r="BS1005" s="55"/>
      <c r="BT1005" s="55"/>
      <c r="BU1005" s="55"/>
      <c r="BV1005" s="55"/>
      <c r="BW1005" s="55"/>
      <c r="BX1005" s="55"/>
      <c r="BY1005" s="55"/>
      <c r="BZ1005" s="55"/>
      <c r="CI1005" s="55"/>
      <c r="CJ1005" s="55"/>
      <c r="CK1005" s="55"/>
      <c r="CL1005" s="55"/>
      <c r="CM1005" s="55"/>
      <c r="CN1005" s="55"/>
      <c r="CO1005" s="55"/>
      <c r="CP1005" s="55"/>
      <c r="CQ1005" s="55"/>
      <c r="DJ1005" s="55"/>
      <c r="DK1005" s="55"/>
      <c r="DL1005" s="55"/>
      <c r="DM1005" s="55"/>
      <c r="DN1005" s="55"/>
      <c r="DO1005" s="55"/>
      <c r="DP1005" s="55"/>
      <c r="DQ1005" s="55"/>
      <c r="DR1005" s="55"/>
      <c r="DS1005" s="55"/>
      <c r="DT1005" s="55"/>
      <c r="DU1005" s="55"/>
      <c r="DV1005" s="55"/>
    </row>
    <row r="1006" spans="1:126" ht="12.75" x14ac:dyDescent="0.2">
      <c r="A1006" s="54"/>
      <c r="B1006" s="54"/>
      <c r="C1006" s="330" t="s">
        <v>737</v>
      </c>
      <c r="D1006" s="330"/>
      <c r="E1006" s="330"/>
      <c r="F1006" s="330"/>
      <c r="G1006" s="330"/>
      <c r="H1006" s="330"/>
      <c r="I1006" s="330"/>
      <c r="J1006" s="330"/>
      <c r="K1006" s="330"/>
      <c r="L1006" s="330"/>
      <c r="M1006" s="330"/>
      <c r="N1006" s="330"/>
      <c r="O1006" s="330"/>
      <c r="P1006" s="330"/>
      <c r="Q1006" s="330"/>
      <c r="R1006" s="330"/>
      <c r="S1006" s="330"/>
      <c r="T1006" s="330"/>
      <c r="U1006" s="54"/>
      <c r="V1006" s="54"/>
      <c r="W1006" s="54"/>
      <c r="X1006" s="54"/>
      <c r="Y1006" s="54"/>
      <c r="Z1006" s="54"/>
      <c r="AY1006" s="55"/>
      <c r="AZ1006" s="55"/>
      <c r="BA1006" s="55"/>
      <c r="BB1006" s="55"/>
      <c r="BC1006" s="55"/>
      <c r="BD1006" s="55"/>
      <c r="BE1006" s="55"/>
      <c r="BF1006" s="55"/>
      <c r="BG1006" s="55"/>
      <c r="BH1006" s="55"/>
      <c r="BI1006" s="55"/>
      <c r="BJ1006" s="55"/>
      <c r="BK1006" s="55"/>
      <c r="BL1006" s="55"/>
      <c r="BM1006" s="55"/>
      <c r="BN1006" s="55"/>
      <c r="BO1006" s="55"/>
      <c r="BP1006" s="55"/>
      <c r="BQ1006" s="55"/>
      <c r="BR1006" s="55"/>
      <c r="BS1006" s="55"/>
      <c r="BT1006" s="55"/>
      <c r="BU1006" s="55"/>
      <c r="BV1006" s="55"/>
      <c r="BW1006" s="55"/>
      <c r="BX1006" s="55"/>
      <c r="BY1006" s="55"/>
      <c r="BZ1006" s="55"/>
      <c r="CI1006" s="55"/>
      <c r="CJ1006" s="55"/>
      <c r="CK1006" s="55"/>
      <c r="CL1006" s="55"/>
      <c r="CM1006" s="55"/>
      <c r="CN1006" s="55"/>
      <c r="CO1006" s="55"/>
      <c r="CP1006" s="55"/>
      <c r="CQ1006" s="55"/>
      <c r="DJ1006" s="55"/>
      <c r="DK1006" s="55"/>
      <c r="DL1006" s="55"/>
      <c r="DM1006" s="55"/>
      <c r="DN1006" s="55"/>
      <c r="DO1006" s="55"/>
      <c r="DP1006" s="55"/>
      <c r="DQ1006" s="55"/>
      <c r="DR1006" s="55"/>
      <c r="DS1006" s="55"/>
      <c r="DT1006" s="55"/>
      <c r="DU1006" s="55"/>
      <c r="DV1006" s="55"/>
    </row>
    <row r="1007" spans="1:126" ht="12.75" x14ac:dyDescent="0.2">
      <c r="A1007" s="54"/>
      <c r="B1007" s="54"/>
      <c r="C1007" s="330" t="s">
        <v>738</v>
      </c>
      <c r="D1007" s="330"/>
      <c r="E1007" s="330"/>
      <c r="F1007" s="330"/>
      <c r="G1007" s="330"/>
      <c r="H1007" s="330"/>
      <c r="I1007" s="330"/>
      <c r="J1007" s="330"/>
      <c r="K1007" s="330"/>
      <c r="L1007" s="330"/>
      <c r="M1007" s="330"/>
      <c r="N1007" s="330"/>
      <c r="O1007" s="330"/>
      <c r="P1007" s="330"/>
      <c r="Q1007" s="330"/>
      <c r="R1007" s="330"/>
      <c r="S1007" s="330"/>
      <c r="T1007" s="330"/>
      <c r="U1007" s="54"/>
      <c r="V1007" s="54"/>
      <c r="W1007" s="54"/>
      <c r="X1007" s="54"/>
      <c r="Y1007" s="54"/>
      <c r="Z1007" s="54"/>
      <c r="AY1007" s="55"/>
      <c r="AZ1007" s="55"/>
      <c r="BA1007" s="55"/>
      <c r="BB1007" s="55"/>
      <c r="BC1007" s="55"/>
      <c r="BD1007" s="55"/>
      <c r="BE1007" s="55"/>
      <c r="BF1007" s="55"/>
      <c r="BG1007" s="55"/>
      <c r="BH1007" s="55"/>
      <c r="BI1007" s="55"/>
      <c r="BJ1007" s="55"/>
      <c r="BK1007" s="55"/>
      <c r="BL1007" s="55"/>
      <c r="BM1007" s="55"/>
      <c r="BN1007" s="55"/>
      <c r="BO1007" s="55"/>
      <c r="BP1007" s="55"/>
      <c r="BQ1007" s="55"/>
      <c r="BR1007" s="55"/>
      <c r="BS1007" s="55"/>
      <c r="BT1007" s="55"/>
      <c r="BU1007" s="55"/>
      <c r="BV1007" s="55"/>
      <c r="BW1007" s="55"/>
      <c r="BX1007" s="55"/>
      <c r="BY1007" s="55"/>
      <c r="BZ1007" s="55"/>
      <c r="CI1007" s="55"/>
      <c r="CJ1007" s="55"/>
      <c r="CK1007" s="55"/>
      <c r="CL1007" s="55"/>
      <c r="CM1007" s="55"/>
      <c r="CN1007" s="55"/>
      <c r="CO1007" s="55"/>
      <c r="CP1007" s="55"/>
      <c r="CQ1007" s="55"/>
      <c r="DJ1007" s="55"/>
      <c r="DK1007" s="55"/>
      <c r="DL1007" s="55"/>
      <c r="DM1007" s="55"/>
      <c r="DN1007" s="55"/>
      <c r="DO1007" s="55"/>
      <c r="DP1007" s="55"/>
      <c r="DQ1007" s="55"/>
      <c r="DR1007" s="55"/>
      <c r="DS1007" s="55"/>
      <c r="DT1007" s="55"/>
      <c r="DU1007" s="55"/>
      <c r="DV1007" s="55"/>
    </row>
    <row r="1008" spans="1:126" ht="12.75" customHeight="1" x14ac:dyDescent="0.2">
      <c r="A1008" s="54"/>
      <c r="B1008" s="54"/>
      <c r="C1008" s="70"/>
      <c r="D1008" s="70"/>
      <c r="E1008" s="70"/>
      <c r="F1008" s="70"/>
      <c r="G1008" s="70"/>
      <c r="H1008" s="70"/>
      <c r="I1008" s="70"/>
      <c r="J1008" s="70"/>
      <c r="K1008" s="70"/>
      <c r="L1008" s="70"/>
      <c r="M1008" s="70"/>
      <c r="N1008" s="70"/>
      <c r="O1008" s="70"/>
      <c r="P1008" s="70"/>
      <c r="Q1008" s="70"/>
      <c r="R1008" s="70"/>
      <c r="S1008" s="70"/>
      <c r="T1008" s="70"/>
      <c r="U1008" s="70"/>
      <c r="V1008" s="70"/>
      <c r="W1008" s="70"/>
      <c r="X1008" s="70"/>
      <c r="Y1008" s="70"/>
      <c r="Z1008" s="70"/>
      <c r="AA1008" s="70"/>
      <c r="AB1008" s="70"/>
      <c r="AC1008" s="70"/>
      <c r="AD1008" s="70"/>
      <c r="AE1008" s="70"/>
      <c r="AF1008" s="70"/>
      <c r="AG1008" s="70"/>
      <c r="AH1008" s="70"/>
      <c r="AI1008" s="70"/>
      <c r="AJ1008" s="70"/>
      <c r="AK1008" s="70"/>
      <c r="AY1008" s="55"/>
      <c r="AZ1008" s="55"/>
      <c r="BA1008" s="55"/>
      <c r="BB1008" s="55"/>
      <c r="BC1008" s="55"/>
      <c r="BD1008" s="55"/>
      <c r="BE1008" s="55"/>
      <c r="BF1008" s="55"/>
      <c r="BG1008" s="55"/>
      <c r="BH1008" s="55"/>
      <c r="BI1008" s="55"/>
      <c r="BJ1008" s="55"/>
      <c r="BK1008" s="55"/>
      <c r="BL1008" s="55"/>
      <c r="BM1008" s="55"/>
      <c r="BN1008" s="55"/>
      <c r="BO1008" s="55"/>
      <c r="BP1008" s="55"/>
      <c r="BQ1008" s="55"/>
      <c r="BR1008" s="55"/>
      <c r="BS1008" s="55"/>
      <c r="BT1008" s="55"/>
      <c r="BU1008" s="55"/>
      <c r="BV1008" s="55"/>
      <c r="BW1008" s="55"/>
      <c r="BX1008" s="55"/>
      <c r="BY1008" s="55"/>
      <c r="BZ1008" s="55"/>
      <c r="CI1008" s="55"/>
      <c r="CJ1008" s="55"/>
      <c r="CK1008" s="55"/>
      <c r="CL1008" s="55"/>
      <c r="CM1008" s="55"/>
      <c r="CN1008" s="55"/>
      <c r="CO1008" s="55"/>
      <c r="CP1008" s="55"/>
      <c r="CQ1008" s="55"/>
      <c r="DJ1008" s="55"/>
      <c r="DK1008" s="55"/>
      <c r="DL1008" s="55"/>
      <c r="DM1008" s="55"/>
      <c r="DN1008" s="55"/>
      <c r="DO1008" s="55"/>
      <c r="DP1008" s="55"/>
      <c r="DQ1008" s="55"/>
      <c r="DR1008" s="55"/>
      <c r="DS1008" s="55"/>
      <c r="DT1008" s="55"/>
      <c r="DU1008" s="55"/>
      <c r="DV1008" s="55"/>
    </row>
    <row r="1009" spans="1:58" x14ac:dyDescent="0.2">
      <c r="A1009" s="54"/>
      <c r="B1009" s="54"/>
      <c r="C1009" s="54"/>
      <c r="D1009" s="325" t="s">
        <v>384</v>
      </c>
      <c r="E1009" s="325"/>
      <c r="F1009" s="325"/>
      <c r="G1009" s="325"/>
      <c r="H1009" s="325"/>
      <c r="I1009" s="325"/>
      <c r="J1009" s="325"/>
      <c r="K1009" s="325"/>
      <c r="L1009" s="325"/>
      <c r="M1009" s="325"/>
      <c r="N1009" s="325"/>
      <c r="O1009" s="325"/>
      <c r="P1009" s="325"/>
      <c r="Q1009" s="325"/>
      <c r="R1009" s="325"/>
      <c r="S1009" s="325"/>
      <c r="T1009" s="325"/>
      <c r="U1009" s="325"/>
      <c r="V1009" s="325"/>
      <c r="W1009" s="325"/>
      <c r="X1009" s="325"/>
      <c r="Y1009" s="325"/>
      <c r="Z1009" s="325"/>
      <c r="AA1009" s="325"/>
      <c r="AB1009" s="325"/>
      <c r="AC1009" s="325"/>
      <c r="AD1009" s="325"/>
      <c r="AE1009" s="325"/>
      <c r="AF1009" s="325"/>
      <c r="AG1009" s="325"/>
      <c r="AH1009" s="325"/>
      <c r="AI1009" s="325"/>
      <c r="AJ1009" s="325"/>
      <c r="AK1009" s="174"/>
    </row>
    <row r="1010" spans="1:58" x14ac:dyDescent="0.2">
      <c r="A1010" s="54"/>
      <c r="B1010" s="54"/>
      <c r="C1010" s="54"/>
      <c r="D1010" s="54"/>
      <c r="E1010" s="54"/>
      <c r="F1010" s="54"/>
      <c r="G1010" s="54"/>
      <c r="H1010" s="54"/>
      <c r="I1010" s="54"/>
      <c r="J1010" s="54"/>
      <c r="K1010" s="54"/>
      <c r="L1010" s="54"/>
      <c r="M1010" s="54"/>
      <c r="N1010" s="54"/>
      <c r="O1010" s="54"/>
      <c r="P1010" s="54"/>
      <c r="Q1010" s="54"/>
      <c r="R1010" s="54"/>
      <c r="S1010" s="54"/>
      <c r="T1010" s="54"/>
      <c r="U1010" s="54"/>
      <c r="V1010" s="54"/>
      <c r="W1010" s="54"/>
      <c r="X1010" s="54"/>
      <c r="Y1010" s="54"/>
      <c r="Z1010" s="54"/>
      <c r="AF1010" s="70"/>
      <c r="AG1010" s="70"/>
      <c r="AH1010" s="70"/>
      <c r="AI1010" s="70"/>
      <c r="AJ1010" s="70"/>
      <c r="AK1010" s="70"/>
      <c r="AL1010" s="70"/>
    </row>
    <row r="1011" spans="1:58" ht="14.25" customHeight="1" x14ac:dyDescent="0.2">
      <c r="A1011" s="54"/>
      <c r="B1011" s="331" t="s">
        <v>861</v>
      </c>
      <c r="C1011" s="331"/>
      <c r="D1011" s="331"/>
      <c r="E1011" s="331"/>
      <c r="F1011" s="331"/>
      <c r="G1011" s="331"/>
      <c r="H1011" s="331"/>
      <c r="I1011" s="331"/>
      <c r="J1011" s="331"/>
      <c r="K1011" s="331"/>
      <c r="L1011" s="331"/>
      <c r="M1011" s="331"/>
      <c r="N1011" s="331"/>
      <c r="O1011" s="331"/>
      <c r="P1011" s="331"/>
      <c r="Q1011" s="331"/>
      <c r="R1011" s="331"/>
      <c r="S1011" s="331"/>
      <c r="T1011" s="331"/>
      <c r="U1011" s="331"/>
      <c r="AA1011" s="138"/>
      <c r="AB1011" s="138"/>
      <c r="AC1011" s="138"/>
      <c r="AD1011" s="138"/>
      <c r="AE1011" s="138"/>
      <c r="AM1011" s="326" t="s">
        <v>864</v>
      </c>
      <c r="AN1011" s="326"/>
      <c r="AO1011" s="326"/>
      <c r="AP1011" s="326"/>
      <c r="AQ1011" s="326"/>
      <c r="AR1011" s="326"/>
      <c r="AS1011" s="326"/>
      <c r="AT1011" s="326"/>
      <c r="AU1011" s="326"/>
      <c r="AV1011" s="326"/>
      <c r="AW1011" s="326"/>
      <c r="AX1011" s="326"/>
      <c r="AY1011" s="326"/>
      <c r="AZ1011" s="326"/>
      <c r="BA1011" s="326"/>
      <c r="BB1011" s="326"/>
      <c r="BC1011" s="326"/>
      <c r="BD1011" s="326"/>
      <c r="BE1011" s="326"/>
      <c r="BF1011" s="326"/>
    </row>
    <row r="1012" spans="1:58" ht="14.25" customHeight="1" x14ac:dyDescent="0.2">
      <c r="A1012" s="54"/>
      <c r="B1012" s="346" t="s">
        <v>743</v>
      </c>
      <c r="C1012" s="346"/>
      <c r="D1012" s="346"/>
      <c r="E1012" s="346"/>
      <c r="F1012" s="346"/>
      <c r="G1012" s="346"/>
      <c r="H1012" s="346"/>
      <c r="I1012" s="346"/>
      <c r="J1012" s="147" t="s">
        <v>863</v>
      </c>
      <c r="K1012" s="345"/>
      <c r="L1012" s="345"/>
      <c r="M1012" s="345"/>
      <c r="N1012" s="345"/>
      <c r="O1012" s="345"/>
      <c r="P1012" s="345"/>
      <c r="Q1012" s="345"/>
      <c r="R1012" s="345"/>
      <c r="S1012" s="345"/>
      <c r="T1012" s="345"/>
      <c r="U1012" s="345"/>
      <c r="V1012" s="54"/>
      <c r="W1012" s="54"/>
      <c r="X1012" s="54"/>
      <c r="AY1012" s="55"/>
      <c r="AZ1012" s="55"/>
      <c r="BA1012" s="55"/>
      <c r="BB1012" s="55"/>
    </row>
    <row r="1013" spans="1:58" x14ac:dyDescent="0.2">
      <c r="A1013" s="54"/>
      <c r="B1013" s="54"/>
      <c r="C1013" s="54"/>
      <c r="D1013" s="54"/>
      <c r="E1013" s="54"/>
      <c r="F1013" s="54"/>
      <c r="G1013" s="54"/>
      <c r="H1013" s="54"/>
      <c r="I1013" s="54"/>
      <c r="J1013" s="54"/>
      <c r="K1013" s="54"/>
      <c r="L1013" s="54"/>
      <c r="M1013" s="54"/>
      <c r="N1013" s="54"/>
      <c r="O1013" s="54"/>
      <c r="P1013" s="54"/>
      <c r="Q1013" s="54"/>
      <c r="R1013" s="54"/>
      <c r="S1013" s="54"/>
      <c r="T1013" s="54"/>
      <c r="U1013" s="54"/>
      <c r="V1013" s="54"/>
      <c r="W1013" s="54"/>
      <c r="X1013" s="54"/>
      <c r="Y1013" s="54"/>
      <c r="Z1013" s="54"/>
      <c r="AF1013" s="70"/>
      <c r="AG1013" s="70"/>
      <c r="AH1013" s="70"/>
      <c r="AI1013" s="70"/>
      <c r="AJ1013" s="70"/>
      <c r="AK1013" s="70"/>
      <c r="AL1013" s="70"/>
    </row>
    <row r="1014" spans="1:58" ht="12.75" customHeight="1" x14ac:dyDescent="0.2">
      <c r="A1014" s="54"/>
      <c r="B1014" s="280" t="s">
        <v>538</v>
      </c>
      <c r="C1014" s="280"/>
      <c r="D1014" s="280"/>
      <c r="E1014" s="280"/>
      <c r="F1014" s="280"/>
      <c r="G1014" s="280" t="s">
        <v>726</v>
      </c>
      <c r="H1014" s="280"/>
      <c r="I1014" s="280"/>
      <c r="J1014" s="280"/>
      <c r="K1014" s="280"/>
      <c r="L1014" s="280" t="s">
        <v>727</v>
      </c>
      <c r="M1014" s="280"/>
      <c r="N1014" s="280"/>
      <c r="O1014" s="280"/>
      <c r="P1014" s="280"/>
      <c r="Q1014" s="322" t="s">
        <v>847</v>
      </c>
      <c r="R1014" s="280" t="s">
        <v>380</v>
      </c>
      <c r="S1014" s="280"/>
      <c r="T1014" s="280"/>
      <c r="U1014" s="280"/>
      <c r="V1014" s="280" t="s">
        <v>842</v>
      </c>
      <c r="W1014" s="280"/>
      <c r="X1014" s="280"/>
      <c r="Y1014" s="280"/>
      <c r="Z1014" s="280"/>
      <c r="AA1014" s="338" t="s">
        <v>730</v>
      </c>
      <c r="AB1014" s="338"/>
      <c r="AC1014" s="338"/>
      <c r="AD1014" s="338"/>
      <c r="AE1014" s="338"/>
      <c r="AF1014" s="338"/>
      <c r="AG1014" s="338"/>
      <c r="AH1014" s="338"/>
      <c r="AI1014" s="338"/>
      <c r="AK1014" s="61"/>
      <c r="AL1014" s="61"/>
      <c r="AM1014" s="61"/>
      <c r="AN1014" s="61"/>
      <c r="AO1014" s="61"/>
      <c r="AP1014" s="61"/>
      <c r="AQ1014" s="61"/>
      <c r="AR1014" s="61"/>
      <c r="AS1014" s="61"/>
      <c r="AT1014" s="61"/>
      <c r="AU1014" s="61"/>
      <c r="AV1014" s="61"/>
      <c r="AW1014" s="61"/>
      <c r="AX1014" s="61"/>
    </row>
    <row r="1015" spans="1:58" ht="13.5" customHeight="1" x14ac:dyDescent="0.2">
      <c r="A1015" s="54"/>
      <c r="B1015" s="316">
        <f>$Z$66</f>
        <v>25.4</v>
      </c>
      <c r="C1015" s="316"/>
      <c r="D1015" s="316"/>
      <c r="E1015" s="316"/>
      <c r="F1015" s="316"/>
      <c r="G1015" s="316">
        <f>$Z$108</f>
        <v>28.574999999999999</v>
      </c>
      <c r="H1015" s="316"/>
      <c r="I1015" s="316"/>
      <c r="J1015" s="316"/>
      <c r="K1015" s="316"/>
      <c r="L1015" s="318">
        <v>500</v>
      </c>
      <c r="M1015" s="318"/>
      <c r="N1015" s="318"/>
      <c r="O1015" s="318"/>
      <c r="P1015" s="318"/>
      <c r="Q1015" s="317">
        <v>12</v>
      </c>
      <c r="R1015" s="318"/>
      <c r="S1015" s="318"/>
      <c r="T1015" s="318"/>
      <c r="U1015" s="318"/>
      <c r="V1015" s="316">
        <f>$Z$68+$Z$91</f>
        <v>450</v>
      </c>
      <c r="W1015" s="316"/>
      <c r="X1015" s="316"/>
      <c r="Y1015" s="316"/>
      <c r="Z1015" s="316"/>
      <c r="AA1015" s="305" t="s">
        <v>729</v>
      </c>
      <c r="AB1015" s="305"/>
      <c r="AC1015" s="305"/>
      <c r="AD1015" s="305"/>
      <c r="AE1015" s="305"/>
      <c r="AF1015" s="305"/>
      <c r="AG1015" s="305"/>
      <c r="AH1015" s="305"/>
      <c r="AI1015" s="305"/>
      <c r="AK1015" s="61"/>
      <c r="AL1015" s="61"/>
      <c r="AM1015" s="61"/>
      <c r="AN1015" s="61"/>
      <c r="AO1015" s="61"/>
      <c r="AP1015" s="61"/>
      <c r="AQ1015" s="61"/>
      <c r="AR1015" s="61"/>
      <c r="AS1015" s="61"/>
      <c r="AT1015" s="61"/>
      <c r="AU1015" s="61"/>
      <c r="AV1015" s="61"/>
      <c r="AW1015" s="61"/>
      <c r="AX1015" s="61"/>
    </row>
    <row r="1016" spans="1:58" x14ac:dyDescent="0.2">
      <c r="A1016" s="54"/>
      <c r="B1016" s="54"/>
      <c r="C1016" s="54"/>
      <c r="D1016" s="54"/>
      <c r="E1016" s="54"/>
      <c r="F1016" s="54"/>
      <c r="L1016" s="54"/>
      <c r="M1016" s="54"/>
      <c r="N1016" s="54"/>
      <c r="O1016" s="54"/>
      <c r="P1016" s="54"/>
      <c r="Q1016" s="54"/>
      <c r="R1016" s="54"/>
      <c r="S1016" s="54"/>
      <c r="T1016" s="54"/>
      <c r="U1016" s="54"/>
      <c r="V1016" s="54"/>
      <c r="W1016" s="54"/>
      <c r="X1016" s="54"/>
      <c r="Y1016" s="54"/>
      <c r="Z1016" s="54"/>
      <c r="AF1016" s="70"/>
      <c r="AG1016" s="70"/>
      <c r="AH1016" s="70"/>
      <c r="AI1016" s="70"/>
      <c r="AJ1016" s="70"/>
      <c r="AK1016" s="61"/>
      <c r="AL1016" s="61"/>
      <c r="AM1016" s="61"/>
      <c r="AN1016" s="61"/>
      <c r="AO1016" s="61"/>
      <c r="AP1016" s="61"/>
      <c r="AQ1016" s="61"/>
      <c r="AR1016" s="61"/>
      <c r="AS1016" s="61"/>
      <c r="AT1016" s="61"/>
      <c r="AU1016" s="61"/>
      <c r="AV1016" s="61"/>
      <c r="AW1016" s="61"/>
      <c r="AX1016" s="61"/>
    </row>
    <row r="1017" spans="1:58" x14ac:dyDescent="0.2">
      <c r="A1017" s="54"/>
      <c r="B1017" s="54"/>
      <c r="C1017" s="54"/>
      <c r="D1017" s="325" t="s">
        <v>385</v>
      </c>
      <c r="E1017" s="325"/>
      <c r="F1017" s="325"/>
      <c r="G1017" s="325"/>
      <c r="H1017" s="325"/>
      <c r="I1017" s="325"/>
      <c r="J1017" s="325"/>
      <c r="K1017" s="325"/>
      <c r="L1017" s="325"/>
      <c r="M1017" s="325"/>
      <c r="N1017" s="325"/>
      <c r="O1017" s="325"/>
      <c r="P1017" s="325"/>
      <c r="Q1017" s="325"/>
      <c r="R1017" s="325"/>
      <c r="S1017" s="325"/>
      <c r="T1017" s="325"/>
      <c r="U1017" s="325"/>
      <c r="V1017" s="325"/>
      <c r="W1017" s="325"/>
      <c r="X1017" s="325"/>
      <c r="Y1017" s="325"/>
      <c r="Z1017" s="325"/>
      <c r="AA1017" s="325"/>
      <c r="AB1017" s="325"/>
      <c r="AC1017" s="325"/>
      <c r="AD1017" s="325"/>
      <c r="AE1017" s="325"/>
      <c r="AF1017" s="325"/>
      <c r="AG1017" s="325"/>
      <c r="AH1017" s="325"/>
      <c r="AI1017" s="325"/>
      <c r="AJ1017" s="325"/>
      <c r="AK1017" s="61"/>
      <c r="AL1017" s="61"/>
      <c r="AM1017" s="61"/>
      <c r="AN1017" s="61"/>
      <c r="AO1017" s="61"/>
      <c r="AP1017" s="61"/>
      <c r="AQ1017" s="61"/>
      <c r="AR1017" s="61"/>
      <c r="AS1017" s="61"/>
      <c r="AT1017" s="61"/>
      <c r="AU1017" s="61"/>
      <c r="AV1017" s="61"/>
      <c r="AW1017" s="61"/>
      <c r="AX1017" s="61"/>
    </row>
    <row r="1018" spans="1:58" x14ac:dyDescent="0.2">
      <c r="A1018" s="54"/>
      <c r="B1018" s="54"/>
      <c r="C1018" s="54"/>
      <c r="D1018" s="54"/>
      <c r="E1018" s="54"/>
      <c r="F1018" s="54"/>
      <c r="G1018" s="54"/>
      <c r="H1018" s="54"/>
      <c r="I1018" s="54"/>
      <c r="J1018" s="54"/>
      <c r="K1018" s="54"/>
      <c r="L1018" s="54"/>
      <c r="M1018" s="54"/>
      <c r="N1018" s="54"/>
      <c r="O1018" s="54"/>
      <c r="P1018" s="54"/>
      <c r="Q1018" s="54"/>
      <c r="R1018" s="54"/>
      <c r="S1018" s="54"/>
      <c r="T1018" s="54"/>
      <c r="U1018" s="54"/>
      <c r="V1018" s="54"/>
      <c r="W1018" s="54"/>
      <c r="X1018" s="54"/>
      <c r="Y1018" s="54"/>
      <c r="Z1018" s="54"/>
      <c r="AK1018" s="61"/>
      <c r="AL1018" s="61"/>
      <c r="AM1018" s="61"/>
      <c r="AN1018" s="61"/>
      <c r="AO1018" s="61"/>
      <c r="AP1018" s="61"/>
      <c r="AQ1018" s="61"/>
      <c r="AR1018" s="61"/>
      <c r="AS1018" s="61"/>
      <c r="AT1018" s="61"/>
      <c r="AU1018" s="61"/>
      <c r="AV1018" s="61"/>
      <c r="AW1018" s="61"/>
      <c r="AX1018" s="61"/>
    </row>
    <row r="1019" spans="1:58" ht="14.25" customHeight="1" x14ac:dyDescent="0.2">
      <c r="A1019" s="54"/>
      <c r="B1019" s="280" t="s">
        <v>728</v>
      </c>
      <c r="C1019" s="280"/>
      <c r="D1019" s="280"/>
      <c r="E1019" s="280"/>
      <c r="F1019" s="280"/>
      <c r="G1019" s="322" t="s">
        <v>732</v>
      </c>
      <c r="H1019" s="322"/>
      <c r="I1019" s="322"/>
      <c r="J1019" s="322"/>
      <c r="K1019" s="322"/>
      <c r="L1019" s="322"/>
      <c r="M1019" s="322"/>
      <c r="N1019" s="322"/>
      <c r="O1019" s="322"/>
      <c r="P1019" s="322"/>
      <c r="S1019" s="54"/>
      <c r="T1019" s="54"/>
      <c r="U1019" s="54"/>
      <c r="V1019" s="54"/>
      <c r="W1019" s="54"/>
      <c r="X1019" s="54"/>
      <c r="Y1019" s="54"/>
      <c r="Z1019" s="54"/>
      <c r="AA1019" s="54"/>
      <c r="AB1019" s="54"/>
      <c r="AC1019" s="54"/>
      <c r="AD1019" s="54"/>
      <c r="AE1019" s="54"/>
      <c r="AF1019" s="54"/>
      <c r="AG1019" s="54"/>
      <c r="AK1019" s="61"/>
      <c r="AL1019" s="61"/>
      <c r="AM1019" s="61"/>
      <c r="AN1019" s="61"/>
      <c r="AO1019" s="61"/>
      <c r="AP1019" s="61"/>
      <c r="AQ1019" s="61"/>
      <c r="AR1019" s="61"/>
      <c r="AS1019" s="61"/>
      <c r="AT1019" s="61"/>
      <c r="AU1019" s="61"/>
      <c r="AV1019" s="61"/>
      <c r="AW1019" s="61"/>
      <c r="AX1019" s="61"/>
    </row>
    <row r="1020" spans="1:58" x14ac:dyDescent="0.2">
      <c r="A1020" s="54"/>
      <c r="B1020" s="316">
        <f>IFERROR(IF($G$1015&lt;$AK$108,NA(),(($V$1015/10)*IFERROR(VLOOKUP($AM$1011,Table_Hilti_Anchor_Refs,5,FALSE),    (0.0004*($B$1015^2))+(0.1378*$B$1015)-0.6853    ))+((($G$1015^2)-($AK$108^2))*PI()*$V$1015/4)), ($G$1015^2)*PI()*$V$1015*2/12)</f>
        <v>51.096671999999984</v>
      </c>
      <c r="C1020" s="316"/>
      <c r="D1020" s="316"/>
      <c r="E1020" s="316"/>
      <c r="F1020" s="316"/>
      <c r="G1020" s="282">
        <f>IFERROR(VLOOKUP($B$1012,Table_Hilti_Anchor_Refs,4,FALSE)*MAX(1-(IF($AA$1015="Dispensador manual",$Q$1015/100,IF($AA$1015="Dispensador Inalámbrico",0.035,0.12))),0)/$B$1020,$L$1015*0.88/$B$1020)</f>
        <v>8.6111283333677804</v>
      </c>
      <c r="H1020" s="282"/>
      <c r="I1020" s="282"/>
      <c r="J1020" s="282"/>
      <c r="K1020" s="282"/>
      <c r="L1020" s="282"/>
      <c r="M1020" s="282"/>
      <c r="N1020" s="282"/>
      <c r="O1020" s="282"/>
      <c r="P1020" s="282"/>
      <c r="S1020" s="54"/>
      <c r="T1020" s="54"/>
      <c r="U1020" s="54"/>
      <c r="V1020" s="54"/>
      <c r="W1020" s="54"/>
      <c r="X1020" s="54"/>
      <c r="Y1020" s="54"/>
      <c r="Z1020" s="54"/>
      <c r="AA1020" s="54"/>
      <c r="AB1020" s="54"/>
      <c r="AC1020" s="54"/>
      <c r="AD1020" s="54"/>
      <c r="AE1020" s="54"/>
      <c r="AF1020" s="54"/>
      <c r="AG1020" s="54"/>
      <c r="AK1020" s="61"/>
      <c r="AL1020" s="61"/>
      <c r="AM1020" s="61"/>
      <c r="AN1020" s="61"/>
      <c r="AO1020" s="61"/>
      <c r="AP1020" s="61"/>
      <c r="AQ1020" s="61"/>
      <c r="AR1020" s="61"/>
      <c r="AS1020" s="61"/>
      <c r="AT1020" s="61"/>
      <c r="AU1020" s="61"/>
      <c r="AV1020" s="61"/>
      <c r="AW1020" s="61"/>
      <c r="AX1020" s="61"/>
    </row>
    <row r="1021" spans="1:58" x14ac:dyDescent="0.2">
      <c r="A1021" s="54"/>
      <c r="B1021" s="54"/>
      <c r="C1021" s="54"/>
      <c r="D1021" s="54"/>
      <c r="E1021" s="54"/>
      <c r="F1021" s="54"/>
      <c r="G1021" s="54"/>
      <c r="H1021" s="54"/>
      <c r="I1021" s="54"/>
      <c r="J1021" s="54"/>
      <c r="K1021" s="54"/>
      <c r="L1021" s="54"/>
      <c r="M1021" s="54"/>
      <c r="N1021" s="54"/>
      <c r="O1021" s="54"/>
      <c r="P1021" s="54"/>
      <c r="Q1021" s="54"/>
      <c r="R1021" s="54"/>
      <c r="S1021" s="54"/>
      <c r="T1021" s="54"/>
      <c r="U1021" s="54"/>
      <c r="V1021" s="54"/>
      <c r="W1021" s="54"/>
      <c r="X1021" s="54"/>
      <c r="Y1021" s="54"/>
      <c r="Z1021" s="54"/>
      <c r="AA1021" s="54"/>
      <c r="AB1021" s="54"/>
      <c r="AC1021" s="54"/>
      <c r="AD1021" s="54"/>
      <c r="AE1021" s="54"/>
      <c r="AF1021" s="54"/>
      <c r="AG1021" s="54"/>
      <c r="AH1021" s="54"/>
      <c r="AI1021" s="54"/>
      <c r="AJ1021" s="54"/>
      <c r="AK1021" s="61"/>
      <c r="AL1021" s="61"/>
      <c r="AM1021" s="61"/>
      <c r="AN1021" s="61"/>
      <c r="AO1021" s="61"/>
      <c r="AP1021" s="61"/>
      <c r="AQ1021" s="61"/>
      <c r="AR1021" s="61"/>
      <c r="AS1021" s="61"/>
      <c r="AT1021" s="61"/>
      <c r="AU1021" s="61"/>
      <c r="AV1021" s="61"/>
      <c r="AW1021" s="61"/>
      <c r="AX1021" s="61"/>
    </row>
    <row r="1022" spans="1:58" ht="12.75" customHeight="1" x14ac:dyDescent="0.2">
      <c r="A1022" s="54"/>
      <c r="B1022" s="54"/>
      <c r="C1022" s="54"/>
      <c r="D1022" s="325" t="s">
        <v>386</v>
      </c>
      <c r="E1022" s="325"/>
      <c r="F1022" s="325"/>
      <c r="G1022" s="325"/>
      <c r="H1022" s="325"/>
      <c r="I1022" s="325"/>
      <c r="J1022" s="325"/>
      <c r="K1022" s="325"/>
      <c r="L1022" s="325"/>
      <c r="M1022" s="325"/>
      <c r="N1022" s="325"/>
      <c r="O1022" s="325"/>
      <c r="P1022" s="325"/>
      <c r="Q1022" s="325"/>
      <c r="R1022" s="325"/>
      <c r="S1022" s="325"/>
      <c r="T1022" s="325"/>
      <c r="U1022" s="325"/>
      <c r="V1022" s="325"/>
      <c r="W1022" s="325"/>
      <c r="X1022" s="325"/>
      <c r="Y1022" s="325"/>
      <c r="Z1022" s="325"/>
      <c r="AA1022" s="325"/>
      <c r="AB1022" s="325"/>
      <c r="AC1022" s="325"/>
      <c r="AD1022" s="325"/>
      <c r="AE1022" s="325"/>
      <c r="AF1022" s="325"/>
      <c r="AG1022" s="325"/>
      <c r="AH1022" s="325"/>
      <c r="AI1022" s="325"/>
      <c r="AJ1022" s="325"/>
      <c r="AK1022" s="61"/>
      <c r="AL1022" s="61"/>
      <c r="AM1022" s="61"/>
      <c r="AN1022" s="61"/>
      <c r="AO1022" s="61"/>
      <c r="AP1022" s="61"/>
      <c r="AQ1022" s="61"/>
      <c r="AR1022" s="61"/>
      <c r="AS1022" s="61"/>
      <c r="AT1022" s="61"/>
      <c r="AU1022" s="61"/>
      <c r="AV1022" s="61"/>
      <c r="AW1022" s="61"/>
      <c r="AX1022" s="61"/>
    </row>
    <row r="1023" spans="1:58" ht="13.5" customHeight="1" x14ac:dyDescent="0.2">
      <c r="A1023" s="54"/>
      <c r="B1023" s="54"/>
      <c r="C1023" s="54"/>
      <c r="D1023" s="54"/>
      <c r="E1023" s="54"/>
      <c r="F1023" s="54"/>
      <c r="G1023" s="54"/>
      <c r="H1023" s="54"/>
      <c r="I1023" s="54"/>
      <c r="J1023" s="54"/>
      <c r="K1023" s="54"/>
      <c r="L1023" s="54"/>
      <c r="M1023" s="54"/>
      <c r="N1023" s="54"/>
      <c r="O1023" s="54"/>
      <c r="P1023" s="54"/>
      <c r="Q1023" s="54"/>
      <c r="R1023" s="54"/>
      <c r="S1023" s="54"/>
      <c r="T1023" s="54"/>
      <c r="U1023" s="54"/>
      <c r="V1023" s="54"/>
      <c r="W1023" s="54"/>
      <c r="X1023" s="54"/>
      <c r="Y1023" s="54"/>
      <c r="Z1023" s="54"/>
      <c r="AK1023" s="61"/>
      <c r="AL1023" s="61"/>
      <c r="AM1023" s="61"/>
      <c r="AN1023" s="61"/>
      <c r="AO1023" s="61"/>
      <c r="AP1023" s="61"/>
      <c r="AQ1023" s="61"/>
      <c r="AR1023" s="61"/>
      <c r="AS1023" s="61"/>
      <c r="AT1023" s="61"/>
      <c r="AU1023" s="61"/>
      <c r="AV1023" s="61"/>
      <c r="AW1023" s="61"/>
      <c r="AX1023" s="61"/>
    </row>
    <row r="1024" spans="1:58" ht="14.25" customHeight="1" x14ac:dyDescent="0.2">
      <c r="A1024" s="54"/>
      <c r="B1024" s="280" t="s">
        <v>731</v>
      </c>
      <c r="C1024" s="280"/>
      <c r="D1024" s="280"/>
      <c r="E1024" s="280"/>
      <c r="F1024" s="280"/>
      <c r="G1024" s="280"/>
      <c r="H1024" s="280"/>
      <c r="I1024" s="54"/>
      <c r="J1024" s="54"/>
      <c r="K1024" s="54"/>
      <c r="L1024" s="54"/>
      <c r="M1024" s="54"/>
      <c r="N1024" s="54"/>
      <c r="O1024" s="54"/>
      <c r="P1024" s="54"/>
      <c r="Q1024" s="54"/>
      <c r="R1024" s="54"/>
      <c r="S1024" s="54"/>
      <c r="T1024" s="54"/>
      <c r="U1024" s="54"/>
      <c r="V1024" s="54"/>
      <c r="W1024" s="54"/>
      <c r="X1024" s="54"/>
      <c r="Y1024" s="54"/>
      <c r="Z1024" s="54"/>
      <c r="AA1024" s="54"/>
      <c r="AB1024" s="54"/>
      <c r="AC1024" s="54"/>
      <c r="AD1024" s="54"/>
      <c r="AE1024" s="54"/>
      <c r="AF1024" s="54"/>
      <c r="AG1024" s="54"/>
      <c r="AH1024" s="54"/>
      <c r="AI1024" s="54"/>
      <c r="AJ1024" s="54"/>
      <c r="AK1024" s="61"/>
      <c r="AL1024" s="61"/>
      <c r="AM1024" s="61"/>
      <c r="AN1024" s="61"/>
      <c r="AO1024" s="61"/>
      <c r="AP1024" s="61"/>
      <c r="AQ1024" s="61"/>
      <c r="AR1024" s="61"/>
      <c r="AS1024" s="61"/>
      <c r="AT1024" s="61"/>
      <c r="AU1024" s="61"/>
      <c r="AV1024" s="61"/>
      <c r="AW1024" s="61"/>
      <c r="AX1024" s="61"/>
    </row>
    <row r="1025" spans="1:126" x14ac:dyDescent="0.2">
      <c r="A1025" s="54"/>
      <c r="B1025" s="316">
        <f>IFERROR(ROUNDUP($O$60/$G$1020,0),0)</f>
        <v>0</v>
      </c>
      <c r="C1025" s="316"/>
      <c r="D1025" s="316"/>
      <c r="E1025" s="316"/>
      <c r="F1025" s="316"/>
      <c r="G1025" s="316"/>
      <c r="H1025" s="316"/>
      <c r="I1025" s="54"/>
      <c r="J1025" s="54"/>
      <c r="K1025" s="54"/>
      <c r="L1025" s="54"/>
      <c r="M1025" s="54"/>
      <c r="N1025" s="54"/>
      <c r="O1025" s="54"/>
      <c r="P1025" s="54"/>
      <c r="Q1025" s="54"/>
      <c r="R1025" s="54"/>
      <c r="S1025" s="54"/>
      <c r="T1025" s="54"/>
      <c r="U1025" s="54"/>
      <c r="V1025" s="54"/>
      <c r="W1025" s="54"/>
      <c r="X1025" s="54"/>
      <c r="Y1025" s="54"/>
      <c r="Z1025" s="54"/>
      <c r="AA1025" s="54"/>
      <c r="AB1025" s="54"/>
      <c r="AC1025" s="54"/>
      <c r="AD1025" s="54"/>
      <c r="AE1025" s="54"/>
      <c r="AF1025" s="54"/>
      <c r="AG1025" s="54"/>
      <c r="AH1025" s="54"/>
      <c r="AI1025" s="54"/>
      <c r="AJ1025" s="54"/>
      <c r="AK1025" s="61"/>
      <c r="AL1025" s="61"/>
      <c r="AM1025" s="61"/>
      <c r="AN1025" s="61"/>
      <c r="AO1025" s="61"/>
      <c r="AP1025" s="61"/>
      <c r="AQ1025" s="61"/>
      <c r="AR1025" s="61"/>
      <c r="AS1025" s="61"/>
      <c r="AT1025" s="61"/>
      <c r="AU1025" s="61"/>
      <c r="AV1025" s="61"/>
      <c r="AW1025" s="61"/>
      <c r="AX1025" s="61"/>
    </row>
    <row r="1026" spans="1:126" x14ac:dyDescent="0.2">
      <c r="A1026" s="54"/>
      <c r="B1026" s="54"/>
      <c r="C1026" s="54"/>
      <c r="D1026" s="54"/>
      <c r="E1026" s="54"/>
      <c r="F1026" s="54"/>
      <c r="G1026" s="54"/>
      <c r="H1026" s="54"/>
      <c r="I1026" s="54"/>
      <c r="J1026" s="54"/>
      <c r="K1026" s="54"/>
      <c r="L1026" s="54"/>
      <c r="M1026" s="54"/>
      <c r="N1026" s="54"/>
      <c r="O1026" s="54"/>
      <c r="P1026" s="54"/>
      <c r="Q1026" s="54"/>
      <c r="R1026" s="54"/>
      <c r="S1026" s="54"/>
      <c r="T1026" s="54"/>
      <c r="U1026" s="54"/>
      <c r="V1026" s="54"/>
      <c r="W1026" s="54"/>
      <c r="X1026" s="54"/>
      <c r="Y1026" s="54"/>
      <c r="Z1026" s="54"/>
      <c r="AA1026" s="54"/>
      <c r="AB1026" s="54"/>
      <c r="AC1026" s="54"/>
      <c r="AD1026" s="54"/>
      <c r="AE1026" s="54"/>
      <c r="AF1026" s="54"/>
      <c r="AG1026" s="54"/>
      <c r="AH1026" s="54"/>
      <c r="AI1026" s="54"/>
      <c r="AJ1026" s="54"/>
      <c r="AK1026" s="54"/>
    </row>
    <row r="1027" spans="1:126" ht="12.75" x14ac:dyDescent="0.2">
      <c r="A1027" s="54"/>
      <c r="B1027" s="54"/>
      <c r="C1027" s="54"/>
      <c r="D1027" s="54"/>
      <c r="E1027" s="54"/>
      <c r="F1027" s="54"/>
      <c r="G1027" s="54"/>
      <c r="H1027" s="54"/>
      <c r="I1027" s="54"/>
      <c r="J1027" s="54"/>
      <c r="K1027" s="54"/>
      <c r="L1027" s="54"/>
      <c r="M1027" s="54"/>
      <c r="N1027" s="54"/>
      <c r="O1027" s="54"/>
      <c r="P1027" s="54"/>
      <c r="Q1027" s="54"/>
      <c r="R1027" s="54"/>
      <c r="S1027" s="54"/>
      <c r="T1027" s="54"/>
      <c r="U1027" s="54"/>
      <c r="V1027" s="54"/>
      <c r="W1027" s="54"/>
      <c r="X1027" s="54"/>
      <c r="Y1027" s="54"/>
      <c r="Z1027" s="54"/>
      <c r="AY1027" s="55"/>
      <c r="AZ1027" s="55"/>
      <c r="BA1027" s="55"/>
      <c r="BB1027" s="55"/>
      <c r="BC1027" s="55"/>
      <c r="BD1027" s="55"/>
      <c r="BE1027" s="55"/>
      <c r="BF1027" s="55"/>
      <c r="BG1027" s="55"/>
      <c r="BH1027" s="55"/>
      <c r="BI1027" s="55"/>
      <c r="BJ1027" s="55"/>
      <c r="BK1027" s="55"/>
      <c r="BL1027" s="55"/>
      <c r="BM1027" s="55"/>
      <c r="BN1027" s="55"/>
      <c r="BO1027" s="55"/>
      <c r="BP1027" s="55"/>
      <c r="BQ1027" s="55"/>
      <c r="BR1027" s="55"/>
      <c r="BS1027" s="55"/>
      <c r="BT1027" s="55"/>
      <c r="BU1027" s="55"/>
      <c r="BV1027" s="55"/>
      <c r="BW1027" s="55"/>
      <c r="BX1027" s="55"/>
      <c r="BY1027" s="55"/>
      <c r="BZ1027" s="55"/>
      <c r="CI1027" s="55"/>
      <c r="CJ1027" s="55"/>
      <c r="CK1027" s="55"/>
      <c r="CL1027" s="55"/>
      <c r="CM1027" s="55"/>
      <c r="CN1027" s="55"/>
      <c r="CO1027" s="55"/>
      <c r="CP1027" s="55"/>
      <c r="CQ1027" s="55"/>
      <c r="DJ1027" s="55"/>
      <c r="DK1027" s="55"/>
      <c r="DL1027" s="55"/>
      <c r="DM1027" s="55"/>
      <c r="DN1027" s="55"/>
      <c r="DO1027" s="55"/>
      <c r="DP1027" s="55"/>
      <c r="DQ1027" s="55"/>
      <c r="DR1027" s="55"/>
      <c r="DS1027" s="55"/>
      <c r="DT1027" s="55"/>
      <c r="DU1027" s="55"/>
      <c r="DV1027" s="55"/>
    </row>
    <row r="1028" spans="1:126" ht="12.75" x14ac:dyDescent="0.2">
      <c r="A1028" s="54"/>
      <c r="B1028" s="54"/>
      <c r="C1028" s="287" t="s">
        <v>868</v>
      </c>
      <c r="D1028" s="288"/>
      <c r="E1028" s="288"/>
      <c r="F1028" s="288"/>
      <c r="G1028" s="288"/>
      <c r="H1028" s="288"/>
      <c r="I1028" s="288"/>
      <c r="J1028" s="288"/>
      <c r="K1028" s="288"/>
      <c r="L1028" s="288"/>
      <c r="M1028" s="288"/>
      <c r="N1028" s="288"/>
      <c r="O1028" s="288"/>
      <c r="P1028" s="288"/>
      <c r="Q1028" s="288"/>
      <c r="R1028" s="288"/>
      <c r="S1028" s="288"/>
      <c r="T1028" s="288"/>
      <c r="U1028" s="288"/>
      <c r="V1028" s="288"/>
      <c r="W1028" s="288"/>
      <c r="X1028" s="288"/>
      <c r="Y1028" s="288"/>
      <c r="Z1028" s="288"/>
      <c r="AA1028" s="288"/>
      <c r="AB1028" s="288"/>
      <c r="AC1028" s="288"/>
      <c r="AD1028" s="288"/>
      <c r="AE1028" s="288"/>
      <c r="AF1028" s="288"/>
      <c r="AG1028" s="288"/>
      <c r="AH1028" s="288"/>
      <c r="AI1028" s="288"/>
      <c r="AJ1028" s="288"/>
      <c r="AK1028" s="179"/>
      <c r="AL1028" s="87" t="s">
        <v>652</v>
      </c>
      <c r="AM1028" s="88" t="s">
        <v>708</v>
      </c>
      <c r="AY1028" s="55"/>
      <c r="AZ1028" s="55"/>
      <c r="BA1028" s="55"/>
      <c r="BB1028" s="55"/>
      <c r="BC1028" s="55"/>
      <c r="BD1028" s="55"/>
      <c r="BE1028" s="55"/>
      <c r="BF1028" s="55"/>
      <c r="BG1028" s="55"/>
      <c r="BH1028" s="55"/>
      <c r="BI1028" s="55"/>
      <c r="BJ1028" s="55"/>
      <c r="BK1028" s="55"/>
      <c r="BL1028" s="55"/>
      <c r="BM1028" s="55"/>
      <c r="BN1028" s="55"/>
      <c r="BO1028" s="55"/>
      <c r="BP1028" s="55"/>
      <c r="BQ1028" s="55"/>
      <c r="BR1028" s="55"/>
      <c r="BS1028" s="55"/>
      <c r="BT1028" s="55"/>
      <c r="BU1028" s="55"/>
      <c r="BV1028" s="55"/>
      <c r="BW1028" s="55"/>
      <c r="BX1028" s="55"/>
      <c r="BY1028" s="55"/>
      <c r="BZ1028" s="55"/>
      <c r="CI1028" s="55"/>
      <c r="CJ1028" s="55"/>
      <c r="CK1028" s="55"/>
      <c r="CL1028" s="55"/>
      <c r="CM1028" s="55"/>
      <c r="CN1028" s="55"/>
      <c r="CO1028" s="55"/>
      <c r="CP1028" s="55"/>
      <c r="CQ1028" s="55"/>
      <c r="DJ1028" s="55"/>
      <c r="DK1028" s="55"/>
      <c r="DL1028" s="55"/>
      <c r="DM1028" s="55"/>
      <c r="DN1028" s="55"/>
      <c r="DO1028" s="55"/>
      <c r="DP1028" s="55"/>
      <c r="DQ1028" s="55"/>
      <c r="DR1028" s="55"/>
      <c r="DS1028" s="55"/>
      <c r="DT1028" s="55"/>
      <c r="DU1028" s="55"/>
      <c r="DV1028" s="55"/>
    </row>
    <row r="1029" spans="1:126" ht="12.75" x14ac:dyDescent="0.2">
      <c r="A1029" s="54"/>
      <c r="B1029" s="54"/>
      <c r="C1029" s="288"/>
      <c r="D1029" s="288"/>
      <c r="E1029" s="288"/>
      <c r="F1029" s="288"/>
      <c r="G1029" s="288"/>
      <c r="H1029" s="288"/>
      <c r="I1029" s="288"/>
      <c r="J1029" s="288"/>
      <c r="K1029" s="288"/>
      <c r="L1029" s="288"/>
      <c r="M1029" s="288"/>
      <c r="N1029" s="288"/>
      <c r="O1029" s="288"/>
      <c r="P1029" s="288"/>
      <c r="Q1029" s="288"/>
      <c r="R1029" s="288"/>
      <c r="S1029" s="288"/>
      <c r="T1029" s="288"/>
      <c r="U1029" s="288"/>
      <c r="V1029" s="288"/>
      <c r="W1029" s="288"/>
      <c r="X1029" s="288"/>
      <c r="Y1029" s="288"/>
      <c r="Z1029" s="288"/>
      <c r="AA1029" s="288"/>
      <c r="AB1029" s="288"/>
      <c r="AC1029" s="288"/>
      <c r="AD1029" s="288"/>
      <c r="AE1029" s="288"/>
      <c r="AF1029" s="288"/>
      <c r="AG1029" s="288"/>
      <c r="AH1029" s="288"/>
      <c r="AI1029" s="288"/>
      <c r="AJ1029" s="288"/>
      <c r="AK1029" s="179"/>
      <c r="AY1029" s="55"/>
      <c r="AZ1029" s="55"/>
      <c r="BA1029" s="55"/>
      <c r="BB1029" s="55"/>
      <c r="BC1029" s="55"/>
      <c r="BD1029" s="55"/>
      <c r="BE1029" s="55"/>
      <c r="BF1029" s="55"/>
      <c r="BG1029" s="55"/>
      <c r="BH1029" s="55"/>
      <c r="BI1029" s="55"/>
      <c r="BJ1029" s="55"/>
      <c r="BK1029" s="55"/>
      <c r="BL1029" s="55"/>
      <c r="BM1029" s="55"/>
      <c r="BN1029" s="55"/>
      <c r="BO1029" s="55"/>
      <c r="BP1029" s="55"/>
      <c r="BQ1029" s="55"/>
      <c r="BR1029" s="55"/>
      <c r="BS1029" s="55"/>
      <c r="BT1029" s="55"/>
      <c r="BU1029" s="55"/>
      <c r="BV1029" s="55"/>
      <c r="BW1029" s="55"/>
      <c r="BX1029" s="55"/>
      <c r="BY1029" s="55"/>
      <c r="BZ1029" s="55"/>
      <c r="CI1029" s="55"/>
      <c r="CJ1029" s="55"/>
      <c r="CK1029" s="55"/>
      <c r="CL1029" s="55"/>
      <c r="CM1029" s="55"/>
      <c r="CN1029" s="55"/>
      <c r="CO1029" s="55"/>
      <c r="CP1029" s="55"/>
      <c r="CQ1029" s="55"/>
      <c r="DJ1029" s="55"/>
      <c r="DK1029" s="55"/>
      <c r="DL1029" s="55"/>
      <c r="DM1029" s="55"/>
      <c r="DN1029" s="55"/>
      <c r="DO1029" s="55"/>
      <c r="DP1029" s="55"/>
      <c r="DQ1029" s="55"/>
      <c r="DR1029" s="55"/>
      <c r="DS1029" s="55"/>
      <c r="DT1029" s="55"/>
      <c r="DU1029" s="55"/>
      <c r="DV1029" s="55"/>
    </row>
    <row r="1030" spans="1:126" ht="12.75" x14ac:dyDescent="0.2">
      <c r="A1030" s="54"/>
      <c r="B1030" s="54"/>
      <c r="C1030" s="288"/>
      <c r="D1030" s="288"/>
      <c r="E1030" s="288"/>
      <c r="F1030" s="288"/>
      <c r="G1030" s="288"/>
      <c r="H1030" s="288"/>
      <c r="I1030" s="288"/>
      <c r="J1030" s="288"/>
      <c r="K1030" s="288"/>
      <c r="L1030" s="288"/>
      <c r="M1030" s="288"/>
      <c r="N1030" s="288"/>
      <c r="O1030" s="288"/>
      <c r="P1030" s="288"/>
      <c r="Q1030" s="288"/>
      <c r="R1030" s="288"/>
      <c r="S1030" s="288"/>
      <c r="T1030" s="288"/>
      <c r="U1030" s="288"/>
      <c r="V1030" s="288"/>
      <c r="W1030" s="288"/>
      <c r="X1030" s="288"/>
      <c r="Y1030" s="288"/>
      <c r="Z1030" s="288"/>
      <c r="AA1030" s="288"/>
      <c r="AB1030" s="288"/>
      <c r="AC1030" s="288"/>
      <c r="AD1030" s="288"/>
      <c r="AE1030" s="288"/>
      <c r="AF1030" s="288"/>
      <c r="AG1030" s="288"/>
      <c r="AH1030" s="288"/>
      <c r="AI1030" s="288"/>
      <c r="AJ1030" s="288"/>
      <c r="AK1030" s="179"/>
      <c r="AY1030" s="55"/>
      <c r="AZ1030" s="55"/>
      <c r="BA1030" s="55"/>
      <c r="BB1030" s="55"/>
      <c r="BC1030" s="55"/>
      <c r="BD1030" s="55"/>
      <c r="BE1030" s="55"/>
      <c r="BF1030" s="55"/>
      <c r="BG1030" s="55"/>
      <c r="BH1030" s="55"/>
      <c r="BI1030" s="55"/>
      <c r="BJ1030" s="55"/>
      <c r="BK1030" s="55"/>
      <c r="BL1030" s="55"/>
      <c r="BM1030" s="55"/>
      <c r="BN1030" s="55"/>
      <c r="BO1030" s="55"/>
      <c r="BP1030" s="55"/>
      <c r="BQ1030" s="55"/>
      <c r="BR1030" s="55"/>
      <c r="BS1030" s="55"/>
      <c r="BT1030" s="55"/>
      <c r="BU1030" s="55"/>
      <c r="BV1030" s="55"/>
      <c r="BW1030" s="55"/>
      <c r="BX1030" s="55"/>
      <c r="BY1030" s="55"/>
      <c r="BZ1030" s="55"/>
      <c r="CI1030" s="55"/>
      <c r="CJ1030" s="55"/>
      <c r="CK1030" s="55"/>
      <c r="CL1030" s="55"/>
      <c r="CM1030" s="55"/>
      <c r="CN1030" s="55"/>
      <c r="CO1030" s="55"/>
      <c r="CP1030" s="55"/>
      <c r="CQ1030" s="55"/>
      <c r="DJ1030" s="55"/>
      <c r="DK1030" s="55"/>
      <c r="DL1030" s="55"/>
      <c r="DM1030" s="55"/>
      <c r="DN1030" s="55"/>
      <c r="DO1030" s="55"/>
      <c r="DP1030" s="55"/>
      <c r="DQ1030" s="55"/>
      <c r="DR1030" s="55"/>
      <c r="DS1030" s="55"/>
      <c r="DT1030" s="55"/>
      <c r="DU1030" s="55"/>
      <c r="DV1030" s="55"/>
    </row>
    <row r="1031" spans="1:126" ht="12.75" x14ac:dyDescent="0.2">
      <c r="A1031" s="54"/>
      <c r="B1031" s="54"/>
      <c r="C1031" s="288"/>
      <c r="D1031" s="288"/>
      <c r="E1031" s="288"/>
      <c r="F1031" s="288"/>
      <c r="G1031" s="288"/>
      <c r="H1031" s="288"/>
      <c r="I1031" s="288"/>
      <c r="J1031" s="288"/>
      <c r="K1031" s="288"/>
      <c r="L1031" s="288"/>
      <c r="M1031" s="288"/>
      <c r="N1031" s="288"/>
      <c r="O1031" s="288"/>
      <c r="P1031" s="288"/>
      <c r="Q1031" s="288"/>
      <c r="R1031" s="288"/>
      <c r="S1031" s="288"/>
      <c r="T1031" s="288"/>
      <c r="U1031" s="288"/>
      <c r="V1031" s="288"/>
      <c r="W1031" s="288"/>
      <c r="X1031" s="288"/>
      <c r="Y1031" s="288"/>
      <c r="Z1031" s="288"/>
      <c r="AA1031" s="288"/>
      <c r="AB1031" s="288"/>
      <c r="AC1031" s="288"/>
      <c r="AD1031" s="288"/>
      <c r="AE1031" s="288"/>
      <c r="AF1031" s="288"/>
      <c r="AG1031" s="288"/>
      <c r="AH1031" s="288"/>
      <c r="AI1031" s="288"/>
      <c r="AJ1031" s="288"/>
      <c r="AK1031" s="179"/>
      <c r="AY1031" s="55"/>
      <c r="AZ1031" s="55"/>
      <c r="BA1031" s="55"/>
      <c r="BB1031" s="55"/>
      <c r="BC1031" s="55"/>
      <c r="BD1031" s="55"/>
      <c r="BE1031" s="55"/>
      <c r="BF1031" s="55"/>
      <c r="BG1031" s="55"/>
      <c r="BH1031" s="55"/>
      <c r="BI1031" s="55"/>
      <c r="BJ1031" s="55"/>
      <c r="BK1031" s="55"/>
      <c r="BL1031" s="55"/>
      <c r="BM1031" s="55"/>
      <c r="BN1031" s="55"/>
      <c r="BO1031" s="55"/>
      <c r="BP1031" s="55"/>
      <c r="BQ1031" s="55"/>
      <c r="BR1031" s="55"/>
      <c r="BS1031" s="55"/>
      <c r="BT1031" s="55"/>
      <c r="BU1031" s="55"/>
      <c r="BV1031" s="55"/>
      <c r="BW1031" s="55"/>
      <c r="BX1031" s="55"/>
      <c r="BY1031" s="55"/>
      <c r="BZ1031" s="55"/>
      <c r="CI1031" s="55"/>
      <c r="CJ1031" s="55"/>
      <c r="CK1031" s="55"/>
      <c r="CL1031" s="55"/>
      <c r="CM1031" s="55"/>
      <c r="CN1031" s="55"/>
      <c r="CO1031" s="55"/>
      <c r="CP1031" s="55"/>
      <c r="CQ1031" s="55"/>
      <c r="DJ1031" s="55"/>
      <c r="DK1031" s="55"/>
      <c r="DL1031" s="55"/>
      <c r="DM1031" s="55"/>
      <c r="DN1031" s="55"/>
      <c r="DO1031" s="55"/>
      <c r="DP1031" s="55"/>
      <c r="DQ1031" s="55"/>
      <c r="DR1031" s="55"/>
      <c r="DS1031" s="55"/>
      <c r="DT1031" s="55"/>
      <c r="DU1031" s="55"/>
      <c r="DV1031" s="55"/>
    </row>
    <row r="1032" spans="1:126" ht="12.75" x14ac:dyDescent="0.2">
      <c r="A1032" s="54"/>
      <c r="B1032" s="54"/>
      <c r="C1032" s="288"/>
      <c r="D1032" s="288"/>
      <c r="E1032" s="288"/>
      <c r="F1032" s="288"/>
      <c r="G1032" s="288"/>
      <c r="H1032" s="288"/>
      <c r="I1032" s="288"/>
      <c r="J1032" s="288"/>
      <c r="K1032" s="288"/>
      <c r="L1032" s="288"/>
      <c r="M1032" s="288"/>
      <c r="N1032" s="288"/>
      <c r="O1032" s="288"/>
      <c r="P1032" s="288"/>
      <c r="Q1032" s="288"/>
      <c r="R1032" s="288"/>
      <c r="S1032" s="288"/>
      <c r="T1032" s="288"/>
      <c r="U1032" s="288"/>
      <c r="V1032" s="288"/>
      <c r="W1032" s="288"/>
      <c r="X1032" s="288"/>
      <c r="Y1032" s="288"/>
      <c r="Z1032" s="288"/>
      <c r="AA1032" s="288"/>
      <c r="AB1032" s="288"/>
      <c r="AC1032" s="288"/>
      <c r="AD1032" s="288"/>
      <c r="AE1032" s="288"/>
      <c r="AF1032" s="288"/>
      <c r="AG1032" s="288"/>
      <c r="AH1032" s="288"/>
      <c r="AI1032" s="288"/>
      <c r="AJ1032" s="288"/>
      <c r="AK1032" s="179"/>
      <c r="AY1032" s="55"/>
      <c r="AZ1032" s="55"/>
      <c r="BA1032" s="55"/>
      <c r="BB1032" s="55"/>
      <c r="BC1032" s="55"/>
      <c r="BD1032" s="55"/>
      <c r="BE1032" s="55"/>
      <c r="BF1032" s="55"/>
      <c r="BG1032" s="55"/>
      <c r="BH1032" s="55"/>
      <c r="BI1032" s="55"/>
      <c r="BJ1032" s="55"/>
      <c r="BK1032" s="55"/>
      <c r="BL1032" s="55"/>
      <c r="BM1032" s="55"/>
      <c r="BN1032" s="55"/>
      <c r="BO1032" s="55"/>
      <c r="BP1032" s="55"/>
      <c r="BQ1032" s="55"/>
      <c r="BR1032" s="55"/>
      <c r="BS1032" s="55"/>
      <c r="BT1032" s="55"/>
      <c r="BU1032" s="55"/>
      <c r="BV1032" s="55"/>
      <c r="BW1032" s="55"/>
      <c r="BX1032" s="55"/>
      <c r="BY1032" s="55"/>
      <c r="BZ1032" s="55"/>
      <c r="CI1032" s="55"/>
      <c r="CJ1032" s="55"/>
      <c r="CK1032" s="55"/>
      <c r="CL1032" s="55"/>
      <c r="CM1032" s="55"/>
      <c r="CN1032" s="55"/>
      <c r="CO1032" s="55"/>
      <c r="CP1032" s="55"/>
      <c r="CQ1032" s="55"/>
      <c r="DJ1032" s="55"/>
      <c r="DK1032" s="55"/>
      <c r="DL1032" s="55"/>
      <c r="DM1032" s="55"/>
      <c r="DN1032" s="55"/>
      <c r="DO1032" s="55"/>
      <c r="DP1032" s="55"/>
      <c r="DQ1032" s="55"/>
      <c r="DR1032" s="55"/>
      <c r="DS1032" s="55"/>
      <c r="DT1032" s="55"/>
      <c r="DU1032" s="55"/>
      <c r="DV1032" s="55"/>
    </row>
    <row r="1033" spans="1:126" ht="12.75" x14ac:dyDescent="0.2">
      <c r="A1033" s="54"/>
      <c r="B1033" s="54"/>
      <c r="C1033" s="288"/>
      <c r="D1033" s="288"/>
      <c r="E1033" s="288"/>
      <c r="F1033" s="288"/>
      <c r="G1033" s="288"/>
      <c r="H1033" s="288"/>
      <c r="I1033" s="288"/>
      <c r="J1033" s="288"/>
      <c r="K1033" s="288"/>
      <c r="L1033" s="288"/>
      <c r="M1033" s="288"/>
      <c r="N1033" s="288"/>
      <c r="O1033" s="288"/>
      <c r="P1033" s="288"/>
      <c r="Q1033" s="288"/>
      <c r="R1033" s="288"/>
      <c r="S1033" s="288"/>
      <c r="T1033" s="288"/>
      <c r="U1033" s="288"/>
      <c r="V1033" s="288"/>
      <c r="W1033" s="288"/>
      <c r="X1033" s="288"/>
      <c r="Y1033" s="288"/>
      <c r="Z1033" s="288"/>
      <c r="AA1033" s="288"/>
      <c r="AB1033" s="288"/>
      <c r="AC1033" s="288"/>
      <c r="AD1033" s="288"/>
      <c r="AE1033" s="288"/>
      <c r="AF1033" s="288"/>
      <c r="AG1033" s="288"/>
      <c r="AH1033" s="288"/>
      <c r="AI1033" s="288"/>
      <c r="AJ1033" s="288"/>
      <c r="AK1033" s="179"/>
      <c r="AY1033" s="55"/>
      <c r="AZ1033" s="55"/>
      <c r="BA1033" s="55"/>
      <c r="BB1033" s="55"/>
      <c r="BC1033" s="55"/>
      <c r="BD1033" s="55"/>
      <c r="BE1033" s="55"/>
      <c r="BF1033" s="55"/>
      <c r="BG1033" s="55"/>
      <c r="BH1033" s="55"/>
      <c r="BI1033" s="55"/>
      <c r="BJ1033" s="55"/>
      <c r="BK1033" s="55"/>
      <c r="BL1033" s="55"/>
      <c r="BM1033" s="55"/>
      <c r="BN1033" s="55"/>
      <c r="BO1033" s="55"/>
      <c r="BP1033" s="55"/>
      <c r="BQ1033" s="55"/>
      <c r="BR1033" s="55"/>
      <c r="BS1033" s="55"/>
      <c r="BT1033" s="55"/>
      <c r="BU1033" s="55"/>
      <c r="BV1033" s="55"/>
      <c r="BW1033" s="55"/>
      <c r="BX1033" s="55"/>
      <c r="BY1033" s="55"/>
      <c r="BZ1033" s="55"/>
      <c r="CI1033" s="55"/>
      <c r="CJ1033" s="55"/>
      <c r="CK1033" s="55"/>
      <c r="CL1033" s="55"/>
      <c r="CM1033" s="55"/>
      <c r="CN1033" s="55"/>
      <c r="CO1033" s="55"/>
      <c r="CP1033" s="55"/>
      <c r="CQ1033" s="55"/>
      <c r="DJ1033" s="55"/>
      <c r="DK1033" s="55"/>
      <c r="DL1033" s="55"/>
      <c r="DM1033" s="55"/>
      <c r="DN1033" s="55"/>
      <c r="DO1033" s="55"/>
      <c r="DP1033" s="55"/>
      <c r="DQ1033" s="55"/>
      <c r="DR1033" s="55"/>
      <c r="DS1033" s="55"/>
      <c r="DT1033" s="55"/>
      <c r="DU1033" s="55"/>
      <c r="DV1033" s="55"/>
    </row>
    <row r="1034" spans="1:126" ht="12.75" x14ac:dyDescent="0.2">
      <c r="A1034" s="54"/>
      <c r="B1034" s="54"/>
      <c r="C1034" s="288"/>
      <c r="D1034" s="288"/>
      <c r="E1034" s="288"/>
      <c r="F1034" s="288"/>
      <c r="G1034" s="288"/>
      <c r="H1034" s="288"/>
      <c r="I1034" s="288"/>
      <c r="J1034" s="288"/>
      <c r="K1034" s="288"/>
      <c r="L1034" s="288"/>
      <c r="M1034" s="288"/>
      <c r="N1034" s="288"/>
      <c r="O1034" s="288"/>
      <c r="P1034" s="288"/>
      <c r="Q1034" s="288"/>
      <c r="R1034" s="288"/>
      <c r="S1034" s="288"/>
      <c r="T1034" s="288"/>
      <c r="U1034" s="288"/>
      <c r="V1034" s="288"/>
      <c r="W1034" s="288"/>
      <c r="X1034" s="288"/>
      <c r="Y1034" s="288"/>
      <c r="Z1034" s="288"/>
      <c r="AA1034" s="288"/>
      <c r="AB1034" s="288"/>
      <c r="AC1034" s="288"/>
      <c r="AD1034" s="288"/>
      <c r="AE1034" s="288"/>
      <c r="AF1034" s="288"/>
      <c r="AG1034" s="288"/>
      <c r="AH1034" s="288"/>
      <c r="AI1034" s="288"/>
      <c r="AJ1034" s="288"/>
      <c r="AK1034" s="179"/>
      <c r="AY1034" s="55"/>
      <c r="AZ1034" s="55"/>
      <c r="BA1034" s="55"/>
      <c r="BB1034" s="55"/>
      <c r="BC1034" s="55"/>
      <c r="BD1034" s="55"/>
      <c r="BE1034" s="55"/>
      <c r="BF1034" s="55"/>
      <c r="BG1034" s="55"/>
      <c r="BH1034" s="55"/>
      <c r="BI1034" s="55"/>
      <c r="BJ1034" s="55"/>
      <c r="BK1034" s="55"/>
      <c r="BL1034" s="55"/>
      <c r="BM1034" s="55"/>
      <c r="BN1034" s="55"/>
      <c r="BO1034" s="55"/>
      <c r="BP1034" s="55"/>
      <c r="BQ1034" s="55"/>
      <c r="BR1034" s="55"/>
      <c r="BS1034" s="55"/>
      <c r="BT1034" s="55"/>
      <c r="BU1034" s="55"/>
      <c r="BV1034" s="55"/>
      <c r="BW1034" s="55"/>
      <c r="BX1034" s="55"/>
      <c r="BY1034" s="55"/>
      <c r="BZ1034" s="55"/>
      <c r="CI1034" s="55"/>
      <c r="CJ1034" s="55"/>
      <c r="CK1034" s="55"/>
      <c r="CL1034" s="55"/>
      <c r="CM1034" s="55"/>
      <c r="CN1034" s="55"/>
      <c r="CO1034" s="55"/>
      <c r="CP1034" s="55"/>
      <c r="CQ1034" s="55"/>
      <c r="DJ1034" s="55"/>
      <c r="DK1034" s="55"/>
      <c r="DL1034" s="55"/>
      <c r="DM1034" s="55"/>
      <c r="DN1034" s="55"/>
      <c r="DO1034" s="55"/>
      <c r="DP1034" s="55"/>
      <c r="DQ1034" s="55"/>
      <c r="DR1034" s="55"/>
      <c r="DS1034" s="55"/>
      <c r="DT1034" s="55"/>
      <c r="DU1034" s="55"/>
      <c r="DV1034" s="55"/>
    </row>
    <row r="1035" spans="1:126" ht="12.75" x14ac:dyDescent="0.2">
      <c r="A1035" s="54"/>
      <c r="B1035" s="54"/>
      <c r="C1035" s="288"/>
      <c r="D1035" s="288"/>
      <c r="E1035" s="288"/>
      <c r="F1035" s="288"/>
      <c r="G1035" s="288"/>
      <c r="H1035" s="288"/>
      <c r="I1035" s="288"/>
      <c r="J1035" s="288"/>
      <c r="K1035" s="288"/>
      <c r="L1035" s="288"/>
      <c r="M1035" s="288"/>
      <c r="N1035" s="288"/>
      <c r="O1035" s="288"/>
      <c r="P1035" s="288"/>
      <c r="Q1035" s="288"/>
      <c r="R1035" s="288"/>
      <c r="S1035" s="288"/>
      <c r="T1035" s="288"/>
      <c r="U1035" s="288"/>
      <c r="V1035" s="288"/>
      <c r="W1035" s="288"/>
      <c r="X1035" s="288"/>
      <c r="Y1035" s="288"/>
      <c r="Z1035" s="288"/>
      <c r="AA1035" s="288"/>
      <c r="AB1035" s="288"/>
      <c r="AC1035" s="288"/>
      <c r="AD1035" s="288"/>
      <c r="AE1035" s="288"/>
      <c r="AF1035" s="288"/>
      <c r="AG1035" s="288"/>
      <c r="AH1035" s="288"/>
      <c r="AI1035" s="288"/>
      <c r="AJ1035" s="288"/>
      <c r="AK1035" s="179"/>
      <c r="AY1035" s="55"/>
      <c r="AZ1035" s="55"/>
      <c r="BA1035" s="55"/>
      <c r="BB1035" s="55"/>
      <c r="BC1035" s="55"/>
      <c r="BD1035" s="55"/>
      <c r="BE1035" s="55"/>
      <c r="BF1035" s="55"/>
      <c r="BG1035" s="55"/>
      <c r="BH1035" s="55"/>
      <c r="BI1035" s="55"/>
      <c r="BJ1035" s="55"/>
      <c r="BK1035" s="55"/>
      <c r="BL1035" s="55"/>
      <c r="BM1035" s="55"/>
      <c r="BN1035" s="55"/>
      <c r="BO1035" s="55"/>
      <c r="BP1035" s="55"/>
      <c r="BQ1035" s="55"/>
      <c r="BR1035" s="55"/>
      <c r="BS1035" s="55"/>
      <c r="BT1035" s="55"/>
      <c r="BU1035" s="55"/>
      <c r="BV1035" s="55"/>
      <c r="BW1035" s="55"/>
      <c r="BX1035" s="55"/>
      <c r="BY1035" s="55"/>
      <c r="BZ1035" s="55"/>
      <c r="CI1035" s="55"/>
      <c r="CJ1035" s="55"/>
      <c r="CK1035" s="55"/>
      <c r="CL1035" s="55"/>
      <c r="CM1035" s="55"/>
      <c r="CN1035" s="55"/>
      <c r="CO1035" s="55"/>
      <c r="CP1035" s="55"/>
      <c r="CQ1035" s="55"/>
      <c r="DJ1035" s="55"/>
      <c r="DK1035" s="55"/>
      <c r="DL1035" s="55"/>
      <c r="DM1035" s="55"/>
      <c r="DN1035" s="55"/>
      <c r="DO1035" s="55"/>
      <c r="DP1035" s="55"/>
      <c r="DQ1035" s="55"/>
      <c r="DR1035" s="55"/>
      <c r="DS1035" s="55"/>
      <c r="DT1035" s="55"/>
      <c r="DU1035" s="55"/>
      <c r="DV1035" s="55"/>
    </row>
    <row r="1036" spans="1:126" ht="12.75" x14ac:dyDescent="0.2">
      <c r="A1036" s="54"/>
      <c r="B1036" s="54"/>
      <c r="C1036" s="288"/>
      <c r="D1036" s="288"/>
      <c r="E1036" s="288"/>
      <c r="F1036" s="288"/>
      <c r="G1036" s="288"/>
      <c r="H1036" s="288"/>
      <c r="I1036" s="288"/>
      <c r="J1036" s="288"/>
      <c r="K1036" s="288"/>
      <c r="L1036" s="288"/>
      <c r="M1036" s="288"/>
      <c r="N1036" s="288"/>
      <c r="O1036" s="288"/>
      <c r="P1036" s="288"/>
      <c r="Q1036" s="288"/>
      <c r="R1036" s="288"/>
      <c r="S1036" s="288"/>
      <c r="T1036" s="288"/>
      <c r="U1036" s="288"/>
      <c r="V1036" s="288"/>
      <c r="W1036" s="288"/>
      <c r="X1036" s="288"/>
      <c r="Y1036" s="288"/>
      <c r="Z1036" s="288"/>
      <c r="AA1036" s="288"/>
      <c r="AB1036" s="288"/>
      <c r="AC1036" s="288"/>
      <c r="AD1036" s="288"/>
      <c r="AE1036" s="288"/>
      <c r="AF1036" s="288"/>
      <c r="AG1036" s="288"/>
      <c r="AH1036" s="288"/>
      <c r="AI1036" s="288"/>
      <c r="AJ1036" s="288"/>
      <c r="AK1036" s="179"/>
      <c r="AY1036" s="55"/>
      <c r="AZ1036" s="55"/>
      <c r="BA1036" s="55"/>
      <c r="BB1036" s="55"/>
      <c r="BC1036" s="55"/>
      <c r="BD1036" s="55"/>
      <c r="BE1036" s="55"/>
      <c r="BF1036" s="55"/>
      <c r="BG1036" s="55"/>
      <c r="BH1036" s="55"/>
      <c r="BI1036" s="55"/>
      <c r="BJ1036" s="55"/>
      <c r="BK1036" s="55"/>
      <c r="BL1036" s="55"/>
      <c r="BM1036" s="55"/>
      <c r="BN1036" s="55"/>
      <c r="BO1036" s="55"/>
      <c r="BP1036" s="55"/>
      <c r="BQ1036" s="55"/>
      <c r="BR1036" s="55"/>
      <c r="BS1036" s="55"/>
      <c r="BT1036" s="55"/>
      <c r="BU1036" s="55"/>
      <c r="BV1036" s="55"/>
      <c r="BW1036" s="55"/>
      <c r="BX1036" s="55"/>
      <c r="BY1036" s="55"/>
      <c r="BZ1036" s="55"/>
      <c r="CI1036" s="55"/>
      <c r="CJ1036" s="55"/>
      <c r="CK1036" s="55"/>
      <c r="CL1036" s="55"/>
      <c r="CM1036" s="55"/>
      <c r="CN1036" s="55"/>
      <c r="CO1036" s="55"/>
      <c r="CP1036" s="55"/>
      <c r="CQ1036" s="55"/>
      <c r="DJ1036" s="55"/>
      <c r="DK1036" s="55"/>
      <c r="DL1036" s="55"/>
      <c r="DM1036" s="55"/>
      <c r="DN1036" s="55"/>
      <c r="DO1036" s="55"/>
      <c r="DP1036" s="55"/>
      <c r="DQ1036" s="55"/>
      <c r="DR1036" s="55"/>
      <c r="DS1036" s="55"/>
      <c r="DT1036" s="55"/>
      <c r="DU1036" s="55"/>
      <c r="DV1036" s="55"/>
    </row>
    <row r="1037" spans="1:126" ht="12.75" x14ac:dyDescent="0.2">
      <c r="A1037" s="54"/>
      <c r="B1037" s="54"/>
      <c r="C1037" s="288"/>
      <c r="D1037" s="288"/>
      <c r="E1037" s="288"/>
      <c r="F1037" s="288"/>
      <c r="G1037" s="288"/>
      <c r="H1037" s="288"/>
      <c r="I1037" s="288"/>
      <c r="J1037" s="288"/>
      <c r="K1037" s="288"/>
      <c r="L1037" s="288"/>
      <c r="M1037" s="288"/>
      <c r="N1037" s="288"/>
      <c r="O1037" s="288"/>
      <c r="P1037" s="288"/>
      <c r="Q1037" s="288"/>
      <c r="R1037" s="288"/>
      <c r="S1037" s="288"/>
      <c r="T1037" s="288"/>
      <c r="U1037" s="288"/>
      <c r="V1037" s="288"/>
      <c r="W1037" s="288"/>
      <c r="X1037" s="288"/>
      <c r="Y1037" s="288"/>
      <c r="Z1037" s="288"/>
      <c r="AA1037" s="288"/>
      <c r="AB1037" s="288"/>
      <c r="AC1037" s="288"/>
      <c r="AD1037" s="288"/>
      <c r="AE1037" s="288"/>
      <c r="AF1037" s="288"/>
      <c r="AG1037" s="288"/>
      <c r="AH1037" s="288"/>
      <c r="AI1037" s="288"/>
      <c r="AJ1037" s="288"/>
      <c r="AK1037" s="179"/>
      <c r="AY1037" s="55"/>
      <c r="AZ1037" s="55"/>
      <c r="BA1037" s="55"/>
      <c r="BB1037" s="55"/>
      <c r="BC1037" s="55"/>
      <c r="BD1037" s="55"/>
      <c r="BE1037" s="55"/>
      <c r="BF1037" s="55"/>
      <c r="BG1037" s="55"/>
      <c r="BH1037" s="55"/>
      <c r="BI1037" s="55"/>
      <c r="BJ1037" s="55"/>
      <c r="BK1037" s="55"/>
      <c r="BL1037" s="55"/>
      <c r="BM1037" s="55"/>
      <c r="BN1037" s="55"/>
      <c r="BO1037" s="55"/>
      <c r="BP1037" s="55"/>
      <c r="BQ1037" s="55"/>
      <c r="BR1037" s="55"/>
      <c r="BS1037" s="55"/>
      <c r="BT1037" s="55"/>
      <c r="BU1037" s="55"/>
      <c r="BV1037" s="55"/>
      <c r="BW1037" s="55"/>
      <c r="BX1037" s="55"/>
      <c r="BY1037" s="55"/>
      <c r="BZ1037" s="55"/>
      <c r="CI1037" s="55"/>
      <c r="CJ1037" s="55"/>
      <c r="CK1037" s="55"/>
      <c r="CL1037" s="55"/>
      <c r="CM1037" s="55"/>
      <c r="CN1037" s="55"/>
      <c r="CO1037" s="55"/>
      <c r="CP1037" s="55"/>
      <c r="CQ1037" s="55"/>
      <c r="DJ1037" s="55"/>
      <c r="DK1037" s="55"/>
      <c r="DL1037" s="55"/>
      <c r="DM1037" s="55"/>
      <c r="DN1037" s="55"/>
      <c r="DO1037" s="55"/>
      <c r="DP1037" s="55"/>
      <c r="DQ1037" s="55"/>
      <c r="DR1037" s="55"/>
      <c r="DS1037" s="55"/>
      <c r="DT1037" s="55"/>
      <c r="DU1037" s="55"/>
      <c r="DV1037" s="55"/>
    </row>
    <row r="1038" spans="1:126" ht="12.75" x14ac:dyDescent="0.2">
      <c r="A1038" s="54"/>
      <c r="B1038" s="54"/>
      <c r="C1038" s="288"/>
      <c r="D1038" s="288"/>
      <c r="E1038" s="288"/>
      <c r="F1038" s="288"/>
      <c r="G1038" s="288"/>
      <c r="H1038" s="288"/>
      <c r="I1038" s="288"/>
      <c r="J1038" s="288"/>
      <c r="K1038" s="288"/>
      <c r="L1038" s="288"/>
      <c r="M1038" s="288"/>
      <c r="N1038" s="288"/>
      <c r="O1038" s="288"/>
      <c r="P1038" s="288"/>
      <c r="Q1038" s="288"/>
      <c r="R1038" s="288"/>
      <c r="S1038" s="288"/>
      <c r="T1038" s="288"/>
      <c r="U1038" s="288"/>
      <c r="V1038" s="288"/>
      <c r="W1038" s="288"/>
      <c r="X1038" s="288"/>
      <c r="Y1038" s="288"/>
      <c r="Z1038" s="288"/>
      <c r="AA1038" s="288"/>
      <c r="AB1038" s="288"/>
      <c r="AC1038" s="288"/>
      <c r="AD1038" s="288"/>
      <c r="AE1038" s="288"/>
      <c r="AF1038" s="288"/>
      <c r="AG1038" s="288"/>
      <c r="AH1038" s="288"/>
      <c r="AI1038" s="288"/>
      <c r="AJ1038" s="288"/>
      <c r="AK1038" s="179"/>
      <c r="AY1038" s="55"/>
      <c r="AZ1038" s="55"/>
      <c r="BA1038" s="55"/>
      <c r="BB1038" s="55"/>
      <c r="BC1038" s="55"/>
      <c r="BD1038" s="55"/>
      <c r="BE1038" s="55"/>
      <c r="BF1038" s="55"/>
      <c r="BG1038" s="55"/>
      <c r="BH1038" s="55"/>
      <c r="BI1038" s="55"/>
      <c r="BJ1038" s="55"/>
      <c r="BK1038" s="55"/>
      <c r="BL1038" s="55"/>
      <c r="BM1038" s="55"/>
      <c r="BN1038" s="55"/>
      <c r="BO1038" s="55"/>
      <c r="BP1038" s="55"/>
      <c r="BQ1038" s="55"/>
      <c r="BR1038" s="55"/>
      <c r="BS1038" s="55"/>
      <c r="BT1038" s="55"/>
      <c r="BU1038" s="55"/>
      <c r="BV1038" s="55"/>
      <c r="BW1038" s="55"/>
      <c r="BX1038" s="55"/>
      <c r="BY1038" s="55"/>
      <c r="BZ1038" s="55"/>
      <c r="CI1038" s="55"/>
      <c r="CJ1038" s="55"/>
      <c r="CK1038" s="55"/>
      <c r="CL1038" s="55"/>
      <c r="CM1038" s="55"/>
      <c r="CN1038" s="55"/>
      <c r="CO1038" s="55"/>
      <c r="CP1038" s="55"/>
      <c r="CQ1038" s="55"/>
      <c r="DJ1038" s="55"/>
      <c r="DK1038" s="55"/>
      <c r="DL1038" s="55"/>
      <c r="DM1038" s="55"/>
      <c r="DN1038" s="55"/>
      <c r="DO1038" s="55"/>
      <c r="DP1038" s="55"/>
      <c r="DQ1038" s="55"/>
      <c r="DR1038" s="55"/>
      <c r="DS1038" s="55"/>
      <c r="DT1038" s="55"/>
      <c r="DU1038" s="55"/>
      <c r="DV1038" s="55"/>
    </row>
    <row r="1039" spans="1:126" ht="12.75" x14ac:dyDescent="0.2">
      <c r="A1039" s="54"/>
      <c r="B1039" s="54"/>
      <c r="C1039" s="288"/>
      <c r="D1039" s="288"/>
      <c r="E1039" s="288"/>
      <c r="F1039" s="288"/>
      <c r="G1039" s="288"/>
      <c r="H1039" s="288"/>
      <c r="I1039" s="288"/>
      <c r="J1039" s="288"/>
      <c r="K1039" s="288"/>
      <c r="L1039" s="288"/>
      <c r="M1039" s="288"/>
      <c r="N1039" s="288"/>
      <c r="O1039" s="288"/>
      <c r="P1039" s="288"/>
      <c r="Q1039" s="288"/>
      <c r="R1039" s="288"/>
      <c r="S1039" s="288"/>
      <c r="T1039" s="288"/>
      <c r="U1039" s="288"/>
      <c r="V1039" s="288"/>
      <c r="W1039" s="288"/>
      <c r="X1039" s="288"/>
      <c r="Y1039" s="288"/>
      <c r="Z1039" s="288"/>
      <c r="AA1039" s="288"/>
      <c r="AB1039" s="288"/>
      <c r="AC1039" s="288"/>
      <c r="AD1039" s="288"/>
      <c r="AE1039" s="288"/>
      <c r="AF1039" s="288"/>
      <c r="AG1039" s="288"/>
      <c r="AH1039" s="288"/>
      <c r="AI1039" s="288"/>
      <c r="AJ1039" s="288"/>
      <c r="AK1039" s="179"/>
      <c r="AY1039" s="55"/>
      <c r="AZ1039" s="55"/>
      <c r="BA1039" s="55"/>
      <c r="BB1039" s="55"/>
      <c r="BC1039" s="55"/>
      <c r="BD1039" s="55"/>
      <c r="BE1039" s="55"/>
      <c r="BF1039" s="55"/>
      <c r="BG1039" s="55"/>
      <c r="BH1039" s="55"/>
      <c r="BI1039" s="55"/>
      <c r="BJ1039" s="55"/>
      <c r="BK1039" s="55"/>
      <c r="BL1039" s="55"/>
      <c r="BM1039" s="55"/>
      <c r="BN1039" s="55"/>
      <c r="BO1039" s="55"/>
      <c r="BP1039" s="55"/>
      <c r="BQ1039" s="55"/>
      <c r="BR1039" s="55"/>
      <c r="BS1039" s="55"/>
      <c r="BT1039" s="55"/>
      <c r="BU1039" s="55"/>
      <c r="BV1039" s="55"/>
      <c r="BW1039" s="55"/>
      <c r="BX1039" s="55"/>
      <c r="BY1039" s="55"/>
      <c r="BZ1039" s="55"/>
      <c r="CI1039" s="55"/>
      <c r="CJ1039" s="55"/>
      <c r="CK1039" s="55"/>
      <c r="CL1039" s="55"/>
      <c r="CM1039" s="55"/>
      <c r="CN1039" s="55"/>
      <c r="CO1039" s="55"/>
      <c r="CP1039" s="55"/>
      <c r="CQ1039" s="55"/>
      <c r="DJ1039" s="55"/>
      <c r="DK1039" s="55"/>
      <c r="DL1039" s="55"/>
      <c r="DM1039" s="55"/>
      <c r="DN1039" s="55"/>
      <c r="DO1039" s="55"/>
      <c r="DP1039" s="55"/>
      <c r="DQ1039" s="55"/>
      <c r="DR1039" s="55"/>
      <c r="DS1039" s="55"/>
      <c r="DT1039" s="55"/>
      <c r="DU1039" s="55"/>
      <c r="DV1039" s="55"/>
    </row>
    <row r="1040" spans="1:126" ht="12.75" x14ac:dyDescent="0.2">
      <c r="A1040" s="54"/>
      <c r="B1040" s="54"/>
      <c r="C1040" s="288"/>
      <c r="D1040" s="288"/>
      <c r="E1040" s="288"/>
      <c r="F1040" s="288"/>
      <c r="G1040" s="288"/>
      <c r="H1040" s="288"/>
      <c r="I1040" s="288"/>
      <c r="J1040" s="288"/>
      <c r="K1040" s="288"/>
      <c r="L1040" s="288"/>
      <c r="M1040" s="288"/>
      <c r="N1040" s="288"/>
      <c r="O1040" s="288"/>
      <c r="P1040" s="288"/>
      <c r="Q1040" s="288"/>
      <c r="R1040" s="288"/>
      <c r="S1040" s="288"/>
      <c r="T1040" s="288"/>
      <c r="U1040" s="288"/>
      <c r="V1040" s="288"/>
      <c r="W1040" s="288"/>
      <c r="X1040" s="288"/>
      <c r="Y1040" s="288"/>
      <c r="Z1040" s="288"/>
      <c r="AA1040" s="288"/>
      <c r="AB1040" s="288"/>
      <c r="AC1040" s="288"/>
      <c r="AD1040" s="288"/>
      <c r="AE1040" s="288"/>
      <c r="AF1040" s="288"/>
      <c r="AG1040" s="288"/>
      <c r="AH1040" s="288"/>
      <c r="AI1040" s="288"/>
      <c r="AJ1040" s="288"/>
      <c r="AK1040" s="179"/>
      <c r="AY1040" s="55"/>
      <c r="AZ1040" s="55"/>
      <c r="BA1040" s="55"/>
      <c r="BB1040" s="55"/>
      <c r="BC1040" s="55"/>
      <c r="BD1040" s="55"/>
      <c r="BE1040" s="55"/>
      <c r="BF1040" s="55"/>
      <c r="BG1040" s="55"/>
      <c r="BH1040" s="55"/>
      <c r="BI1040" s="55"/>
      <c r="BJ1040" s="55"/>
      <c r="BK1040" s="55"/>
      <c r="BL1040" s="55"/>
      <c r="BM1040" s="55"/>
      <c r="BN1040" s="55"/>
      <c r="BO1040" s="55"/>
      <c r="BP1040" s="55"/>
      <c r="BQ1040" s="55"/>
      <c r="BR1040" s="55"/>
      <c r="BS1040" s="55"/>
      <c r="BT1040" s="55"/>
      <c r="BU1040" s="55"/>
      <c r="BV1040" s="55"/>
      <c r="BW1040" s="55"/>
      <c r="BX1040" s="55"/>
      <c r="BY1040" s="55"/>
      <c r="BZ1040" s="55"/>
      <c r="CI1040" s="55"/>
      <c r="CJ1040" s="55"/>
      <c r="CK1040" s="55"/>
      <c r="CL1040" s="55"/>
      <c r="CM1040" s="55"/>
      <c r="CN1040" s="55"/>
      <c r="CO1040" s="55"/>
      <c r="CP1040" s="55"/>
      <c r="CQ1040" s="55"/>
      <c r="DJ1040" s="55"/>
      <c r="DK1040" s="55"/>
      <c r="DL1040" s="55"/>
      <c r="DM1040" s="55"/>
      <c r="DN1040" s="55"/>
      <c r="DO1040" s="55"/>
      <c r="DP1040" s="55"/>
      <c r="DQ1040" s="55"/>
      <c r="DR1040" s="55"/>
      <c r="DS1040" s="55"/>
      <c r="DT1040" s="55"/>
      <c r="DU1040" s="55"/>
      <c r="DV1040" s="55"/>
    </row>
    <row r="1041" spans="1:126" ht="12.75" x14ac:dyDescent="0.2">
      <c r="A1041" s="54"/>
      <c r="B1041" s="54"/>
      <c r="C1041" s="86"/>
      <c r="D1041" s="86"/>
      <c r="E1041" s="86"/>
      <c r="F1041" s="86"/>
      <c r="G1041" s="86"/>
      <c r="H1041" s="86"/>
      <c r="I1041" s="86"/>
      <c r="J1041" s="86"/>
      <c r="K1041" s="86"/>
      <c r="L1041" s="86"/>
      <c r="M1041" s="86"/>
      <c r="N1041" s="86"/>
      <c r="O1041" s="86"/>
      <c r="P1041" s="86"/>
      <c r="Q1041" s="86"/>
      <c r="R1041" s="86"/>
      <c r="S1041" s="86"/>
      <c r="T1041" s="86"/>
      <c r="U1041" s="86"/>
      <c r="V1041" s="86"/>
      <c r="W1041" s="86"/>
      <c r="X1041" s="86"/>
      <c r="Y1041" s="86"/>
      <c r="Z1041" s="86"/>
      <c r="AA1041" s="86"/>
      <c r="AB1041" s="86"/>
      <c r="AC1041" s="86"/>
      <c r="AD1041" s="86"/>
      <c r="AE1041" s="86"/>
      <c r="AF1041" s="86"/>
      <c r="AG1041" s="86"/>
      <c r="AH1041" s="86"/>
      <c r="AI1041" s="86"/>
      <c r="AJ1041" s="86"/>
      <c r="AK1041" s="179"/>
      <c r="AY1041" s="55"/>
      <c r="AZ1041" s="55"/>
      <c r="BA1041" s="55"/>
      <c r="BB1041" s="55"/>
      <c r="BC1041" s="55"/>
      <c r="BD1041" s="55"/>
      <c r="BE1041" s="55"/>
      <c r="BF1041" s="55"/>
      <c r="BG1041" s="55"/>
      <c r="BH1041" s="55"/>
      <c r="BI1041" s="55"/>
      <c r="BJ1041" s="55"/>
      <c r="BK1041" s="55"/>
      <c r="BL1041" s="55"/>
      <c r="BM1041" s="55"/>
      <c r="BN1041" s="55"/>
      <c r="BO1041" s="55"/>
      <c r="BP1041" s="55"/>
      <c r="BQ1041" s="55"/>
      <c r="BR1041" s="55"/>
      <c r="BS1041" s="55"/>
      <c r="BT1041" s="55"/>
      <c r="BU1041" s="55"/>
      <c r="BV1041" s="55"/>
      <c r="BW1041" s="55"/>
      <c r="BX1041" s="55"/>
      <c r="BY1041" s="55"/>
      <c r="BZ1041" s="55"/>
      <c r="CI1041" s="55"/>
      <c r="CJ1041" s="55"/>
      <c r="CK1041" s="55"/>
      <c r="CL1041" s="55"/>
      <c r="CM1041" s="55"/>
      <c r="CN1041" s="55"/>
      <c r="CO1041" s="55"/>
      <c r="CP1041" s="55"/>
      <c r="CQ1041" s="55"/>
      <c r="DJ1041" s="55"/>
      <c r="DK1041" s="55"/>
      <c r="DL1041" s="55"/>
      <c r="DM1041" s="55"/>
      <c r="DN1041" s="55"/>
      <c r="DO1041" s="55"/>
      <c r="DP1041" s="55"/>
      <c r="DQ1041" s="55"/>
      <c r="DR1041" s="55"/>
      <c r="DS1041" s="55"/>
      <c r="DT1041" s="55"/>
      <c r="DU1041" s="55"/>
      <c r="DV1041" s="55"/>
    </row>
    <row r="1042" spans="1:126" ht="12.75" x14ac:dyDescent="0.2">
      <c r="A1042" s="54"/>
      <c r="B1042" s="54"/>
      <c r="C1042" s="86"/>
      <c r="D1042" s="86"/>
      <c r="E1042" s="86"/>
      <c r="F1042" s="86"/>
      <c r="G1042" s="86"/>
      <c r="H1042" s="86"/>
      <c r="I1042" s="86"/>
      <c r="J1042" s="86"/>
      <c r="K1042" s="86"/>
      <c r="L1042" s="86"/>
      <c r="M1042" s="86"/>
      <c r="N1042" s="86"/>
      <c r="O1042" s="86"/>
      <c r="P1042" s="86"/>
      <c r="Q1042" s="86"/>
      <c r="R1042" s="86"/>
      <c r="S1042" s="86"/>
      <c r="T1042" s="86"/>
      <c r="U1042" s="86"/>
      <c r="V1042" s="86"/>
      <c r="W1042" s="86"/>
      <c r="X1042" s="86"/>
      <c r="Y1042" s="86"/>
      <c r="Z1042" s="86"/>
      <c r="AA1042" s="86"/>
      <c r="AB1042" s="86"/>
      <c r="AC1042" s="86"/>
      <c r="AD1042" s="86"/>
      <c r="AE1042" s="86"/>
      <c r="AF1042" s="86"/>
      <c r="AG1042" s="86"/>
      <c r="AH1042" s="86"/>
      <c r="AI1042" s="86"/>
      <c r="AJ1042" s="86"/>
      <c r="AK1042" s="179"/>
      <c r="AY1042" s="55"/>
      <c r="AZ1042" s="55"/>
      <c r="BA1042" s="55"/>
      <c r="BB1042" s="55"/>
      <c r="BC1042" s="55"/>
      <c r="BD1042" s="55"/>
      <c r="BE1042" s="55"/>
      <c r="BF1042" s="55"/>
      <c r="BG1042" s="55"/>
      <c r="BH1042" s="55"/>
      <c r="BI1042" s="55"/>
      <c r="BJ1042" s="55"/>
      <c r="BK1042" s="55"/>
      <c r="BL1042" s="55"/>
      <c r="BM1042" s="55"/>
      <c r="BN1042" s="55"/>
      <c r="BO1042" s="55"/>
      <c r="BP1042" s="55"/>
      <c r="BQ1042" s="55"/>
      <c r="BR1042" s="55"/>
      <c r="BS1042" s="55"/>
      <c r="BT1042" s="55"/>
      <c r="BU1042" s="55"/>
      <c r="BV1042" s="55"/>
      <c r="BW1042" s="55"/>
      <c r="BX1042" s="55"/>
      <c r="BY1042" s="55"/>
      <c r="BZ1042" s="55"/>
      <c r="CI1042" s="55"/>
      <c r="CJ1042" s="55"/>
      <c r="CK1042" s="55"/>
      <c r="CL1042" s="55"/>
      <c r="CM1042" s="55"/>
      <c r="CN1042" s="55"/>
      <c r="CO1042" s="55"/>
      <c r="CP1042" s="55"/>
      <c r="CQ1042" s="55"/>
      <c r="DJ1042" s="55"/>
      <c r="DK1042" s="55"/>
      <c r="DL1042" s="55"/>
      <c r="DM1042" s="55"/>
      <c r="DN1042" s="55"/>
      <c r="DO1042" s="55"/>
      <c r="DP1042" s="55"/>
      <c r="DQ1042" s="55"/>
      <c r="DR1042" s="55"/>
      <c r="DS1042" s="55"/>
      <c r="DT1042" s="55"/>
      <c r="DU1042" s="55"/>
      <c r="DV1042" s="55"/>
    </row>
    <row r="1043" spans="1:126" ht="18.75" customHeight="1" x14ac:dyDescent="0.2">
      <c r="A1043" s="334" t="s">
        <v>375</v>
      </c>
      <c r="B1043" s="334"/>
      <c r="C1043" s="334"/>
      <c r="D1043" s="334"/>
      <c r="E1043" s="334"/>
      <c r="F1043" s="334"/>
      <c r="G1043" s="334"/>
      <c r="H1043" s="334"/>
      <c r="I1043" s="334"/>
      <c r="J1043" s="334"/>
      <c r="K1043" s="334"/>
      <c r="L1043" s="334"/>
      <c r="M1043" s="334"/>
      <c r="N1043" s="334"/>
      <c r="O1043" s="334"/>
      <c r="P1043" s="334"/>
      <c r="Q1043" s="334"/>
      <c r="R1043" s="334"/>
      <c r="S1043" s="334"/>
      <c r="T1043" s="334"/>
      <c r="U1043" s="334"/>
      <c r="V1043" s="334"/>
      <c r="W1043" s="334"/>
      <c r="X1043" s="334"/>
      <c r="Y1043" s="334"/>
      <c r="Z1043" s="334"/>
      <c r="AA1043" s="334"/>
      <c r="AB1043" s="334"/>
      <c r="AC1043" s="334"/>
      <c r="AD1043" s="334"/>
      <c r="AE1043" s="334"/>
      <c r="AF1043" s="334"/>
      <c r="AG1043" s="334"/>
      <c r="AH1043" s="334"/>
      <c r="AI1043" s="334"/>
      <c r="AJ1043" s="334"/>
      <c r="AK1043" s="178"/>
      <c r="AY1043" s="55"/>
      <c r="AZ1043" s="55"/>
      <c r="BA1043" s="55"/>
      <c r="BB1043" s="55"/>
      <c r="BC1043" s="55"/>
      <c r="BD1043" s="55"/>
      <c r="BE1043" s="55"/>
      <c r="BF1043" s="55"/>
      <c r="BG1043" s="55"/>
      <c r="BH1043" s="55"/>
      <c r="BI1043" s="55"/>
      <c r="BJ1043" s="55"/>
      <c r="BK1043" s="55"/>
      <c r="BL1043" s="55"/>
      <c r="BM1043" s="55"/>
      <c r="BN1043" s="55"/>
      <c r="BO1043" s="55"/>
      <c r="BP1043" s="55"/>
      <c r="BQ1043" s="55"/>
      <c r="BR1043" s="55"/>
      <c r="BS1043" s="55"/>
      <c r="BT1043" s="55"/>
      <c r="BU1043" s="55"/>
      <c r="BV1043" s="55"/>
      <c r="BW1043" s="55"/>
      <c r="BX1043" s="55"/>
      <c r="BY1043" s="55"/>
      <c r="BZ1043" s="55"/>
      <c r="CI1043" s="55"/>
      <c r="CJ1043" s="55"/>
      <c r="CK1043" s="55"/>
      <c r="CL1043" s="55"/>
      <c r="CM1043" s="55"/>
      <c r="CN1043" s="55"/>
      <c r="CO1043" s="55"/>
      <c r="CP1043" s="55"/>
      <c r="CQ1043" s="55"/>
      <c r="DJ1043" s="55"/>
      <c r="DK1043" s="55"/>
      <c r="DL1043" s="55"/>
      <c r="DM1043" s="55"/>
      <c r="DN1043" s="55"/>
      <c r="DO1043" s="55"/>
      <c r="DP1043" s="55"/>
      <c r="DQ1043" s="55"/>
      <c r="DR1043" s="55"/>
      <c r="DS1043" s="55"/>
      <c r="DT1043" s="55"/>
      <c r="DU1043" s="55"/>
      <c r="DV1043" s="55"/>
    </row>
    <row r="1044" spans="1:126" ht="12.75" x14ac:dyDescent="0.2">
      <c r="A1044" s="54"/>
      <c r="B1044" s="54"/>
      <c r="C1044" s="54"/>
      <c r="D1044" s="54"/>
      <c r="E1044" s="54"/>
      <c r="F1044" s="54"/>
      <c r="G1044" s="54"/>
      <c r="H1044" s="54"/>
      <c r="I1044" s="54"/>
      <c r="J1044" s="54"/>
      <c r="K1044" s="54"/>
      <c r="L1044" s="54"/>
      <c r="M1044" s="54"/>
      <c r="N1044" s="54"/>
      <c r="O1044" s="54"/>
      <c r="P1044" s="54"/>
      <c r="Q1044" s="54"/>
      <c r="R1044" s="54"/>
      <c r="S1044" s="54"/>
      <c r="T1044" s="54"/>
      <c r="U1044" s="54"/>
      <c r="V1044" s="54"/>
      <c r="W1044" s="54"/>
      <c r="X1044" s="54"/>
      <c r="Y1044" s="54"/>
      <c r="Z1044" s="54"/>
      <c r="AY1044" s="55"/>
      <c r="AZ1044" s="55"/>
      <c r="BA1044" s="55"/>
      <c r="BB1044" s="55"/>
      <c r="BC1044" s="55"/>
      <c r="BD1044" s="55"/>
      <c r="BE1044" s="55"/>
      <c r="BF1044" s="55"/>
      <c r="BG1044" s="55"/>
      <c r="BH1044" s="55"/>
      <c r="BI1044" s="55"/>
      <c r="BJ1044" s="55"/>
      <c r="BK1044" s="55"/>
      <c r="BL1044" s="55"/>
      <c r="BM1044" s="55"/>
      <c r="BN1044" s="55"/>
      <c r="BO1044" s="55"/>
      <c r="BP1044" s="55"/>
      <c r="BQ1044" s="55"/>
      <c r="BR1044" s="55"/>
      <c r="BS1044" s="55"/>
      <c r="BT1044" s="55"/>
      <c r="BU1044" s="55"/>
      <c r="BV1044" s="55"/>
      <c r="BW1044" s="55"/>
      <c r="BX1044" s="55"/>
      <c r="BY1044" s="55"/>
      <c r="BZ1044" s="55"/>
      <c r="CI1044" s="55"/>
      <c r="CJ1044" s="55"/>
      <c r="CK1044" s="55"/>
      <c r="CL1044" s="55"/>
      <c r="CM1044" s="55"/>
      <c r="CN1044" s="55"/>
      <c r="CO1044" s="55"/>
      <c r="CP1044" s="55"/>
      <c r="CQ1044" s="55"/>
      <c r="DJ1044" s="55"/>
      <c r="DK1044" s="55"/>
      <c r="DL1044" s="55"/>
      <c r="DM1044" s="55"/>
      <c r="DN1044" s="55"/>
      <c r="DO1044" s="55"/>
      <c r="DP1044" s="55"/>
      <c r="DQ1044" s="55"/>
      <c r="DR1044" s="55"/>
      <c r="DS1044" s="55"/>
      <c r="DT1044" s="55"/>
      <c r="DU1044" s="55"/>
      <c r="DV1044" s="55"/>
    </row>
    <row r="1045" spans="1:126" ht="15" customHeight="1" x14ac:dyDescent="0.2">
      <c r="A1045" s="54"/>
      <c r="B1045" s="323" t="s">
        <v>605</v>
      </c>
      <c r="C1045" s="323"/>
      <c r="D1045" s="323"/>
      <c r="E1045" s="323"/>
      <c r="F1045" s="323"/>
      <c r="G1045" s="323"/>
      <c r="H1045" s="323"/>
      <c r="I1045" s="323"/>
      <c r="J1045" s="323"/>
      <c r="K1045" s="323"/>
      <c r="L1045" s="323"/>
      <c r="M1045" s="323"/>
      <c r="N1045" s="323"/>
      <c r="O1045" s="323"/>
      <c r="P1045" s="323"/>
      <c r="Q1045" s="323"/>
      <c r="R1045" s="323"/>
      <c r="S1045" s="323"/>
      <c r="T1045" s="323"/>
      <c r="U1045" s="323"/>
      <c r="V1045" s="323"/>
      <c r="W1045" s="323"/>
      <c r="X1045" s="323"/>
      <c r="Y1045" s="323"/>
      <c r="Z1045" s="323"/>
      <c r="AA1045" s="323"/>
      <c r="AB1045" s="323"/>
      <c r="AC1045" s="323"/>
      <c r="AD1045" s="323"/>
      <c r="AE1045" s="323"/>
      <c r="AF1045" s="323"/>
      <c r="AG1045" s="323"/>
      <c r="AH1045" s="323"/>
      <c r="AI1045" s="323"/>
      <c r="AJ1045" s="323"/>
      <c r="AK1045" s="176"/>
      <c r="AY1045" s="55"/>
      <c r="AZ1045" s="55"/>
      <c r="BA1045" s="55"/>
      <c r="BB1045" s="55"/>
      <c r="BC1045" s="55"/>
      <c r="BD1045" s="55"/>
      <c r="BE1045" s="55"/>
      <c r="BF1045" s="55"/>
      <c r="BG1045" s="55"/>
      <c r="BH1045" s="55"/>
      <c r="BI1045" s="55"/>
      <c r="BJ1045" s="55"/>
      <c r="BK1045" s="55"/>
      <c r="BL1045" s="55"/>
      <c r="BM1045" s="55"/>
      <c r="BN1045" s="55"/>
      <c r="BO1045" s="55"/>
      <c r="BP1045" s="55"/>
      <c r="BQ1045" s="55"/>
      <c r="BR1045" s="55"/>
      <c r="BS1045" s="55"/>
      <c r="BT1045" s="55"/>
      <c r="BU1045" s="55"/>
      <c r="BV1045" s="55"/>
      <c r="BW1045" s="55"/>
      <c r="BX1045" s="55"/>
      <c r="BY1045" s="55"/>
      <c r="BZ1045" s="55"/>
      <c r="CI1045" s="55"/>
      <c r="CJ1045" s="55"/>
      <c r="CK1045" s="55"/>
      <c r="CL1045" s="55"/>
      <c r="CM1045" s="55"/>
      <c r="CN1045" s="55"/>
      <c r="CO1045" s="55"/>
      <c r="CP1045" s="55"/>
      <c r="CQ1045" s="55"/>
      <c r="DJ1045" s="55"/>
      <c r="DK1045" s="55"/>
      <c r="DL1045" s="55"/>
      <c r="DM1045" s="55"/>
      <c r="DN1045" s="55"/>
      <c r="DO1045" s="55"/>
      <c r="DP1045" s="55"/>
      <c r="DQ1045" s="55"/>
      <c r="DR1045" s="55"/>
      <c r="DS1045" s="55"/>
      <c r="DT1045" s="55"/>
      <c r="DU1045" s="55"/>
      <c r="DV1045" s="55"/>
    </row>
    <row r="1046" spans="1:126" ht="12.75" x14ac:dyDescent="0.2">
      <c r="A1046" s="54"/>
      <c r="B1046" s="75"/>
      <c r="C1046" s="75"/>
      <c r="D1046" s="75"/>
      <c r="E1046" s="75"/>
      <c r="F1046" s="75"/>
      <c r="G1046" s="75"/>
      <c r="H1046" s="75"/>
      <c r="I1046" s="75"/>
      <c r="J1046" s="75"/>
      <c r="K1046" s="75"/>
      <c r="L1046" s="75"/>
      <c r="M1046" s="75"/>
      <c r="N1046" s="75"/>
      <c r="O1046" s="75"/>
      <c r="P1046" s="75"/>
      <c r="Q1046" s="75"/>
      <c r="R1046" s="75"/>
      <c r="S1046" s="75"/>
      <c r="T1046" s="75"/>
      <c r="U1046" s="75"/>
      <c r="V1046" s="75"/>
      <c r="W1046" s="75"/>
      <c r="X1046" s="75"/>
      <c r="Y1046" s="75"/>
      <c r="Z1046" s="75"/>
      <c r="AA1046" s="76"/>
      <c r="AB1046" s="76"/>
      <c r="AC1046" s="76"/>
      <c r="AD1046" s="76"/>
      <c r="AE1046" s="76"/>
      <c r="AF1046" s="76"/>
      <c r="AG1046" s="76"/>
      <c r="AH1046" s="76"/>
      <c r="AI1046" s="76"/>
      <c r="AJ1046" s="94"/>
      <c r="AY1046" s="55"/>
      <c r="AZ1046" s="55"/>
      <c r="BA1046" s="55"/>
      <c r="BB1046" s="55"/>
      <c r="BC1046" s="55"/>
      <c r="BD1046" s="55"/>
      <c r="BE1046" s="55"/>
      <c r="BF1046" s="55"/>
      <c r="BG1046" s="55"/>
      <c r="BH1046" s="55"/>
      <c r="BI1046" s="55"/>
      <c r="BJ1046" s="55"/>
      <c r="BK1046" s="55"/>
      <c r="BL1046" s="55"/>
      <c r="BM1046" s="55"/>
      <c r="BN1046" s="55"/>
      <c r="BO1046" s="55"/>
      <c r="BP1046" s="55"/>
      <c r="BQ1046" s="55"/>
      <c r="BR1046" s="55"/>
      <c r="BS1046" s="55"/>
      <c r="BT1046" s="55"/>
      <c r="BU1046" s="55"/>
      <c r="BV1046" s="55"/>
      <c r="BW1046" s="55"/>
      <c r="BX1046" s="55"/>
      <c r="BY1046" s="55"/>
      <c r="BZ1046" s="55"/>
      <c r="CI1046" s="55"/>
      <c r="CJ1046" s="55"/>
      <c r="CK1046" s="55"/>
      <c r="CL1046" s="55"/>
      <c r="CM1046" s="55"/>
      <c r="CN1046" s="55"/>
      <c r="CO1046" s="55"/>
      <c r="CP1046" s="55"/>
      <c r="CQ1046" s="55"/>
      <c r="DJ1046" s="55"/>
      <c r="DK1046" s="55"/>
      <c r="DL1046" s="55"/>
      <c r="DM1046" s="55"/>
      <c r="DN1046" s="55"/>
      <c r="DO1046" s="55"/>
      <c r="DP1046" s="55"/>
      <c r="DQ1046" s="55"/>
      <c r="DR1046" s="55"/>
      <c r="DS1046" s="55"/>
      <c r="DT1046" s="55"/>
      <c r="DU1046" s="55"/>
      <c r="DV1046" s="55"/>
    </row>
    <row r="1047" spans="1:126" ht="12.75" customHeight="1" x14ac:dyDescent="0.2">
      <c r="A1047" s="54"/>
      <c r="B1047" s="75"/>
      <c r="C1047" s="314" t="s">
        <v>603</v>
      </c>
      <c r="D1047" s="314"/>
      <c r="E1047" s="314"/>
      <c r="F1047" s="314"/>
      <c r="G1047" s="314"/>
      <c r="H1047" s="314"/>
      <c r="I1047" s="314"/>
      <c r="J1047" s="314"/>
      <c r="K1047" s="314"/>
      <c r="L1047" s="314"/>
      <c r="M1047" s="314"/>
      <c r="N1047" s="314"/>
      <c r="O1047" s="314"/>
      <c r="P1047" s="314"/>
      <c r="Q1047" s="314"/>
      <c r="R1047" s="314"/>
      <c r="S1047" s="314"/>
      <c r="T1047" s="314"/>
      <c r="U1047" s="314"/>
      <c r="V1047" s="314"/>
      <c r="W1047" s="314"/>
      <c r="X1047" s="314"/>
      <c r="Y1047" s="314"/>
      <c r="Z1047" s="314"/>
      <c r="AA1047" s="314"/>
      <c r="AB1047" s="314"/>
      <c r="AC1047" s="314"/>
      <c r="AD1047" s="314"/>
      <c r="AE1047" s="314"/>
      <c r="AF1047" s="314"/>
      <c r="AG1047" s="314"/>
      <c r="AH1047" s="314"/>
      <c r="AI1047" s="314"/>
      <c r="AJ1047" s="314"/>
      <c r="AK1047" s="179"/>
      <c r="AY1047" s="55"/>
      <c r="AZ1047" s="55"/>
      <c r="BA1047" s="55"/>
      <c r="BB1047" s="55"/>
      <c r="BC1047" s="55"/>
      <c r="BD1047" s="55"/>
      <c r="BE1047" s="55"/>
      <c r="BF1047" s="55"/>
      <c r="BG1047" s="55"/>
      <c r="BH1047" s="55"/>
      <c r="BI1047" s="55"/>
      <c r="BJ1047" s="55"/>
      <c r="BK1047" s="55"/>
      <c r="BL1047" s="55"/>
      <c r="BM1047" s="55"/>
      <c r="BN1047" s="55"/>
      <c r="BO1047" s="55"/>
      <c r="BP1047" s="55"/>
      <c r="BQ1047" s="55"/>
      <c r="BR1047" s="55"/>
      <c r="BS1047" s="55"/>
      <c r="BT1047" s="55"/>
      <c r="BU1047" s="55"/>
      <c r="BV1047" s="55"/>
      <c r="BW1047" s="55"/>
      <c r="BX1047" s="55"/>
      <c r="BY1047" s="55"/>
      <c r="BZ1047" s="55"/>
      <c r="CI1047" s="55"/>
      <c r="CJ1047" s="55"/>
      <c r="CK1047" s="55"/>
      <c r="CL1047" s="55"/>
      <c r="CM1047" s="55"/>
      <c r="CN1047" s="55"/>
      <c r="CO1047" s="55"/>
      <c r="CP1047" s="55"/>
      <c r="CQ1047" s="55"/>
      <c r="DJ1047" s="55"/>
      <c r="DK1047" s="55"/>
      <c r="DL1047" s="55"/>
      <c r="DM1047" s="55"/>
      <c r="DN1047" s="55"/>
      <c r="DO1047" s="55"/>
      <c r="DP1047" s="55"/>
      <c r="DQ1047" s="55"/>
      <c r="DR1047" s="55"/>
      <c r="DS1047" s="55"/>
      <c r="DT1047" s="55"/>
      <c r="DU1047" s="55"/>
      <c r="DV1047" s="55"/>
    </row>
    <row r="1048" spans="1:126" ht="12.75" customHeight="1" x14ac:dyDescent="0.2">
      <c r="A1048" s="54"/>
      <c r="B1048" s="75"/>
      <c r="C1048" s="314"/>
      <c r="D1048" s="314"/>
      <c r="E1048" s="314"/>
      <c r="F1048" s="314"/>
      <c r="G1048" s="314"/>
      <c r="H1048" s="314"/>
      <c r="I1048" s="314"/>
      <c r="J1048" s="314"/>
      <c r="K1048" s="314"/>
      <c r="L1048" s="314"/>
      <c r="M1048" s="314"/>
      <c r="N1048" s="314"/>
      <c r="O1048" s="314"/>
      <c r="P1048" s="314"/>
      <c r="Q1048" s="314"/>
      <c r="R1048" s="314"/>
      <c r="S1048" s="314"/>
      <c r="T1048" s="314"/>
      <c r="U1048" s="314"/>
      <c r="V1048" s="314"/>
      <c r="W1048" s="314"/>
      <c r="X1048" s="314"/>
      <c r="Y1048" s="314"/>
      <c r="Z1048" s="314"/>
      <c r="AA1048" s="314"/>
      <c r="AB1048" s="314"/>
      <c r="AC1048" s="314"/>
      <c r="AD1048" s="314"/>
      <c r="AE1048" s="314"/>
      <c r="AF1048" s="314"/>
      <c r="AG1048" s="314"/>
      <c r="AH1048" s="314"/>
      <c r="AI1048" s="314"/>
      <c r="AJ1048" s="314"/>
      <c r="AK1048" s="179"/>
      <c r="AY1048" s="55"/>
      <c r="AZ1048" s="55"/>
      <c r="BA1048" s="55"/>
      <c r="BB1048" s="55"/>
      <c r="BC1048" s="55"/>
      <c r="BD1048" s="55"/>
      <c r="BE1048" s="55"/>
      <c r="BF1048" s="55"/>
      <c r="BG1048" s="55"/>
      <c r="BH1048" s="55"/>
      <c r="BI1048" s="55"/>
      <c r="BJ1048" s="55"/>
      <c r="BK1048" s="55"/>
      <c r="BL1048" s="55"/>
      <c r="BM1048" s="55"/>
      <c r="BN1048" s="55"/>
      <c r="BO1048" s="55"/>
      <c r="BP1048" s="55"/>
      <c r="BQ1048" s="55"/>
      <c r="BR1048" s="55"/>
      <c r="BS1048" s="55"/>
      <c r="BT1048" s="55"/>
      <c r="BU1048" s="55"/>
      <c r="BV1048" s="55"/>
      <c r="BW1048" s="55"/>
      <c r="BX1048" s="55"/>
      <c r="BY1048" s="55"/>
      <c r="BZ1048" s="55"/>
      <c r="CI1048" s="55"/>
      <c r="CJ1048" s="55"/>
      <c r="CK1048" s="55"/>
      <c r="CL1048" s="55"/>
      <c r="CM1048" s="55"/>
      <c r="CN1048" s="55"/>
      <c r="CO1048" s="55"/>
      <c r="CP1048" s="55"/>
      <c r="CQ1048" s="55"/>
      <c r="DJ1048" s="55"/>
      <c r="DK1048" s="55"/>
      <c r="DL1048" s="55"/>
      <c r="DM1048" s="55"/>
      <c r="DN1048" s="55"/>
      <c r="DO1048" s="55"/>
      <c r="DP1048" s="55"/>
      <c r="DQ1048" s="55"/>
      <c r="DR1048" s="55"/>
      <c r="DS1048" s="55"/>
      <c r="DT1048" s="55"/>
      <c r="DU1048" s="55"/>
      <c r="DV1048" s="55"/>
    </row>
    <row r="1049" spans="1:126" ht="12.75" customHeight="1" x14ac:dyDescent="0.2">
      <c r="A1049" s="56"/>
      <c r="B1049" s="75"/>
      <c r="C1049" s="75"/>
      <c r="D1049" s="75"/>
      <c r="E1049" s="76"/>
      <c r="F1049" s="75"/>
      <c r="G1049" s="75"/>
      <c r="H1049" s="75"/>
      <c r="I1049" s="75"/>
      <c r="J1049" s="75"/>
      <c r="K1049" s="75"/>
      <c r="L1049" s="75"/>
      <c r="M1049" s="75"/>
      <c r="N1049" s="75"/>
      <c r="O1049" s="75"/>
      <c r="P1049" s="75"/>
      <c r="Q1049" s="75"/>
      <c r="R1049" s="75"/>
      <c r="S1049" s="75"/>
      <c r="T1049" s="75"/>
      <c r="U1049" s="75"/>
      <c r="V1049" s="75"/>
      <c r="W1049" s="75"/>
      <c r="X1049" s="75"/>
      <c r="Y1049" s="75"/>
      <c r="Z1049" s="75"/>
      <c r="AA1049" s="76"/>
      <c r="AB1049" s="76"/>
      <c r="AC1049" s="76"/>
      <c r="AD1049" s="76"/>
      <c r="AE1049" s="76"/>
      <c r="AF1049" s="76"/>
      <c r="AG1049" s="76"/>
      <c r="AH1049" s="76"/>
      <c r="AI1049" s="76"/>
      <c r="AJ1049" s="94"/>
      <c r="AY1049" s="55"/>
      <c r="AZ1049" s="55"/>
      <c r="BA1049" s="55"/>
      <c r="BB1049" s="55"/>
      <c r="BC1049" s="55"/>
      <c r="BD1049" s="55"/>
      <c r="BE1049" s="55"/>
      <c r="BF1049" s="55"/>
      <c r="BG1049" s="55"/>
      <c r="BH1049" s="55"/>
      <c r="BI1049" s="55"/>
      <c r="BJ1049" s="55"/>
      <c r="BK1049" s="55"/>
      <c r="BL1049" s="55"/>
      <c r="BM1049" s="55"/>
      <c r="BN1049" s="55"/>
      <c r="BO1049" s="55"/>
      <c r="BP1049" s="55"/>
      <c r="BQ1049" s="55"/>
      <c r="BR1049" s="55"/>
      <c r="BS1049" s="55"/>
      <c r="BT1049" s="55"/>
      <c r="BU1049" s="55"/>
      <c r="BV1049" s="55"/>
      <c r="BW1049" s="55"/>
      <c r="BX1049" s="55"/>
      <c r="BY1049" s="55"/>
      <c r="BZ1049" s="55"/>
      <c r="CI1049" s="55"/>
      <c r="CJ1049" s="55"/>
      <c r="CK1049" s="55"/>
      <c r="CL1049" s="55"/>
      <c r="CM1049" s="55"/>
      <c r="CN1049" s="55"/>
      <c r="CO1049" s="55"/>
      <c r="CP1049" s="55"/>
      <c r="CQ1049" s="55"/>
      <c r="DJ1049" s="55"/>
      <c r="DK1049" s="55"/>
      <c r="DL1049" s="55"/>
      <c r="DM1049" s="55"/>
      <c r="DN1049" s="55"/>
      <c r="DO1049" s="55"/>
      <c r="DP1049" s="55"/>
      <c r="DQ1049" s="55"/>
      <c r="DR1049" s="55"/>
      <c r="DS1049" s="55"/>
      <c r="DT1049" s="55"/>
      <c r="DU1049" s="55"/>
      <c r="DV1049" s="55"/>
    </row>
    <row r="1050" spans="1:126" ht="12.75" customHeight="1" x14ac:dyDescent="0.2">
      <c r="A1050" s="54"/>
      <c r="B1050" s="75"/>
      <c r="C1050" s="75"/>
      <c r="D1050" s="313" t="s">
        <v>604</v>
      </c>
      <c r="E1050" s="313"/>
      <c r="F1050" s="313"/>
      <c r="G1050" s="313"/>
      <c r="H1050" s="313"/>
      <c r="I1050" s="313"/>
      <c r="J1050" s="313"/>
      <c r="K1050" s="313"/>
      <c r="L1050" s="313"/>
      <c r="M1050" s="313"/>
      <c r="N1050" s="313"/>
      <c r="O1050" s="313"/>
      <c r="P1050" s="313"/>
      <c r="Q1050" s="313"/>
      <c r="R1050" s="313"/>
      <c r="S1050" s="313"/>
      <c r="T1050" s="313"/>
      <c r="U1050" s="313"/>
      <c r="V1050" s="313"/>
      <c r="W1050" s="313"/>
      <c r="X1050" s="313"/>
      <c r="Y1050" s="313"/>
      <c r="Z1050" s="313"/>
      <c r="AA1050" s="313"/>
      <c r="AB1050" s="313"/>
      <c r="AC1050" s="313"/>
      <c r="AD1050" s="313"/>
      <c r="AE1050" s="313"/>
      <c r="AF1050" s="313"/>
      <c r="AG1050" s="313"/>
      <c r="AH1050" s="313"/>
      <c r="AI1050" s="313"/>
      <c r="AJ1050" s="313"/>
      <c r="AK1050" s="175"/>
      <c r="AY1050" s="55"/>
      <c r="AZ1050" s="55"/>
      <c r="BA1050" s="55"/>
      <c r="BB1050" s="55"/>
      <c r="BC1050" s="55"/>
      <c r="BD1050" s="55"/>
      <c r="BE1050" s="55"/>
      <c r="BF1050" s="55"/>
      <c r="BG1050" s="55"/>
      <c r="BH1050" s="55"/>
      <c r="BI1050" s="55"/>
      <c r="BJ1050" s="55"/>
      <c r="BK1050" s="55"/>
      <c r="BL1050" s="55"/>
      <c r="BM1050" s="55"/>
      <c r="BN1050" s="55"/>
      <c r="BO1050" s="55"/>
      <c r="BP1050" s="55"/>
      <c r="BQ1050" s="55"/>
      <c r="BR1050" s="55"/>
      <c r="BS1050" s="55"/>
      <c r="BT1050" s="55"/>
      <c r="BU1050" s="55"/>
      <c r="BV1050" s="55"/>
      <c r="BW1050" s="55"/>
      <c r="BX1050" s="55"/>
      <c r="BY1050" s="55"/>
      <c r="BZ1050" s="55"/>
      <c r="CI1050" s="55"/>
      <c r="CJ1050" s="55"/>
      <c r="CK1050" s="55"/>
      <c r="CL1050" s="55"/>
      <c r="CM1050" s="55"/>
      <c r="CN1050" s="55"/>
      <c r="CO1050" s="55"/>
      <c r="CP1050" s="55"/>
      <c r="CQ1050" s="55"/>
      <c r="DJ1050" s="55"/>
      <c r="DK1050" s="55"/>
      <c r="DL1050" s="55"/>
      <c r="DM1050" s="55"/>
      <c r="DN1050" s="55"/>
      <c r="DO1050" s="55"/>
      <c r="DP1050" s="55"/>
      <c r="DQ1050" s="55"/>
      <c r="DR1050" s="55"/>
      <c r="DS1050" s="55"/>
      <c r="DT1050" s="55"/>
      <c r="DU1050" s="55"/>
      <c r="DV1050" s="55"/>
    </row>
    <row r="1051" spans="1:126" ht="12.75" customHeight="1" x14ac:dyDescent="0.2">
      <c r="A1051" s="54"/>
      <c r="B1051" s="75"/>
      <c r="C1051" s="75"/>
      <c r="D1051" s="313"/>
      <c r="E1051" s="313"/>
      <c r="F1051" s="313"/>
      <c r="G1051" s="313"/>
      <c r="H1051" s="313"/>
      <c r="I1051" s="313"/>
      <c r="J1051" s="313"/>
      <c r="K1051" s="313"/>
      <c r="L1051" s="313"/>
      <c r="M1051" s="313"/>
      <c r="N1051" s="313"/>
      <c r="O1051" s="313"/>
      <c r="P1051" s="313"/>
      <c r="Q1051" s="313"/>
      <c r="R1051" s="313"/>
      <c r="S1051" s="313"/>
      <c r="T1051" s="313"/>
      <c r="U1051" s="313"/>
      <c r="V1051" s="313"/>
      <c r="W1051" s="313"/>
      <c r="X1051" s="313"/>
      <c r="Y1051" s="313"/>
      <c r="Z1051" s="313"/>
      <c r="AA1051" s="313"/>
      <c r="AB1051" s="313"/>
      <c r="AC1051" s="313"/>
      <c r="AD1051" s="313"/>
      <c r="AE1051" s="313"/>
      <c r="AF1051" s="313"/>
      <c r="AG1051" s="313"/>
      <c r="AH1051" s="313"/>
      <c r="AI1051" s="313"/>
      <c r="AJ1051" s="313"/>
      <c r="AK1051" s="182"/>
      <c r="AY1051" s="55"/>
      <c r="AZ1051" s="55"/>
      <c r="BA1051" s="55"/>
      <c r="BB1051" s="55"/>
      <c r="BC1051" s="55"/>
      <c r="BD1051" s="55"/>
      <c r="BE1051" s="55"/>
      <c r="BF1051" s="55"/>
      <c r="BG1051" s="55"/>
      <c r="BH1051" s="55"/>
      <c r="BI1051" s="55"/>
      <c r="BJ1051" s="55"/>
      <c r="BK1051" s="55"/>
      <c r="BL1051" s="55"/>
      <c r="BM1051" s="55"/>
      <c r="BN1051" s="55"/>
      <c r="BO1051" s="55"/>
      <c r="BP1051" s="55"/>
      <c r="BQ1051" s="55"/>
      <c r="BR1051" s="55"/>
      <c r="BS1051" s="55"/>
      <c r="BT1051" s="55"/>
      <c r="BU1051" s="55"/>
      <c r="BV1051" s="55"/>
      <c r="BW1051" s="55"/>
      <c r="BX1051" s="55"/>
      <c r="BY1051" s="55"/>
      <c r="BZ1051" s="55"/>
      <c r="CI1051" s="55"/>
      <c r="CJ1051" s="55"/>
      <c r="CK1051" s="55"/>
      <c r="CL1051" s="55"/>
      <c r="CM1051" s="55"/>
      <c r="CN1051" s="55"/>
      <c r="CO1051" s="55"/>
      <c r="CP1051" s="55"/>
      <c r="CQ1051" s="55"/>
      <c r="DJ1051" s="55"/>
      <c r="DK1051" s="55"/>
      <c r="DL1051" s="55"/>
      <c r="DM1051" s="55"/>
      <c r="DN1051" s="55"/>
      <c r="DO1051" s="55"/>
      <c r="DP1051" s="55"/>
      <c r="DQ1051" s="55"/>
      <c r="DR1051" s="55"/>
      <c r="DS1051" s="55"/>
      <c r="DT1051" s="55"/>
      <c r="DU1051" s="55"/>
      <c r="DV1051" s="55"/>
    </row>
    <row r="1052" spans="1:126" ht="12.75" customHeight="1" x14ac:dyDescent="0.2">
      <c r="A1052" s="54"/>
      <c r="B1052" s="75"/>
      <c r="C1052" s="75"/>
      <c r="D1052" s="77"/>
      <c r="E1052" s="77"/>
      <c r="F1052" s="77"/>
      <c r="G1052" s="77"/>
      <c r="H1052" s="77"/>
      <c r="I1052" s="77"/>
      <c r="J1052" s="77"/>
      <c r="K1052" s="77"/>
      <c r="L1052" s="77"/>
      <c r="M1052" s="77"/>
      <c r="N1052" s="77"/>
      <c r="O1052" s="77"/>
      <c r="P1052" s="77"/>
      <c r="Q1052" s="77"/>
      <c r="R1052" s="77"/>
      <c r="S1052" s="77"/>
      <c r="T1052" s="77"/>
      <c r="U1052" s="77"/>
      <c r="V1052" s="77"/>
      <c r="W1052" s="77"/>
      <c r="X1052" s="77"/>
      <c r="Y1052" s="77"/>
      <c r="Z1052" s="77"/>
      <c r="AA1052" s="77"/>
      <c r="AB1052" s="77"/>
      <c r="AC1052" s="77"/>
      <c r="AD1052" s="77"/>
      <c r="AE1052" s="77"/>
      <c r="AF1052" s="77"/>
      <c r="AG1052" s="77"/>
      <c r="AH1052" s="77"/>
      <c r="AI1052" s="77"/>
      <c r="AJ1052" s="84"/>
      <c r="AK1052" s="182"/>
      <c r="AY1052" s="55"/>
      <c r="AZ1052" s="55"/>
      <c r="BA1052" s="55"/>
      <c r="BB1052" s="55"/>
      <c r="BC1052" s="55"/>
      <c r="BD1052" s="55"/>
      <c r="BE1052" s="55"/>
      <c r="BF1052" s="55"/>
      <c r="BG1052" s="55"/>
      <c r="BH1052" s="55"/>
      <c r="BI1052" s="55"/>
      <c r="BJ1052" s="55"/>
      <c r="BK1052" s="55"/>
      <c r="BL1052" s="55"/>
      <c r="BM1052" s="55"/>
      <c r="BN1052" s="55"/>
      <c r="BO1052" s="55"/>
      <c r="BP1052" s="55"/>
      <c r="BQ1052" s="55"/>
      <c r="BR1052" s="55"/>
      <c r="BS1052" s="55"/>
      <c r="BT1052" s="55"/>
      <c r="BU1052" s="55"/>
      <c r="BV1052" s="55"/>
      <c r="BW1052" s="55"/>
      <c r="BX1052" s="55"/>
      <c r="BY1052" s="55"/>
      <c r="BZ1052" s="55"/>
      <c r="CI1052" s="55"/>
      <c r="CJ1052" s="55"/>
      <c r="CK1052" s="55"/>
      <c r="CL1052" s="55"/>
      <c r="CM1052" s="55"/>
      <c r="CN1052" s="55"/>
      <c r="CO1052" s="55"/>
      <c r="CP1052" s="55"/>
      <c r="CQ1052" s="55"/>
      <c r="DJ1052" s="55"/>
      <c r="DK1052" s="55"/>
      <c r="DL1052" s="55"/>
      <c r="DM1052" s="55"/>
      <c r="DN1052" s="55"/>
      <c r="DO1052" s="55"/>
      <c r="DP1052" s="55"/>
      <c r="DQ1052" s="55"/>
      <c r="DR1052" s="55"/>
      <c r="DS1052" s="55"/>
      <c r="DT1052" s="55"/>
      <c r="DU1052" s="55"/>
      <c r="DV1052" s="55"/>
    </row>
    <row r="1053" spans="1:126" ht="12.75" customHeight="1" x14ac:dyDescent="0.2">
      <c r="A1053" s="54"/>
      <c r="B1053" s="75"/>
      <c r="C1053" s="75"/>
      <c r="D1053" s="77"/>
      <c r="E1053" s="77"/>
      <c r="F1053" s="77"/>
      <c r="G1053" s="77"/>
      <c r="H1053" s="77"/>
      <c r="I1053" s="77"/>
      <c r="J1053" s="77"/>
      <c r="K1053" s="77"/>
      <c r="L1053" s="77"/>
      <c r="M1053" s="77"/>
      <c r="N1053" s="77"/>
      <c r="O1053" s="77"/>
      <c r="P1053" s="77"/>
      <c r="Q1053" s="77"/>
      <c r="R1053" s="77"/>
      <c r="S1053" s="77"/>
      <c r="T1053" s="77"/>
      <c r="U1053" s="77"/>
      <c r="V1053" s="77"/>
      <c r="W1053" s="77"/>
      <c r="X1053" s="77"/>
      <c r="Y1053" s="77"/>
      <c r="Z1053" s="77"/>
      <c r="AA1053" s="77"/>
      <c r="AB1053" s="77"/>
      <c r="AC1053" s="77"/>
      <c r="AD1053" s="77"/>
      <c r="AE1053" s="77"/>
      <c r="AF1053" s="77"/>
      <c r="AG1053" s="77"/>
      <c r="AH1053" s="77"/>
      <c r="AI1053" s="77"/>
      <c r="AJ1053" s="84"/>
      <c r="AK1053" s="182"/>
      <c r="AY1053" s="55"/>
      <c r="AZ1053" s="55"/>
      <c r="BA1053" s="55"/>
      <c r="BB1053" s="55"/>
      <c r="BC1053" s="55"/>
      <c r="BD1053" s="55"/>
      <c r="BE1053" s="55"/>
      <c r="BF1053" s="55"/>
      <c r="BG1053" s="55"/>
      <c r="BH1053" s="55"/>
      <c r="BI1053" s="55"/>
      <c r="BJ1053" s="55"/>
      <c r="BK1053" s="55"/>
      <c r="BL1053" s="55"/>
      <c r="BM1053" s="55"/>
      <c r="BN1053" s="55"/>
      <c r="BO1053" s="55"/>
      <c r="BP1053" s="55"/>
      <c r="BQ1053" s="55"/>
      <c r="BR1053" s="55"/>
      <c r="BS1053" s="55"/>
      <c r="BT1053" s="55"/>
      <c r="BU1053" s="55"/>
      <c r="BV1053" s="55"/>
      <c r="BW1053" s="55"/>
      <c r="BX1053" s="55"/>
      <c r="BY1053" s="55"/>
      <c r="BZ1053" s="55"/>
      <c r="CI1053" s="55"/>
      <c r="CJ1053" s="55"/>
      <c r="CK1053" s="55"/>
      <c r="CL1053" s="55"/>
      <c r="CM1053" s="55"/>
      <c r="CN1053" s="55"/>
      <c r="CO1053" s="55"/>
      <c r="CP1053" s="55"/>
      <c r="CQ1053" s="55"/>
      <c r="DJ1053" s="55"/>
      <c r="DK1053" s="55"/>
      <c r="DL1053" s="55"/>
      <c r="DM1053" s="55"/>
      <c r="DN1053" s="55"/>
      <c r="DO1053" s="55"/>
      <c r="DP1053" s="55"/>
      <c r="DQ1053" s="55"/>
      <c r="DR1053" s="55"/>
      <c r="DS1053" s="55"/>
      <c r="DT1053" s="55"/>
      <c r="DU1053" s="55"/>
      <c r="DV1053" s="55"/>
    </row>
    <row r="1054" spans="1:126" ht="12.75" customHeight="1" x14ac:dyDescent="0.2">
      <c r="A1054" s="54"/>
      <c r="B1054" s="75"/>
      <c r="C1054" s="75"/>
      <c r="D1054" s="77"/>
      <c r="E1054" s="77"/>
      <c r="F1054" s="77"/>
      <c r="G1054" s="77"/>
      <c r="H1054" s="77"/>
      <c r="I1054" s="77"/>
      <c r="J1054" s="77"/>
      <c r="K1054" s="77"/>
      <c r="L1054" s="77"/>
      <c r="M1054" s="77"/>
      <c r="N1054" s="77"/>
      <c r="O1054" s="77"/>
      <c r="P1054" s="77"/>
      <c r="Q1054" s="77"/>
      <c r="R1054" s="77"/>
      <c r="S1054" s="77"/>
      <c r="T1054" s="77"/>
      <c r="U1054" s="77"/>
      <c r="V1054" s="77"/>
      <c r="W1054" s="77"/>
      <c r="X1054" s="77"/>
      <c r="Y1054" s="77"/>
      <c r="Z1054" s="77"/>
      <c r="AA1054" s="77"/>
      <c r="AB1054" s="77"/>
      <c r="AC1054" s="77"/>
      <c r="AD1054" s="77"/>
      <c r="AE1054" s="77"/>
      <c r="AF1054" s="77"/>
      <c r="AG1054" s="77"/>
      <c r="AH1054" s="77"/>
      <c r="AI1054" s="77"/>
      <c r="AJ1054" s="84"/>
      <c r="AK1054" s="182"/>
      <c r="AY1054" s="55"/>
      <c r="AZ1054" s="55"/>
      <c r="BA1054" s="55"/>
      <c r="BB1054" s="55"/>
      <c r="BC1054" s="55"/>
      <c r="BD1054" s="55"/>
      <c r="BE1054" s="55"/>
      <c r="BF1054" s="55"/>
      <c r="BG1054" s="55"/>
      <c r="BH1054" s="55"/>
      <c r="BI1054" s="55"/>
      <c r="BJ1054" s="55"/>
      <c r="BK1054" s="55"/>
      <c r="BL1054" s="55"/>
      <c r="BM1054" s="55"/>
      <c r="BN1054" s="55"/>
      <c r="BO1054" s="55"/>
      <c r="BP1054" s="55"/>
      <c r="BQ1054" s="55"/>
      <c r="BR1054" s="55"/>
      <c r="BS1054" s="55"/>
      <c r="BT1054" s="55"/>
      <c r="BU1054" s="55"/>
      <c r="BV1054" s="55"/>
      <c r="BW1054" s="55"/>
      <c r="BX1054" s="55"/>
      <c r="BY1054" s="55"/>
      <c r="BZ1054" s="55"/>
      <c r="CI1054" s="55"/>
      <c r="CJ1054" s="55"/>
      <c r="CK1054" s="55"/>
      <c r="CL1054" s="55"/>
      <c r="CM1054" s="55"/>
      <c r="CN1054" s="55"/>
      <c r="CO1054" s="55"/>
      <c r="CP1054" s="55"/>
      <c r="CQ1054" s="55"/>
      <c r="DJ1054" s="55"/>
      <c r="DK1054" s="55"/>
      <c r="DL1054" s="55"/>
      <c r="DM1054" s="55"/>
      <c r="DN1054" s="55"/>
      <c r="DO1054" s="55"/>
      <c r="DP1054" s="55"/>
      <c r="DQ1054" s="55"/>
      <c r="DR1054" s="55"/>
      <c r="DS1054" s="55"/>
      <c r="DT1054" s="55"/>
      <c r="DU1054" s="55"/>
      <c r="DV1054" s="55"/>
    </row>
    <row r="1055" spans="1:126" ht="12.75" customHeight="1" x14ac:dyDescent="0.2">
      <c r="A1055" s="54"/>
      <c r="B1055" s="75"/>
      <c r="C1055" s="75"/>
      <c r="D1055" s="77"/>
      <c r="E1055" s="77"/>
      <c r="F1055" s="77"/>
      <c r="G1055" s="77"/>
      <c r="H1055" s="77"/>
      <c r="I1055" s="77"/>
      <c r="J1055" s="77"/>
      <c r="K1055" s="77"/>
      <c r="L1055" s="77"/>
      <c r="M1055" s="77"/>
      <c r="N1055" s="77"/>
      <c r="O1055" s="77"/>
      <c r="P1055" s="77"/>
      <c r="Q1055" s="77"/>
      <c r="R1055" s="77"/>
      <c r="S1055" s="77"/>
      <c r="T1055" s="77"/>
      <c r="U1055" s="77"/>
      <c r="V1055" s="77"/>
      <c r="W1055" s="77"/>
      <c r="X1055" s="77"/>
      <c r="Y1055" s="77"/>
      <c r="Z1055" s="77"/>
      <c r="AA1055" s="77"/>
      <c r="AB1055" s="77"/>
      <c r="AC1055" s="77"/>
      <c r="AD1055" s="77"/>
      <c r="AE1055" s="77"/>
      <c r="AF1055" s="77"/>
      <c r="AG1055" s="77"/>
      <c r="AH1055" s="77"/>
      <c r="AI1055" s="77"/>
      <c r="AJ1055" s="84"/>
      <c r="AK1055" s="182"/>
      <c r="AY1055" s="55"/>
      <c r="AZ1055" s="55"/>
      <c r="BA1055" s="55"/>
      <c r="BB1055" s="55"/>
      <c r="BC1055" s="55"/>
      <c r="BD1055" s="55"/>
      <c r="BE1055" s="55"/>
      <c r="BF1055" s="55"/>
      <c r="BG1055" s="55"/>
      <c r="BH1055" s="55"/>
      <c r="BI1055" s="55"/>
      <c r="BJ1055" s="55"/>
      <c r="BK1055" s="55"/>
      <c r="BL1055" s="55"/>
      <c r="BM1055" s="55"/>
      <c r="BN1055" s="55"/>
      <c r="BO1055" s="55"/>
      <c r="BP1055" s="55"/>
      <c r="BQ1055" s="55"/>
      <c r="BR1055" s="55"/>
      <c r="BS1055" s="55"/>
      <c r="BT1055" s="55"/>
      <c r="BU1055" s="55"/>
      <c r="BV1055" s="55"/>
      <c r="BW1055" s="55"/>
      <c r="BX1055" s="55"/>
      <c r="BY1055" s="55"/>
      <c r="BZ1055" s="55"/>
      <c r="CI1055" s="55"/>
      <c r="CJ1055" s="55"/>
      <c r="CK1055" s="55"/>
      <c r="CL1055" s="55"/>
      <c r="CM1055" s="55"/>
      <c r="CN1055" s="55"/>
      <c r="CO1055" s="55"/>
      <c r="CP1055" s="55"/>
      <c r="CQ1055" s="55"/>
      <c r="DJ1055" s="55"/>
      <c r="DK1055" s="55"/>
      <c r="DL1055" s="55"/>
      <c r="DM1055" s="55"/>
      <c r="DN1055" s="55"/>
      <c r="DO1055" s="55"/>
      <c r="DP1055" s="55"/>
      <c r="DQ1055" s="55"/>
      <c r="DR1055" s="55"/>
      <c r="DS1055" s="55"/>
      <c r="DT1055" s="55"/>
      <c r="DU1055" s="55"/>
      <c r="DV1055" s="55"/>
    </row>
    <row r="1056" spans="1:126" ht="12.75" customHeight="1" x14ac:dyDescent="0.2">
      <c r="A1056" s="54"/>
      <c r="B1056" s="75"/>
      <c r="C1056" s="75"/>
      <c r="D1056" s="77"/>
      <c r="E1056" s="77"/>
      <c r="F1056" s="77"/>
      <c r="G1056" s="77"/>
      <c r="H1056" s="77"/>
      <c r="I1056" s="77"/>
      <c r="J1056" s="77"/>
      <c r="K1056" s="77"/>
      <c r="L1056" s="77"/>
      <c r="M1056" s="77"/>
      <c r="N1056" s="77"/>
      <c r="O1056" s="77"/>
      <c r="P1056" s="77"/>
      <c r="Q1056" s="77"/>
      <c r="R1056" s="77"/>
      <c r="S1056" s="77"/>
      <c r="T1056" s="77"/>
      <c r="U1056" s="77"/>
      <c r="V1056" s="77"/>
      <c r="W1056" s="77"/>
      <c r="X1056" s="77"/>
      <c r="Y1056" s="77"/>
      <c r="Z1056" s="77"/>
      <c r="AA1056" s="77"/>
      <c r="AB1056" s="77"/>
      <c r="AC1056" s="77"/>
      <c r="AD1056" s="77"/>
      <c r="AE1056" s="77"/>
      <c r="AF1056" s="77"/>
      <c r="AG1056" s="77"/>
      <c r="AH1056" s="77"/>
      <c r="AI1056" s="77"/>
      <c r="AJ1056" s="84"/>
      <c r="AK1056" s="182"/>
      <c r="AY1056" s="55"/>
      <c r="AZ1056" s="55"/>
      <c r="BA1056" s="55"/>
      <c r="BB1056" s="55"/>
      <c r="BC1056" s="55"/>
      <c r="BD1056" s="55"/>
      <c r="BE1056" s="55"/>
      <c r="BF1056" s="55"/>
      <c r="BG1056" s="55"/>
      <c r="BH1056" s="55"/>
      <c r="BI1056" s="55"/>
      <c r="BJ1056" s="55"/>
      <c r="BK1056" s="55"/>
      <c r="BL1056" s="55"/>
      <c r="BM1056" s="55"/>
      <c r="BN1056" s="55"/>
      <c r="BO1056" s="55"/>
      <c r="BP1056" s="55"/>
      <c r="BQ1056" s="55"/>
      <c r="BR1056" s="55"/>
      <c r="BS1056" s="55"/>
      <c r="BT1056" s="55"/>
      <c r="BU1056" s="55"/>
      <c r="BV1056" s="55"/>
      <c r="BW1056" s="55"/>
      <c r="BX1056" s="55"/>
      <c r="BY1056" s="55"/>
      <c r="BZ1056" s="55"/>
      <c r="CI1056" s="55"/>
      <c r="CJ1056" s="55"/>
      <c r="CK1056" s="55"/>
      <c r="CL1056" s="55"/>
      <c r="CM1056" s="55"/>
      <c r="CN1056" s="55"/>
      <c r="CO1056" s="55"/>
      <c r="CP1056" s="55"/>
      <c r="CQ1056" s="55"/>
      <c r="DJ1056" s="55"/>
      <c r="DK1056" s="55"/>
      <c r="DL1056" s="55"/>
      <c r="DM1056" s="55"/>
      <c r="DN1056" s="55"/>
      <c r="DO1056" s="55"/>
      <c r="DP1056" s="55"/>
      <c r="DQ1056" s="55"/>
      <c r="DR1056" s="55"/>
      <c r="DS1056" s="55"/>
      <c r="DT1056" s="55"/>
      <c r="DU1056" s="55"/>
      <c r="DV1056" s="55"/>
    </row>
    <row r="1057" spans="1:126" ht="12.75" customHeight="1" x14ac:dyDescent="0.2">
      <c r="A1057" s="54"/>
      <c r="B1057" s="75"/>
      <c r="C1057" s="75"/>
      <c r="D1057" s="77"/>
      <c r="E1057" s="77"/>
      <c r="F1057" s="77"/>
      <c r="G1057" s="77"/>
      <c r="H1057" s="77"/>
      <c r="I1057" s="77"/>
      <c r="J1057" s="77"/>
      <c r="K1057" s="77"/>
      <c r="L1057" s="77"/>
      <c r="M1057" s="77"/>
      <c r="N1057" s="77"/>
      <c r="O1057" s="77"/>
      <c r="P1057" s="77"/>
      <c r="Q1057" s="77"/>
      <c r="R1057" s="77"/>
      <c r="S1057" s="77"/>
      <c r="T1057" s="77"/>
      <c r="U1057" s="77"/>
      <c r="V1057" s="77"/>
      <c r="W1057" s="77"/>
      <c r="X1057" s="77"/>
      <c r="Y1057" s="77"/>
      <c r="Z1057" s="77"/>
      <c r="AA1057" s="77"/>
      <c r="AB1057" s="77"/>
      <c r="AC1057" s="77"/>
      <c r="AD1057" s="77"/>
      <c r="AE1057" s="77"/>
      <c r="AF1057" s="77"/>
      <c r="AG1057" s="77"/>
      <c r="AH1057" s="77"/>
      <c r="AI1057" s="77"/>
      <c r="AJ1057" s="84"/>
      <c r="AK1057" s="182"/>
      <c r="AY1057" s="55"/>
      <c r="AZ1057" s="55"/>
      <c r="BA1057" s="55"/>
      <c r="BB1057" s="55"/>
      <c r="BC1057" s="55"/>
      <c r="BD1057" s="55"/>
      <c r="BE1057" s="55"/>
      <c r="BF1057" s="55"/>
      <c r="BG1057" s="55"/>
      <c r="BH1057" s="55"/>
      <c r="BI1057" s="55"/>
      <c r="BJ1057" s="55"/>
      <c r="BK1057" s="55"/>
      <c r="BL1057" s="55"/>
      <c r="BM1057" s="55"/>
      <c r="BN1057" s="55"/>
      <c r="BO1057" s="55"/>
      <c r="BP1057" s="55"/>
      <c r="BQ1057" s="55"/>
      <c r="BR1057" s="55"/>
      <c r="BS1057" s="55"/>
      <c r="BT1057" s="55"/>
      <c r="BU1057" s="55"/>
      <c r="BV1057" s="55"/>
      <c r="BW1057" s="55"/>
      <c r="BX1057" s="55"/>
      <c r="BY1057" s="55"/>
      <c r="BZ1057" s="55"/>
      <c r="CI1057" s="55"/>
      <c r="CJ1057" s="55"/>
      <c r="CK1057" s="55"/>
      <c r="CL1057" s="55"/>
      <c r="CM1057" s="55"/>
      <c r="CN1057" s="55"/>
      <c r="CO1057" s="55"/>
      <c r="CP1057" s="55"/>
      <c r="CQ1057" s="55"/>
      <c r="DJ1057" s="55"/>
      <c r="DK1057" s="55"/>
      <c r="DL1057" s="55"/>
      <c r="DM1057" s="55"/>
      <c r="DN1057" s="55"/>
      <c r="DO1057" s="55"/>
      <c r="DP1057" s="55"/>
      <c r="DQ1057" s="55"/>
      <c r="DR1057" s="55"/>
      <c r="DS1057" s="55"/>
      <c r="DT1057" s="55"/>
      <c r="DU1057" s="55"/>
      <c r="DV1057" s="55"/>
    </row>
    <row r="1058" spans="1:126" ht="12.75" customHeight="1" x14ac:dyDescent="0.2">
      <c r="A1058" s="54"/>
      <c r="B1058" s="75"/>
      <c r="C1058" s="75"/>
      <c r="D1058" s="77"/>
      <c r="E1058" s="77"/>
      <c r="F1058" s="77"/>
      <c r="G1058" s="77"/>
      <c r="H1058" s="77"/>
      <c r="I1058" s="77"/>
      <c r="J1058" s="77"/>
      <c r="K1058" s="77"/>
      <c r="L1058" s="77"/>
      <c r="M1058" s="77"/>
      <c r="N1058" s="77"/>
      <c r="O1058" s="77"/>
      <c r="P1058" s="77"/>
      <c r="Q1058" s="77"/>
      <c r="R1058" s="77"/>
      <c r="S1058" s="77"/>
      <c r="T1058" s="77"/>
      <c r="U1058" s="77"/>
      <c r="V1058" s="77"/>
      <c r="W1058" s="77"/>
      <c r="X1058" s="77"/>
      <c r="Y1058" s="77"/>
      <c r="Z1058" s="77"/>
      <c r="AA1058" s="77"/>
      <c r="AB1058" s="77"/>
      <c r="AC1058" s="77"/>
      <c r="AD1058" s="77"/>
      <c r="AE1058" s="77"/>
      <c r="AF1058" s="77"/>
      <c r="AG1058" s="77"/>
      <c r="AH1058" s="77"/>
      <c r="AI1058" s="77"/>
      <c r="AJ1058" s="84"/>
      <c r="AK1058" s="182"/>
      <c r="AY1058" s="55"/>
      <c r="AZ1058" s="55"/>
      <c r="BA1058" s="55"/>
      <c r="BB1058" s="55"/>
      <c r="BC1058" s="55"/>
      <c r="BD1058" s="55"/>
      <c r="BE1058" s="55"/>
      <c r="BF1058" s="55"/>
      <c r="BG1058" s="55"/>
      <c r="BH1058" s="55"/>
      <c r="BI1058" s="55"/>
      <c r="BJ1058" s="55"/>
      <c r="BK1058" s="55"/>
      <c r="BL1058" s="55"/>
      <c r="BM1058" s="55"/>
      <c r="BN1058" s="55"/>
      <c r="BO1058" s="55"/>
      <c r="BP1058" s="55"/>
      <c r="BQ1058" s="55"/>
      <c r="BR1058" s="55"/>
      <c r="BS1058" s="55"/>
      <c r="BT1058" s="55"/>
      <c r="BU1058" s="55"/>
      <c r="BV1058" s="55"/>
      <c r="BW1058" s="55"/>
      <c r="BX1058" s="55"/>
      <c r="BY1058" s="55"/>
      <c r="BZ1058" s="55"/>
      <c r="CI1058" s="55"/>
      <c r="CJ1058" s="55"/>
      <c r="CK1058" s="55"/>
      <c r="CL1058" s="55"/>
      <c r="CM1058" s="55"/>
      <c r="CN1058" s="55"/>
      <c r="CO1058" s="55"/>
      <c r="CP1058" s="55"/>
      <c r="CQ1058" s="55"/>
      <c r="DJ1058" s="55"/>
      <c r="DK1058" s="55"/>
      <c r="DL1058" s="55"/>
      <c r="DM1058" s="55"/>
      <c r="DN1058" s="55"/>
      <c r="DO1058" s="55"/>
      <c r="DP1058" s="55"/>
      <c r="DQ1058" s="55"/>
      <c r="DR1058" s="55"/>
      <c r="DS1058" s="55"/>
      <c r="DT1058" s="55"/>
      <c r="DU1058" s="55"/>
      <c r="DV1058" s="55"/>
    </row>
    <row r="1059" spans="1:126" ht="12.75" customHeight="1" x14ac:dyDescent="0.2">
      <c r="A1059" s="54"/>
      <c r="B1059" s="75"/>
      <c r="C1059" s="75"/>
      <c r="D1059" s="77"/>
      <c r="E1059" s="77"/>
      <c r="F1059" s="77"/>
      <c r="G1059" s="77"/>
      <c r="H1059" s="77"/>
      <c r="I1059" s="77"/>
      <c r="J1059" s="77"/>
      <c r="K1059" s="77"/>
      <c r="L1059" s="77"/>
      <c r="M1059" s="77"/>
      <c r="N1059" s="77"/>
      <c r="O1059" s="77"/>
      <c r="P1059" s="77"/>
      <c r="Q1059" s="77"/>
      <c r="R1059" s="77"/>
      <c r="S1059" s="77"/>
      <c r="T1059" s="77"/>
      <c r="U1059" s="77"/>
      <c r="V1059" s="77"/>
      <c r="W1059" s="77"/>
      <c r="X1059" s="77"/>
      <c r="Y1059" s="77"/>
      <c r="Z1059" s="77"/>
      <c r="AA1059" s="77"/>
      <c r="AB1059" s="77"/>
      <c r="AC1059" s="77"/>
      <c r="AD1059" s="77"/>
      <c r="AE1059" s="77"/>
      <c r="AF1059" s="77"/>
      <c r="AG1059" s="77"/>
      <c r="AH1059" s="77"/>
      <c r="AI1059" s="77"/>
      <c r="AJ1059" s="84"/>
      <c r="AK1059" s="182"/>
      <c r="AY1059" s="55"/>
      <c r="AZ1059" s="55"/>
      <c r="BA1059" s="55"/>
      <c r="BB1059" s="55"/>
      <c r="BC1059" s="55"/>
      <c r="BD1059" s="55"/>
      <c r="BE1059" s="55"/>
      <c r="BF1059" s="55"/>
      <c r="BG1059" s="55"/>
      <c r="BH1059" s="55"/>
      <c r="BI1059" s="55"/>
      <c r="BJ1059" s="55"/>
      <c r="BK1059" s="55"/>
      <c r="BL1059" s="55"/>
      <c r="BM1059" s="55"/>
      <c r="BN1059" s="55"/>
      <c r="BO1059" s="55"/>
      <c r="BP1059" s="55"/>
      <c r="BQ1059" s="55"/>
      <c r="BR1059" s="55"/>
      <c r="BS1059" s="55"/>
      <c r="BT1059" s="55"/>
      <c r="BU1059" s="55"/>
      <c r="BV1059" s="55"/>
      <c r="BW1059" s="55"/>
      <c r="BX1059" s="55"/>
      <c r="BY1059" s="55"/>
      <c r="BZ1059" s="55"/>
      <c r="CI1059" s="55"/>
      <c r="CJ1059" s="55"/>
      <c r="CK1059" s="55"/>
      <c r="CL1059" s="55"/>
      <c r="CM1059" s="55"/>
      <c r="CN1059" s="55"/>
      <c r="CO1059" s="55"/>
      <c r="CP1059" s="55"/>
      <c r="CQ1059" s="55"/>
      <c r="DJ1059" s="55"/>
      <c r="DK1059" s="55"/>
      <c r="DL1059" s="55"/>
      <c r="DM1059" s="55"/>
      <c r="DN1059" s="55"/>
      <c r="DO1059" s="55"/>
      <c r="DP1059" s="55"/>
      <c r="DQ1059" s="55"/>
      <c r="DR1059" s="55"/>
      <c r="DS1059" s="55"/>
      <c r="DT1059" s="55"/>
      <c r="DU1059" s="55"/>
      <c r="DV1059" s="55"/>
    </row>
    <row r="1060" spans="1:126" ht="12.75" customHeight="1" x14ac:dyDescent="0.2">
      <c r="A1060" s="54"/>
      <c r="B1060" s="75"/>
      <c r="C1060" s="75"/>
      <c r="D1060" s="77"/>
      <c r="E1060" s="77"/>
      <c r="F1060" s="77"/>
      <c r="G1060" s="77"/>
      <c r="H1060" s="77"/>
      <c r="I1060" s="77"/>
      <c r="J1060" s="77"/>
      <c r="K1060" s="77"/>
      <c r="L1060" s="77"/>
      <c r="M1060" s="77"/>
      <c r="N1060" s="77"/>
      <c r="O1060" s="77"/>
      <c r="P1060" s="77"/>
      <c r="Q1060" s="77"/>
      <c r="R1060" s="77"/>
      <c r="S1060" s="77"/>
      <c r="T1060" s="77"/>
      <c r="U1060" s="77"/>
      <c r="V1060" s="77"/>
      <c r="W1060" s="77"/>
      <c r="X1060" s="77"/>
      <c r="Y1060" s="77"/>
      <c r="Z1060" s="77"/>
      <c r="AA1060" s="77"/>
      <c r="AB1060" s="77"/>
      <c r="AC1060" s="77"/>
      <c r="AD1060" s="77"/>
      <c r="AE1060" s="77"/>
      <c r="AF1060" s="77"/>
      <c r="AG1060" s="77"/>
      <c r="AH1060" s="77"/>
      <c r="AI1060" s="77"/>
      <c r="AJ1060" s="84"/>
      <c r="AK1060" s="182"/>
      <c r="AY1060" s="55"/>
      <c r="AZ1060" s="55"/>
      <c r="BA1060" s="55"/>
      <c r="BB1060" s="55"/>
      <c r="BC1060" s="55"/>
      <c r="BD1060" s="55"/>
      <c r="BE1060" s="55"/>
      <c r="BF1060" s="55"/>
      <c r="BG1060" s="55"/>
      <c r="BH1060" s="55"/>
      <c r="BI1060" s="55"/>
      <c r="BJ1060" s="55"/>
      <c r="BK1060" s="55"/>
      <c r="BL1060" s="55"/>
      <c r="BM1060" s="55"/>
      <c r="BN1060" s="55"/>
      <c r="BO1060" s="55"/>
      <c r="BP1060" s="55"/>
      <c r="BQ1060" s="55"/>
      <c r="BR1060" s="55"/>
      <c r="BS1060" s="55"/>
      <c r="BT1060" s="55"/>
      <c r="BU1060" s="55"/>
      <c r="BV1060" s="55"/>
      <c r="BW1060" s="55"/>
      <c r="BX1060" s="55"/>
      <c r="BY1060" s="55"/>
      <c r="BZ1060" s="55"/>
      <c r="CI1060" s="55"/>
      <c r="CJ1060" s="55"/>
      <c r="CK1060" s="55"/>
      <c r="CL1060" s="55"/>
      <c r="CM1060" s="55"/>
      <c r="CN1060" s="55"/>
      <c r="CO1060" s="55"/>
      <c r="CP1060" s="55"/>
      <c r="CQ1060" s="55"/>
      <c r="DJ1060" s="55"/>
      <c r="DK1060" s="55"/>
      <c r="DL1060" s="55"/>
      <c r="DM1060" s="55"/>
      <c r="DN1060" s="55"/>
      <c r="DO1060" s="55"/>
      <c r="DP1060" s="55"/>
      <c r="DQ1060" s="55"/>
      <c r="DR1060" s="55"/>
      <c r="DS1060" s="55"/>
      <c r="DT1060" s="55"/>
      <c r="DU1060" s="55"/>
      <c r="DV1060" s="55"/>
    </row>
    <row r="1061" spans="1:126" ht="12.75" customHeight="1" x14ac:dyDescent="0.2">
      <c r="A1061" s="54"/>
      <c r="B1061" s="75"/>
      <c r="C1061" s="75"/>
      <c r="D1061" s="77"/>
      <c r="E1061" s="77"/>
      <c r="F1061" s="77"/>
      <c r="G1061" s="77"/>
      <c r="H1061" s="77"/>
      <c r="I1061" s="77"/>
      <c r="J1061" s="77"/>
      <c r="K1061" s="77"/>
      <c r="L1061" s="77"/>
      <c r="M1061" s="77"/>
      <c r="N1061" s="77"/>
      <c r="O1061" s="77"/>
      <c r="P1061" s="77"/>
      <c r="Q1061" s="77"/>
      <c r="R1061" s="77"/>
      <c r="S1061" s="77"/>
      <c r="T1061" s="77"/>
      <c r="U1061" s="77"/>
      <c r="V1061" s="77"/>
      <c r="W1061" s="77"/>
      <c r="X1061" s="77"/>
      <c r="Y1061" s="77"/>
      <c r="Z1061" s="77"/>
      <c r="AA1061" s="77"/>
      <c r="AB1061" s="77"/>
      <c r="AC1061" s="77"/>
      <c r="AD1061" s="77"/>
      <c r="AE1061" s="77"/>
      <c r="AF1061" s="77"/>
      <c r="AG1061" s="77"/>
      <c r="AH1061" s="77"/>
      <c r="AI1061" s="77"/>
      <c r="AJ1061" s="84"/>
      <c r="AK1061" s="182"/>
      <c r="AY1061" s="55"/>
      <c r="AZ1061" s="55"/>
      <c r="BA1061" s="55"/>
      <c r="BB1061" s="55"/>
      <c r="BC1061" s="55"/>
      <c r="BD1061" s="55"/>
      <c r="BE1061" s="55"/>
      <c r="BF1061" s="55"/>
      <c r="BG1061" s="55"/>
      <c r="BH1061" s="55"/>
      <c r="BI1061" s="55"/>
      <c r="BJ1061" s="55"/>
      <c r="BK1061" s="55"/>
      <c r="BL1061" s="55"/>
      <c r="BM1061" s="55"/>
      <c r="BN1061" s="55"/>
      <c r="BO1061" s="55"/>
      <c r="BP1061" s="55"/>
      <c r="BQ1061" s="55"/>
      <c r="BR1061" s="55"/>
      <c r="BS1061" s="55"/>
      <c r="BT1061" s="55"/>
      <c r="BU1061" s="55"/>
      <c r="BV1061" s="55"/>
      <c r="BW1061" s="55"/>
      <c r="BX1061" s="55"/>
      <c r="BY1061" s="55"/>
      <c r="BZ1061" s="55"/>
      <c r="CI1061" s="55"/>
      <c r="CJ1061" s="55"/>
      <c r="CK1061" s="55"/>
      <c r="CL1061" s="55"/>
      <c r="CM1061" s="55"/>
      <c r="CN1061" s="55"/>
      <c r="CO1061" s="55"/>
      <c r="CP1061" s="55"/>
      <c r="CQ1061" s="55"/>
      <c r="DJ1061" s="55"/>
      <c r="DK1061" s="55"/>
      <c r="DL1061" s="55"/>
      <c r="DM1061" s="55"/>
      <c r="DN1061" s="55"/>
      <c r="DO1061" s="55"/>
      <c r="DP1061" s="55"/>
      <c r="DQ1061" s="55"/>
      <c r="DR1061" s="55"/>
      <c r="DS1061" s="55"/>
      <c r="DT1061" s="55"/>
      <c r="DU1061" s="55"/>
      <c r="DV1061" s="55"/>
    </row>
    <row r="1062" spans="1:126" ht="12.75" customHeight="1" x14ac:dyDescent="0.2">
      <c r="A1062" s="54"/>
      <c r="B1062" s="75"/>
      <c r="C1062" s="75"/>
      <c r="D1062" s="77"/>
      <c r="E1062" s="77"/>
      <c r="F1062" s="77"/>
      <c r="G1062" s="77"/>
      <c r="H1062" s="77"/>
      <c r="I1062" s="77"/>
      <c r="J1062" s="77"/>
      <c r="K1062" s="77"/>
      <c r="L1062" s="77"/>
      <c r="M1062" s="77"/>
      <c r="N1062" s="77"/>
      <c r="O1062" s="77"/>
      <c r="P1062" s="77"/>
      <c r="Q1062" s="77"/>
      <c r="R1062" s="77"/>
      <c r="S1062" s="77"/>
      <c r="T1062" s="77"/>
      <c r="U1062" s="77"/>
      <c r="V1062" s="77"/>
      <c r="W1062" s="77"/>
      <c r="X1062" s="77"/>
      <c r="Y1062" s="77"/>
      <c r="Z1062" s="77"/>
      <c r="AA1062" s="77"/>
      <c r="AB1062" s="77"/>
      <c r="AC1062" s="77"/>
      <c r="AD1062" s="77"/>
      <c r="AE1062" s="77"/>
      <c r="AF1062" s="77"/>
      <c r="AG1062" s="77"/>
      <c r="AH1062" s="77"/>
      <c r="AI1062" s="77"/>
      <c r="AJ1062" s="84"/>
      <c r="AK1062" s="182"/>
      <c r="AY1062" s="55"/>
      <c r="AZ1062" s="55"/>
      <c r="BA1062" s="55"/>
      <c r="BB1062" s="55"/>
      <c r="BC1062" s="55"/>
      <c r="BD1062" s="55"/>
      <c r="BE1062" s="55"/>
      <c r="BF1062" s="55"/>
      <c r="BG1062" s="55"/>
      <c r="BH1062" s="55"/>
      <c r="BI1062" s="55"/>
      <c r="BJ1062" s="55"/>
      <c r="BK1062" s="55"/>
      <c r="BL1062" s="55"/>
      <c r="BM1062" s="55"/>
      <c r="BN1062" s="55"/>
      <c r="BO1062" s="55"/>
      <c r="BP1062" s="55"/>
      <c r="BQ1062" s="55"/>
      <c r="BR1062" s="55"/>
      <c r="BS1062" s="55"/>
      <c r="BT1062" s="55"/>
      <c r="BU1062" s="55"/>
      <c r="BV1062" s="55"/>
      <c r="BW1062" s="55"/>
      <c r="BX1062" s="55"/>
      <c r="BY1062" s="55"/>
      <c r="BZ1062" s="55"/>
      <c r="CI1062" s="55"/>
      <c r="CJ1062" s="55"/>
      <c r="CK1062" s="55"/>
      <c r="CL1062" s="55"/>
      <c r="CM1062" s="55"/>
      <c r="CN1062" s="55"/>
      <c r="CO1062" s="55"/>
      <c r="CP1062" s="55"/>
      <c r="CQ1062" s="55"/>
      <c r="DJ1062" s="55"/>
      <c r="DK1062" s="55"/>
      <c r="DL1062" s="55"/>
      <c r="DM1062" s="55"/>
      <c r="DN1062" s="55"/>
      <c r="DO1062" s="55"/>
      <c r="DP1062" s="55"/>
      <c r="DQ1062" s="55"/>
      <c r="DR1062" s="55"/>
      <c r="DS1062" s="55"/>
      <c r="DT1062" s="55"/>
      <c r="DU1062" s="55"/>
      <c r="DV1062" s="55"/>
    </row>
    <row r="1063" spans="1:126" ht="12.75" customHeight="1" x14ac:dyDescent="0.2">
      <c r="A1063" s="54"/>
      <c r="B1063" s="75"/>
      <c r="C1063" s="75"/>
      <c r="D1063" s="77"/>
      <c r="E1063" s="77"/>
      <c r="F1063" s="77"/>
      <c r="G1063" s="77"/>
      <c r="H1063" s="77"/>
      <c r="I1063" s="77"/>
      <c r="J1063" s="77"/>
      <c r="K1063" s="77"/>
      <c r="L1063" s="77"/>
      <c r="M1063" s="77"/>
      <c r="N1063" s="77"/>
      <c r="O1063" s="77"/>
      <c r="P1063" s="77"/>
      <c r="Q1063" s="77"/>
      <c r="R1063" s="77"/>
      <c r="S1063" s="77"/>
      <c r="T1063" s="77"/>
      <c r="U1063" s="77"/>
      <c r="V1063" s="77"/>
      <c r="W1063" s="77"/>
      <c r="X1063" s="77"/>
      <c r="Y1063" s="77"/>
      <c r="Z1063" s="77"/>
      <c r="AA1063" s="77"/>
      <c r="AB1063" s="77"/>
      <c r="AC1063" s="77"/>
      <c r="AD1063" s="77"/>
      <c r="AE1063" s="77"/>
      <c r="AF1063" s="77"/>
      <c r="AG1063" s="77"/>
      <c r="AH1063" s="77"/>
      <c r="AI1063" s="77"/>
      <c r="AJ1063" s="84"/>
      <c r="AK1063" s="182"/>
      <c r="AY1063" s="55"/>
      <c r="AZ1063" s="55"/>
      <c r="BA1063" s="55"/>
      <c r="BB1063" s="55"/>
      <c r="BC1063" s="55"/>
      <c r="BD1063" s="55"/>
      <c r="BE1063" s="55"/>
      <c r="BF1063" s="55"/>
      <c r="BG1063" s="55"/>
      <c r="BH1063" s="55"/>
      <c r="BI1063" s="55"/>
      <c r="BJ1063" s="55"/>
      <c r="BK1063" s="55"/>
      <c r="BL1063" s="55"/>
      <c r="BM1063" s="55"/>
      <c r="BN1063" s="55"/>
      <c r="BO1063" s="55"/>
      <c r="BP1063" s="55"/>
      <c r="BQ1063" s="55"/>
      <c r="BR1063" s="55"/>
      <c r="BS1063" s="55"/>
      <c r="BT1063" s="55"/>
      <c r="BU1063" s="55"/>
      <c r="BV1063" s="55"/>
      <c r="BW1063" s="55"/>
      <c r="BX1063" s="55"/>
      <c r="BY1063" s="55"/>
      <c r="BZ1063" s="55"/>
      <c r="CI1063" s="55"/>
      <c r="CJ1063" s="55"/>
      <c r="CK1063" s="55"/>
      <c r="CL1063" s="55"/>
      <c r="CM1063" s="55"/>
      <c r="CN1063" s="55"/>
      <c r="CO1063" s="55"/>
      <c r="CP1063" s="55"/>
      <c r="CQ1063" s="55"/>
      <c r="DJ1063" s="55"/>
      <c r="DK1063" s="55"/>
      <c r="DL1063" s="55"/>
      <c r="DM1063" s="55"/>
      <c r="DN1063" s="55"/>
      <c r="DO1063" s="55"/>
      <c r="DP1063" s="55"/>
      <c r="DQ1063" s="55"/>
      <c r="DR1063" s="55"/>
      <c r="DS1063" s="55"/>
      <c r="DT1063" s="55"/>
      <c r="DU1063" s="55"/>
      <c r="DV1063" s="55"/>
    </row>
    <row r="1064" spans="1:126" ht="12.75" customHeight="1" x14ac:dyDescent="0.2">
      <c r="A1064" s="54"/>
      <c r="B1064" s="75"/>
      <c r="C1064" s="75"/>
      <c r="D1064" s="77"/>
      <c r="E1064" s="77"/>
      <c r="F1064" s="77"/>
      <c r="G1064" s="77"/>
      <c r="H1064" s="77"/>
      <c r="I1064" s="77"/>
      <c r="J1064" s="77"/>
      <c r="K1064" s="77"/>
      <c r="L1064" s="77"/>
      <c r="M1064" s="77"/>
      <c r="N1064" s="77"/>
      <c r="O1064" s="77"/>
      <c r="P1064" s="77"/>
      <c r="Q1064" s="77"/>
      <c r="R1064" s="77"/>
      <c r="S1064" s="77"/>
      <c r="T1064" s="77"/>
      <c r="U1064" s="77"/>
      <c r="V1064" s="77"/>
      <c r="W1064" s="77"/>
      <c r="X1064" s="77"/>
      <c r="Y1064" s="77"/>
      <c r="Z1064" s="77"/>
      <c r="AA1064" s="77"/>
      <c r="AB1064" s="77"/>
      <c r="AC1064" s="77"/>
      <c r="AD1064" s="77"/>
      <c r="AE1064" s="77"/>
      <c r="AF1064" s="77"/>
      <c r="AG1064" s="77"/>
      <c r="AH1064" s="77"/>
      <c r="AI1064" s="77"/>
      <c r="AJ1064" s="84"/>
      <c r="AK1064" s="182"/>
      <c r="AY1064" s="55"/>
      <c r="AZ1064" s="55"/>
      <c r="BA1064" s="55"/>
      <c r="BB1064" s="55"/>
      <c r="BC1064" s="55"/>
      <c r="BD1064" s="55"/>
      <c r="BE1064" s="55"/>
      <c r="BF1064" s="55"/>
      <c r="BG1064" s="55"/>
      <c r="BH1064" s="55"/>
      <c r="BI1064" s="55"/>
      <c r="BJ1064" s="55"/>
      <c r="BK1064" s="55"/>
      <c r="BL1064" s="55"/>
      <c r="BM1064" s="55"/>
      <c r="BN1064" s="55"/>
      <c r="BO1064" s="55"/>
      <c r="BP1064" s="55"/>
      <c r="BQ1064" s="55"/>
      <c r="BR1064" s="55"/>
      <c r="BS1064" s="55"/>
      <c r="BT1064" s="55"/>
      <c r="BU1064" s="55"/>
      <c r="BV1064" s="55"/>
      <c r="BW1064" s="55"/>
      <c r="BX1064" s="55"/>
      <c r="BY1064" s="55"/>
      <c r="BZ1064" s="55"/>
      <c r="CI1064" s="55"/>
      <c r="CJ1064" s="55"/>
      <c r="CK1064" s="55"/>
      <c r="CL1064" s="55"/>
      <c r="CM1064" s="55"/>
      <c r="CN1064" s="55"/>
      <c r="CO1064" s="55"/>
      <c r="CP1064" s="55"/>
      <c r="CQ1064" s="55"/>
      <c r="DJ1064" s="55"/>
      <c r="DK1064" s="55"/>
      <c r="DL1064" s="55"/>
      <c r="DM1064" s="55"/>
      <c r="DN1064" s="55"/>
      <c r="DO1064" s="55"/>
      <c r="DP1064" s="55"/>
      <c r="DQ1064" s="55"/>
      <c r="DR1064" s="55"/>
      <c r="DS1064" s="55"/>
      <c r="DT1064" s="55"/>
      <c r="DU1064" s="55"/>
      <c r="DV1064" s="55"/>
    </row>
    <row r="1065" spans="1:126" ht="12.75" customHeight="1" x14ac:dyDescent="0.2">
      <c r="A1065" s="54"/>
      <c r="B1065" s="75"/>
      <c r="C1065" s="75"/>
      <c r="D1065" s="77"/>
      <c r="E1065" s="77"/>
      <c r="F1065" s="77"/>
      <c r="G1065" s="77"/>
      <c r="H1065" s="77"/>
      <c r="I1065" s="77"/>
      <c r="J1065" s="77"/>
      <c r="K1065" s="77"/>
      <c r="L1065" s="77"/>
      <c r="M1065" s="77"/>
      <c r="N1065" s="77"/>
      <c r="O1065" s="77"/>
      <c r="P1065" s="77"/>
      <c r="Q1065" s="77"/>
      <c r="R1065" s="77"/>
      <c r="S1065" s="77"/>
      <c r="T1065" s="77"/>
      <c r="U1065" s="77"/>
      <c r="V1065" s="77"/>
      <c r="W1065" s="77"/>
      <c r="X1065" s="77"/>
      <c r="Y1065" s="77"/>
      <c r="Z1065" s="77"/>
      <c r="AA1065" s="77"/>
      <c r="AB1065" s="77"/>
      <c r="AC1065" s="77"/>
      <c r="AD1065" s="77"/>
      <c r="AE1065" s="77"/>
      <c r="AF1065" s="77"/>
      <c r="AG1065" s="77"/>
      <c r="AH1065" s="77"/>
      <c r="AI1065" s="77"/>
      <c r="AJ1065" s="84"/>
      <c r="AK1065" s="182"/>
      <c r="AY1065" s="55"/>
      <c r="AZ1065" s="55"/>
      <c r="BA1065" s="55"/>
      <c r="BB1065" s="55"/>
      <c r="BC1065" s="55"/>
      <c r="BD1065" s="55"/>
      <c r="BE1065" s="55"/>
      <c r="BF1065" s="55"/>
      <c r="BG1065" s="55"/>
      <c r="BH1065" s="55"/>
      <c r="BI1065" s="55"/>
      <c r="BJ1065" s="55"/>
      <c r="BK1065" s="55"/>
      <c r="BL1065" s="55"/>
      <c r="BM1065" s="55"/>
      <c r="BN1065" s="55"/>
      <c r="BO1065" s="55"/>
      <c r="BP1065" s="55"/>
      <c r="BQ1065" s="55"/>
      <c r="BR1065" s="55"/>
      <c r="BS1065" s="55"/>
      <c r="BT1065" s="55"/>
      <c r="BU1065" s="55"/>
      <c r="BV1065" s="55"/>
      <c r="BW1065" s="55"/>
      <c r="BX1065" s="55"/>
      <c r="BY1065" s="55"/>
      <c r="BZ1065" s="55"/>
      <c r="CI1065" s="55"/>
      <c r="CJ1065" s="55"/>
      <c r="CK1065" s="55"/>
      <c r="CL1065" s="55"/>
      <c r="CM1065" s="55"/>
      <c r="CN1065" s="55"/>
      <c r="CO1065" s="55"/>
      <c r="CP1065" s="55"/>
      <c r="CQ1065" s="55"/>
      <c r="DJ1065" s="55"/>
      <c r="DK1065" s="55"/>
      <c r="DL1065" s="55"/>
      <c r="DM1065" s="55"/>
      <c r="DN1065" s="55"/>
      <c r="DO1065" s="55"/>
      <c r="DP1065" s="55"/>
      <c r="DQ1065" s="55"/>
      <c r="DR1065" s="55"/>
      <c r="DS1065" s="55"/>
      <c r="DT1065" s="55"/>
      <c r="DU1065" s="55"/>
      <c r="DV1065" s="55"/>
    </row>
    <row r="1066" spans="1:126" ht="12.75" customHeight="1" x14ac:dyDescent="0.2">
      <c r="A1066" s="54"/>
      <c r="B1066" s="75"/>
      <c r="C1066" s="75"/>
      <c r="D1066" s="77"/>
      <c r="E1066" s="77"/>
      <c r="F1066" s="77"/>
      <c r="G1066" s="77"/>
      <c r="H1066" s="77"/>
      <c r="I1066" s="77"/>
      <c r="J1066" s="77"/>
      <c r="K1066" s="77"/>
      <c r="L1066" s="77"/>
      <c r="M1066" s="77"/>
      <c r="N1066" s="77"/>
      <c r="O1066" s="77"/>
      <c r="P1066" s="77"/>
      <c r="Q1066" s="77"/>
      <c r="R1066" s="77"/>
      <c r="S1066" s="77"/>
      <c r="T1066" s="77"/>
      <c r="U1066" s="77"/>
      <c r="V1066" s="77"/>
      <c r="W1066" s="77"/>
      <c r="X1066" s="77"/>
      <c r="Y1066" s="77"/>
      <c r="Z1066" s="77"/>
      <c r="AA1066" s="77"/>
      <c r="AB1066" s="77"/>
      <c r="AC1066" s="77"/>
      <c r="AD1066" s="77"/>
      <c r="AE1066" s="77"/>
      <c r="AF1066" s="77"/>
      <c r="AG1066" s="77"/>
      <c r="AH1066" s="77"/>
      <c r="AI1066" s="77"/>
      <c r="AJ1066" s="84"/>
      <c r="AK1066" s="182"/>
      <c r="AY1066" s="55"/>
      <c r="AZ1066" s="55"/>
      <c r="BA1066" s="55"/>
      <c r="BB1066" s="55"/>
      <c r="BC1066" s="55"/>
      <c r="BD1066" s="55"/>
      <c r="BE1066" s="55"/>
      <c r="BF1066" s="55"/>
      <c r="BG1066" s="55"/>
      <c r="BH1066" s="55"/>
      <c r="BI1066" s="55"/>
      <c r="BJ1066" s="55"/>
      <c r="BK1066" s="55"/>
      <c r="BL1066" s="55"/>
      <c r="BM1066" s="55"/>
      <c r="BN1066" s="55"/>
      <c r="BO1066" s="55"/>
      <c r="BP1066" s="55"/>
      <c r="BQ1066" s="55"/>
      <c r="BR1066" s="55"/>
      <c r="BS1066" s="55"/>
      <c r="BT1066" s="55"/>
      <c r="BU1066" s="55"/>
      <c r="BV1066" s="55"/>
      <c r="BW1066" s="55"/>
      <c r="BX1066" s="55"/>
      <c r="BY1066" s="55"/>
      <c r="BZ1066" s="55"/>
      <c r="CI1066" s="55"/>
      <c r="CJ1066" s="55"/>
      <c r="CK1066" s="55"/>
      <c r="CL1066" s="55"/>
      <c r="CM1066" s="55"/>
      <c r="CN1066" s="55"/>
      <c r="CO1066" s="55"/>
      <c r="CP1066" s="55"/>
      <c r="CQ1066" s="55"/>
      <c r="DJ1066" s="55"/>
      <c r="DK1066" s="55"/>
      <c r="DL1066" s="55"/>
      <c r="DM1066" s="55"/>
      <c r="DN1066" s="55"/>
      <c r="DO1066" s="55"/>
      <c r="DP1066" s="55"/>
      <c r="DQ1066" s="55"/>
      <c r="DR1066" s="55"/>
      <c r="DS1066" s="55"/>
      <c r="DT1066" s="55"/>
      <c r="DU1066" s="55"/>
      <c r="DV1066" s="55"/>
    </row>
    <row r="1067" spans="1:126" ht="12.75" customHeight="1" x14ac:dyDescent="0.2">
      <c r="A1067" s="54"/>
      <c r="B1067" s="75"/>
      <c r="C1067" s="75"/>
      <c r="D1067" s="77"/>
      <c r="E1067" s="77"/>
      <c r="F1067" s="77"/>
      <c r="G1067" s="77"/>
      <c r="H1067" s="77"/>
      <c r="I1067" s="77"/>
      <c r="J1067" s="77"/>
      <c r="K1067" s="77"/>
      <c r="L1067" s="77"/>
      <c r="M1067" s="77"/>
      <c r="N1067" s="77"/>
      <c r="O1067" s="77"/>
      <c r="P1067" s="77"/>
      <c r="Q1067" s="77"/>
      <c r="R1067" s="77"/>
      <c r="S1067" s="77"/>
      <c r="T1067" s="77"/>
      <c r="U1067" s="77"/>
      <c r="V1067" s="77"/>
      <c r="W1067" s="77"/>
      <c r="X1067" s="77"/>
      <c r="Y1067" s="77"/>
      <c r="Z1067" s="77"/>
      <c r="AA1067" s="77"/>
      <c r="AB1067" s="77"/>
      <c r="AC1067" s="77"/>
      <c r="AD1067" s="77"/>
      <c r="AE1067" s="77"/>
      <c r="AF1067" s="77"/>
      <c r="AG1067" s="77"/>
      <c r="AH1067" s="77"/>
      <c r="AI1067" s="77"/>
      <c r="AJ1067" s="84"/>
      <c r="AK1067" s="182"/>
      <c r="AY1067" s="55"/>
      <c r="AZ1067" s="55"/>
      <c r="BA1067" s="55"/>
      <c r="BB1067" s="55"/>
      <c r="BC1067" s="55"/>
      <c r="BD1067" s="55"/>
      <c r="BE1067" s="55"/>
      <c r="BF1067" s="55"/>
      <c r="BG1067" s="55"/>
      <c r="BH1067" s="55"/>
      <c r="BI1067" s="55"/>
      <c r="BJ1067" s="55"/>
      <c r="BK1067" s="55"/>
      <c r="BL1067" s="55"/>
      <c r="BM1067" s="55"/>
      <c r="BN1067" s="55"/>
      <c r="BO1067" s="55"/>
      <c r="BP1067" s="55"/>
      <c r="BQ1067" s="55"/>
      <c r="BR1067" s="55"/>
      <c r="BS1067" s="55"/>
      <c r="BT1067" s="55"/>
      <c r="BU1067" s="55"/>
      <c r="BV1067" s="55"/>
      <c r="BW1067" s="55"/>
      <c r="BX1067" s="55"/>
      <c r="BY1067" s="55"/>
      <c r="BZ1067" s="55"/>
      <c r="CI1067" s="55"/>
      <c r="CJ1067" s="55"/>
      <c r="CK1067" s="55"/>
      <c r="CL1067" s="55"/>
      <c r="CM1067" s="55"/>
      <c r="CN1067" s="55"/>
      <c r="CO1067" s="55"/>
      <c r="CP1067" s="55"/>
      <c r="CQ1067" s="55"/>
      <c r="DJ1067" s="55"/>
      <c r="DK1067" s="55"/>
      <c r="DL1067" s="55"/>
      <c r="DM1067" s="55"/>
      <c r="DN1067" s="55"/>
      <c r="DO1067" s="55"/>
      <c r="DP1067" s="55"/>
      <c r="DQ1067" s="55"/>
      <c r="DR1067" s="55"/>
      <c r="DS1067" s="55"/>
      <c r="DT1067" s="55"/>
      <c r="DU1067" s="55"/>
      <c r="DV1067" s="55"/>
    </row>
    <row r="1068" spans="1:126" ht="12.75" customHeight="1" x14ac:dyDescent="0.2">
      <c r="A1068" s="54"/>
      <c r="B1068" s="75"/>
      <c r="C1068" s="75"/>
      <c r="D1068" s="77"/>
      <c r="E1068" s="77"/>
      <c r="F1068" s="77"/>
      <c r="G1068" s="77"/>
      <c r="H1068" s="77"/>
      <c r="I1068" s="77"/>
      <c r="J1068" s="77"/>
      <c r="K1068" s="77"/>
      <c r="L1068" s="77"/>
      <c r="M1068" s="77"/>
      <c r="N1068" s="77"/>
      <c r="O1068" s="77"/>
      <c r="P1068" s="77"/>
      <c r="Q1068" s="77"/>
      <c r="R1068" s="77"/>
      <c r="S1068" s="77"/>
      <c r="T1068" s="77"/>
      <c r="U1068" s="77"/>
      <c r="V1068" s="77"/>
      <c r="W1068" s="77"/>
      <c r="X1068" s="77"/>
      <c r="Y1068" s="77"/>
      <c r="Z1068" s="77"/>
      <c r="AA1068" s="77"/>
      <c r="AB1068" s="77"/>
      <c r="AC1068" s="77"/>
      <c r="AD1068" s="77"/>
      <c r="AE1068" s="77"/>
      <c r="AF1068" s="77"/>
      <c r="AG1068" s="77"/>
      <c r="AH1068" s="77"/>
      <c r="AI1068" s="77"/>
      <c r="AJ1068" s="84"/>
      <c r="AK1068" s="182"/>
      <c r="AY1068" s="55"/>
      <c r="AZ1068" s="55"/>
      <c r="BA1068" s="55"/>
      <c r="BB1068" s="55"/>
      <c r="BC1068" s="55"/>
      <c r="BD1068" s="55"/>
      <c r="BE1068" s="55"/>
      <c r="BF1068" s="55"/>
      <c r="BG1068" s="55"/>
      <c r="BH1068" s="55"/>
      <c r="BI1068" s="55"/>
      <c r="BJ1068" s="55"/>
      <c r="BK1068" s="55"/>
      <c r="BL1068" s="55"/>
      <c r="BM1068" s="55"/>
      <c r="BN1068" s="55"/>
      <c r="BO1068" s="55"/>
      <c r="BP1068" s="55"/>
      <c r="BQ1068" s="55"/>
      <c r="BR1068" s="55"/>
      <c r="BS1068" s="55"/>
      <c r="BT1068" s="55"/>
      <c r="BU1068" s="55"/>
      <c r="BV1068" s="55"/>
      <c r="BW1068" s="55"/>
      <c r="BX1068" s="55"/>
      <c r="BY1068" s="55"/>
      <c r="BZ1068" s="55"/>
      <c r="CI1068" s="55"/>
      <c r="CJ1068" s="55"/>
      <c r="CK1068" s="55"/>
      <c r="CL1068" s="55"/>
      <c r="CM1068" s="55"/>
      <c r="CN1068" s="55"/>
      <c r="CO1068" s="55"/>
      <c r="CP1068" s="55"/>
      <c r="CQ1068" s="55"/>
      <c r="DJ1068" s="55"/>
      <c r="DK1068" s="55"/>
      <c r="DL1068" s="55"/>
      <c r="DM1068" s="55"/>
      <c r="DN1068" s="55"/>
      <c r="DO1068" s="55"/>
      <c r="DP1068" s="55"/>
      <c r="DQ1068" s="55"/>
      <c r="DR1068" s="55"/>
      <c r="DS1068" s="55"/>
      <c r="DT1068" s="55"/>
      <c r="DU1068" s="55"/>
      <c r="DV1068" s="55"/>
    </row>
    <row r="1069" spans="1:126" ht="12.75" customHeight="1" x14ac:dyDescent="0.2">
      <c r="A1069" s="54"/>
      <c r="B1069" s="75"/>
      <c r="C1069" s="75"/>
      <c r="D1069" s="77"/>
      <c r="E1069" s="77"/>
      <c r="F1069" s="77"/>
      <c r="G1069" s="77"/>
      <c r="H1069" s="77"/>
      <c r="I1069" s="77"/>
      <c r="J1069" s="77"/>
      <c r="K1069" s="77"/>
      <c r="L1069" s="77"/>
      <c r="M1069" s="77"/>
      <c r="N1069" s="77"/>
      <c r="O1069" s="77"/>
      <c r="P1069" s="77"/>
      <c r="Q1069" s="77"/>
      <c r="R1069" s="77"/>
      <c r="S1069" s="77"/>
      <c r="T1069" s="77"/>
      <c r="U1069" s="77"/>
      <c r="V1069" s="77"/>
      <c r="W1069" s="77"/>
      <c r="X1069" s="77"/>
      <c r="Y1069" s="77"/>
      <c r="Z1069" s="77"/>
      <c r="AA1069" s="77"/>
      <c r="AB1069" s="77"/>
      <c r="AC1069" s="77"/>
      <c r="AD1069" s="77"/>
      <c r="AE1069" s="77"/>
      <c r="AF1069" s="77"/>
      <c r="AG1069" s="77"/>
      <c r="AH1069" s="77"/>
      <c r="AI1069" s="77"/>
      <c r="AJ1069" s="84"/>
      <c r="AK1069" s="182"/>
      <c r="AY1069" s="55"/>
      <c r="AZ1069" s="55"/>
      <c r="BA1069" s="55"/>
      <c r="BB1069" s="55"/>
      <c r="BC1069" s="55"/>
      <c r="BD1069" s="55"/>
      <c r="BE1069" s="55"/>
      <c r="BF1069" s="55"/>
      <c r="BG1069" s="55"/>
      <c r="BH1069" s="55"/>
      <c r="BI1069" s="55"/>
      <c r="BJ1069" s="55"/>
      <c r="BK1069" s="55"/>
      <c r="BL1069" s="55"/>
      <c r="BM1069" s="55"/>
      <c r="BN1069" s="55"/>
      <c r="BO1069" s="55"/>
      <c r="BP1069" s="55"/>
      <c r="BQ1069" s="55"/>
      <c r="BR1069" s="55"/>
      <c r="BS1069" s="55"/>
      <c r="BT1069" s="55"/>
      <c r="BU1069" s="55"/>
      <c r="BV1069" s="55"/>
      <c r="BW1069" s="55"/>
      <c r="BX1069" s="55"/>
      <c r="BY1069" s="55"/>
      <c r="BZ1069" s="55"/>
      <c r="CI1069" s="55"/>
      <c r="CJ1069" s="55"/>
      <c r="CK1069" s="55"/>
      <c r="CL1069" s="55"/>
      <c r="CM1069" s="55"/>
      <c r="CN1069" s="55"/>
      <c r="CO1069" s="55"/>
      <c r="CP1069" s="55"/>
      <c r="CQ1069" s="55"/>
      <c r="DJ1069" s="55"/>
      <c r="DK1069" s="55"/>
      <c r="DL1069" s="55"/>
      <c r="DM1069" s="55"/>
      <c r="DN1069" s="55"/>
      <c r="DO1069" s="55"/>
      <c r="DP1069" s="55"/>
      <c r="DQ1069" s="55"/>
      <c r="DR1069" s="55"/>
      <c r="DS1069" s="55"/>
      <c r="DT1069" s="55"/>
      <c r="DU1069" s="55"/>
      <c r="DV1069" s="55"/>
    </row>
    <row r="1070" spans="1:126" ht="12.75" customHeight="1" x14ac:dyDescent="0.2">
      <c r="A1070" s="54"/>
      <c r="B1070" s="75"/>
      <c r="C1070" s="75"/>
      <c r="D1070" s="77"/>
      <c r="E1070" s="77"/>
      <c r="F1070" s="77"/>
      <c r="G1070" s="77"/>
      <c r="H1070" s="77"/>
      <c r="I1070" s="77"/>
      <c r="J1070" s="77"/>
      <c r="K1070" s="77"/>
      <c r="L1070" s="77"/>
      <c r="M1070" s="77"/>
      <c r="N1070" s="77"/>
      <c r="O1070" s="77"/>
      <c r="P1070" s="77"/>
      <c r="Q1070" s="77"/>
      <c r="R1070" s="77"/>
      <c r="S1070" s="77"/>
      <c r="T1070" s="77"/>
      <c r="U1070" s="77"/>
      <c r="V1070" s="77"/>
      <c r="W1070" s="77"/>
      <c r="X1070" s="77"/>
      <c r="Y1070" s="77"/>
      <c r="Z1070" s="77"/>
      <c r="AA1070" s="77"/>
      <c r="AB1070" s="77"/>
      <c r="AC1070" s="77"/>
      <c r="AD1070" s="77"/>
      <c r="AE1070" s="77"/>
      <c r="AF1070" s="77"/>
      <c r="AG1070" s="77"/>
      <c r="AH1070" s="77"/>
      <c r="AI1070" s="77"/>
      <c r="AJ1070" s="84"/>
      <c r="AK1070" s="182"/>
      <c r="AY1070" s="55"/>
      <c r="AZ1070" s="55"/>
      <c r="BA1070" s="55"/>
      <c r="BB1070" s="55"/>
      <c r="BC1070" s="55"/>
      <c r="BD1070" s="55"/>
      <c r="BE1070" s="55"/>
      <c r="BF1070" s="55"/>
      <c r="BG1070" s="55"/>
      <c r="BH1070" s="55"/>
      <c r="BI1070" s="55"/>
      <c r="BJ1070" s="55"/>
      <c r="BK1070" s="55"/>
      <c r="BL1070" s="55"/>
      <c r="BM1070" s="55"/>
      <c r="BN1070" s="55"/>
      <c r="BO1070" s="55"/>
      <c r="BP1070" s="55"/>
      <c r="BQ1070" s="55"/>
      <c r="BR1070" s="55"/>
      <c r="BS1070" s="55"/>
      <c r="BT1070" s="55"/>
      <c r="BU1070" s="55"/>
      <c r="BV1070" s="55"/>
      <c r="BW1070" s="55"/>
      <c r="BX1070" s="55"/>
      <c r="BY1070" s="55"/>
      <c r="BZ1070" s="55"/>
      <c r="CI1070" s="55"/>
      <c r="CJ1070" s="55"/>
      <c r="CK1070" s="55"/>
      <c r="CL1070" s="55"/>
      <c r="CM1070" s="55"/>
      <c r="CN1070" s="55"/>
      <c r="CO1070" s="55"/>
      <c r="CP1070" s="55"/>
      <c r="CQ1070" s="55"/>
      <c r="DJ1070" s="55"/>
      <c r="DK1070" s="55"/>
      <c r="DL1070" s="55"/>
      <c r="DM1070" s="55"/>
      <c r="DN1070" s="55"/>
      <c r="DO1070" s="55"/>
      <c r="DP1070" s="55"/>
      <c r="DQ1070" s="55"/>
      <c r="DR1070" s="55"/>
      <c r="DS1070" s="55"/>
      <c r="DT1070" s="55"/>
      <c r="DU1070" s="55"/>
      <c r="DV1070" s="55"/>
    </row>
    <row r="1071" spans="1:126" ht="12.75" customHeight="1" x14ac:dyDescent="0.2">
      <c r="A1071" s="54"/>
      <c r="B1071" s="75"/>
      <c r="C1071" s="75"/>
      <c r="D1071" s="77"/>
      <c r="E1071" s="77"/>
      <c r="F1071" s="77"/>
      <c r="G1071" s="77"/>
      <c r="H1071" s="77"/>
      <c r="I1071" s="77"/>
      <c r="J1071" s="77"/>
      <c r="K1071" s="77"/>
      <c r="L1071" s="77"/>
      <c r="M1071" s="77"/>
      <c r="N1071" s="77"/>
      <c r="O1071" s="77"/>
      <c r="P1071" s="77"/>
      <c r="Q1071" s="77"/>
      <c r="R1071" s="77"/>
      <c r="S1071" s="77"/>
      <c r="T1071" s="77"/>
      <c r="U1071" s="77"/>
      <c r="V1071" s="77"/>
      <c r="W1071" s="77"/>
      <c r="X1071" s="77"/>
      <c r="Y1071" s="77"/>
      <c r="Z1071" s="77"/>
      <c r="AA1071" s="77"/>
      <c r="AB1071" s="77"/>
      <c r="AC1071" s="77"/>
      <c r="AD1071" s="77"/>
      <c r="AE1071" s="77"/>
      <c r="AF1071" s="77"/>
      <c r="AG1071" s="77"/>
      <c r="AH1071" s="77"/>
      <c r="AI1071" s="77"/>
      <c r="AJ1071" s="84"/>
      <c r="AK1071" s="182"/>
      <c r="AY1071" s="55"/>
      <c r="AZ1071" s="55"/>
      <c r="BA1071" s="55"/>
      <c r="BB1071" s="55"/>
      <c r="BC1071" s="55"/>
      <c r="BD1071" s="55"/>
      <c r="BE1071" s="55"/>
      <c r="BF1071" s="55"/>
      <c r="BG1071" s="55"/>
      <c r="BH1071" s="55"/>
      <c r="BI1071" s="55"/>
      <c r="BJ1071" s="55"/>
      <c r="BK1071" s="55"/>
      <c r="BL1071" s="55"/>
      <c r="BM1071" s="55"/>
      <c r="BN1071" s="55"/>
      <c r="BO1071" s="55"/>
      <c r="BP1071" s="55"/>
      <c r="BQ1071" s="55"/>
      <c r="BR1071" s="55"/>
      <c r="BS1071" s="55"/>
      <c r="BT1071" s="55"/>
      <c r="BU1071" s="55"/>
      <c r="BV1071" s="55"/>
      <c r="BW1071" s="55"/>
      <c r="BX1071" s="55"/>
      <c r="BY1071" s="55"/>
      <c r="BZ1071" s="55"/>
      <c r="CI1071" s="55"/>
      <c r="CJ1071" s="55"/>
      <c r="CK1071" s="55"/>
      <c r="CL1071" s="55"/>
      <c r="CM1071" s="55"/>
      <c r="CN1071" s="55"/>
      <c r="CO1071" s="55"/>
      <c r="CP1071" s="55"/>
      <c r="CQ1071" s="55"/>
      <c r="DJ1071" s="55"/>
      <c r="DK1071" s="55"/>
      <c r="DL1071" s="55"/>
      <c r="DM1071" s="55"/>
      <c r="DN1071" s="55"/>
      <c r="DO1071" s="55"/>
      <c r="DP1071" s="55"/>
      <c r="DQ1071" s="55"/>
      <c r="DR1071" s="55"/>
      <c r="DS1071" s="55"/>
      <c r="DT1071" s="55"/>
      <c r="DU1071" s="55"/>
      <c r="DV1071" s="55"/>
    </row>
    <row r="1072" spans="1:126" ht="12.75" customHeight="1" x14ac:dyDescent="0.2">
      <c r="A1072" s="54"/>
      <c r="B1072" s="75"/>
      <c r="C1072" s="75"/>
      <c r="D1072" s="77"/>
      <c r="E1072" s="77"/>
      <c r="F1072" s="77"/>
      <c r="G1072" s="77"/>
      <c r="H1072" s="77"/>
      <c r="I1072" s="77"/>
      <c r="J1072" s="77"/>
      <c r="K1072" s="77"/>
      <c r="L1072" s="77"/>
      <c r="M1072" s="77"/>
      <c r="N1072" s="77"/>
      <c r="O1072" s="77"/>
      <c r="P1072" s="77"/>
      <c r="Q1072" s="77"/>
      <c r="R1072" s="77"/>
      <c r="S1072" s="77"/>
      <c r="T1072" s="77"/>
      <c r="U1072" s="77"/>
      <c r="V1072" s="77"/>
      <c r="W1072" s="77"/>
      <c r="X1072" s="77"/>
      <c r="Y1072" s="77"/>
      <c r="Z1072" s="77"/>
      <c r="AA1072" s="77"/>
      <c r="AB1072" s="77"/>
      <c r="AC1072" s="77"/>
      <c r="AD1072" s="77"/>
      <c r="AE1072" s="77"/>
      <c r="AF1072" s="77"/>
      <c r="AG1072" s="77"/>
      <c r="AH1072" s="77"/>
      <c r="AI1072" s="77"/>
      <c r="AJ1072" s="84"/>
      <c r="AK1072" s="182"/>
      <c r="AY1072" s="55"/>
      <c r="AZ1072" s="55"/>
      <c r="BA1072" s="55"/>
      <c r="BB1072" s="55"/>
      <c r="BC1072" s="55"/>
      <c r="BD1072" s="55"/>
      <c r="BE1072" s="55"/>
      <c r="BF1072" s="55"/>
      <c r="BG1072" s="55"/>
      <c r="BH1072" s="55"/>
      <c r="BI1072" s="55"/>
      <c r="BJ1072" s="55"/>
      <c r="BK1072" s="55"/>
      <c r="BL1072" s="55"/>
      <c r="BM1072" s="55"/>
      <c r="BN1072" s="55"/>
      <c r="BO1072" s="55"/>
      <c r="BP1072" s="55"/>
      <c r="BQ1072" s="55"/>
      <c r="BR1072" s="55"/>
      <c r="BS1072" s="55"/>
      <c r="BT1072" s="55"/>
      <c r="BU1072" s="55"/>
      <c r="BV1072" s="55"/>
      <c r="BW1072" s="55"/>
      <c r="BX1072" s="55"/>
      <c r="BY1072" s="55"/>
      <c r="BZ1072" s="55"/>
      <c r="CI1072" s="55"/>
      <c r="CJ1072" s="55"/>
      <c r="CK1072" s="55"/>
      <c r="CL1072" s="55"/>
      <c r="CM1072" s="55"/>
      <c r="CN1072" s="55"/>
      <c r="CO1072" s="55"/>
      <c r="CP1072" s="55"/>
      <c r="CQ1072" s="55"/>
      <c r="DJ1072" s="55"/>
      <c r="DK1072" s="55"/>
      <c r="DL1072" s="55"/>
      <c r="DM1072" s="55"/>
      <c r="DN1072" s="55"/>
      <c r="DO1072" s="55"/>
      <c r="DP1072" s="55"/>
      <c r="DQ1072" s="55"/>
      <c r="DR1072" s="55"/>
      <c r="DS1072" s="55"/>
      <c r="DT1072" s="55"/>
      <c r="DU1072" s="55"/>
      <c r="DV1072" s="55"/>
    </row>
    <row r="1073" spans="1:126" ht="12.75" customHeight="1" x14ac:dyDescent="0.2">
      <c r="A1073" s="54"/>
      <c r="B1073" s="75"/>
      <c r="C1073" s="75"/>
      <c r="D1073" s="77"/>
      <c r="E1073" s="77"/>
      <c r="F1073" s="77"/>
      <c r="G1073" s="77"/>
      <c r="H1073" s="77"/>
      <c r="I1073" s="77"/>
      <c r="J1073" s="77"/>
      <c r="K1073" s="77"/>
      <c r="L1073" s="77"/>
      <c r="M1073" s="77"/>
      <c r="N1073" s="77"/>
      <c r="O1073" s="77"/>
      <c r="P1073" s="77"/>
      <c r="Q1073" s="77"/>
      <c r="R1073" s="77"/>
      <c r="S1073" s="77"/>
      <c r="T1073" s="77"/>
      <c r="U1073" s="77"/>
      <c r="V1073" s="77"/>
      <c r="W1073" s="77"/>
      <c r="X1073" s="77"/>
      <c r="Y1073" s="77"/>
      <c r="Z1073" s="77"/>
      <c r="AA1073" s="77"/>
      <c r="AB1073" s="77"/>
      <c r="AC1073" s="77"/>
      <c r="AD1073" s="77"/>
      <c r="AE1073" s="77"/>
      <c r="AF1073" s="77"/>
      <c r="AG1073" s="77"/>
      <c r="AH1073" s="77"/>
      <c r="AI1073" s="77"/>
      <c r="AJ1073" s="84"/>
      <c r="AK1073" s="182"/>
      <c r="AY1073" s="55"/>
      <c r="AZ1073" s="55"/>
      <c r="BA1073" s="55"/>
      <c r="BB1073" s="55"/>
      <c r="BC1073" s="55"/>
      <c r="BD1073" s="55"/>
      <c r="BE1073" s="55"/>
      <c r="BF1073" s="55"/>
      <c r="BG1073" s="55"/>
      <c r="BH1073" s="55"/>
      <c r="BI1073" s="55"/>
      <c r="BJ1073" s="55"/>
      <c r="BK1073" s="55"/>
      <c r="BL1073" s="55"/>
      <c r="BM1073" s="55"/>
      <c r="BN1073" s="55"/>
      <c r="BO1073" s="55"/>
      <c r="BP1073" s="55"/>
      <c r="BQ1073" s="55"/>
      <c r="BR1073" s="55"/>
      <c r="BS1073" s="55"/>
      <c r="BT1073" s="55"/>
      <c r="BU1073" s="55"/>
      <c r="BV1073" s="55"/>
      <c r="BW1073" s="55"/>
      <c r="BX1073" s="55"/>
      <c r="BY1073" s="55"/>
      <c r="BZ1073" s="55"/>
      <c r="CI1073" s="55"/>
      <c r="CJ1073" s="55"/>
      <c r="CK1073" s="55"/>
      <c r="CL1073" s="55"/>
      <c r="CM1073" s="55"/>
      <c r="CN1073" s="55"/>
      <c r="CO1073" s="55"/>
      <c r="CP1073" s="55"/>
      <c r="CQ1073" s="55"/>
      <c r="DJ1073" s="55"/>
      <c r="DK1073" s="55"/>
      <c r="DL1073" s="55"/>
      <c r="DM1073" s="55"/>
      <c r="DN1073" s="55"/>
      <c r="DO1073" s="55"/>
      <c r="DP1073" s="55"/>
      <c r="DQ1073" s="55"/>
      <c r="DR1073" s="55"/>
      <c r="DS1073" s="55"/>
      <c r="DT1073" s="55"/>
      <c r="DU1073" s="55"/>
      <c r="DV1073" s="55"/>
    </row>
    <row r="1074" spans="1:126" ht="12.75" customHeight="1" x14ac:dyDescent="0.2">
      <c r="A1074" s="54"/>
      <c r="B1074" s="75"/>
      <c r="C1074" s="75"/>
      <c r="D1074" s="77"/>
      <c r="E1074" s="77"/>
      <c r="F1074" s="77"/>
      <c r="G1074" s="77"/>
      <c r="H1074" s="77"/>
      <c r="I1074" s="77"/>
      <c r="J1074" s="77"/>
      <c r="K1074" s="77"/>
      <c r="L1074" s="77"/>
      <c r="M1074" s="77"/>
      <c r="N1074" s="77"/>
      <c r="O1074" s="77"/>
      <c r="P1074" s="77"/>
      <c r="Q1074" s="77"/>
      <c r="R1074" s="77"/>
      <c r="S1074" s="77"/>
      <c r="T1074" s="77"/>
      <c r="U1074" s="77"/>
      <c r="V1074" s="77"/>
      <c r="W1074" s="77"/>
      <c r="X1074" s="77"/>
      <c r="Y1074" s="77"/>
      <c r="Z1074" s="77"/>
      <c r="AA1074" s="77"/>
      <c r="AB1074" s="77"/>
      <c r="AC1074" s="77"/>
      <c r="AD1074" s="77"/>
      <c r="AE1074" s="77"/>
      <c r="AF1074" s="77"/>
      <c r="AG1074" s="77"/>
      <c r="AH1074" s="77"/>
      <c r="AI1074" s="77"/>
      <c r="AJ1074" s="84"/>
      <c r="AK1074" s="182"/>
      <c r="AY1074" s="55"/>
      <c r="AZ1074" s="55"/>
      <c r="BA1074" s="55"/>
      <c r="BB1074" s="55"/>
      <c r="BC1074" s="55"/>
      <c r="BD1074" s="55"/>
      <c r="BE1074" s="55"/>
      <c r="BF1074" s="55"/>
      <c r="BG1074" s="55"/>
      <c r="BH1074" s="55"/>
      <c r="BI1074" s="55"/>
      <c r="BJ1074" s="55"/>
      <c r="BK1074" s="55"/>
      <c r="BL1074" s="55"/>
      <c r="BM1074" s="55"/>
      <c r="BN1074" s="55"/>
      <c r="BO1074" s="55"/>
      <c r="BP1074" s="55"/>
      <c r="BQ1074" s="55"/>
      <c r="BR1074" s="55"/>
      <c r="BS1074" s="55"/>
      <c r="BT1074" s="55"/>
      <c r="BU1074" s="55"/>
      <c r="BV1074" s="55"/>
      <c r="BW1074" s="55"/>
      <c r="BX1074" s="55"/>
      <c r="BY1074" s="55"/>
      <c r="BZ1074" s="55"/>
      <c r="CI1074" s="55"/>
      <c r="CJ1074" s="55"/>
      <c r="CK1074" s="55"/>
      <c r="CL1074" s="55"/>
      <c r="CM1074" s="55"/>
      <c r="CN1074" s="55"/>
      <c r="CO1074" s="55"/>
      <c r="CP1074" s="55"/>
      <c r="CQ1074" s="55"/>
      <c r="DJ1074" s="55"/>
      <c r="DK1074" s="55"/>
      <c r="DL1074" s="55"/>
      <c r="DM1074" s="55"/>
      <c r="DN1074" s="55"/>
      <c r="DO1074" s="55"/>
      <c r="DP1074" s="55"/>
      <c r="DQ1074" s="55"/>
      <c r="DR1074" s="55"/>
      <c r="DS1074" s="55"/>
      <c r="DT1074" s="55"/>
      <c r="DU1074" s="55"/>
      <c r="DV1074" s="55"/>
    </row>
    <row r="1075" spans="1:126" ht="12.75" customHeight="1" x14ac:dyDescent="0.2">
      <c r="A1075" s="54"/>
      <c r="B1075" s="75"/>
      <c r="C1075" s="75"/>
      <c r="D1075" s="77"/>
      <c r="E1075" s="77"/>
      <c r="F1075" s="77"/>
      <c r="G1075" s="77"/>
      <c r="H1075" s="77"/>
      <c r="I1075" s="77"/>
      <c r="J1075" s="77"/>
      <c r="K1075" s="77"/>
      <c r="L1075" s="77"/>
      <c r="M1075" s="77"/>
      <c r="N1075" s="77"/>
      <c r="O1075" s="77"/>
      <c r="P1075" s="77"/>
      <c r="Q1075" s="77"/>
      <c r="R1075" s="77"/>
      <c r="S1075" s="77"/>
      <c r="T1075" s="77"/>
      <c r="U1075" s="77"/>
      <c r="V1075" s="77"/>
      <c r="W1075" s="77"/>
      <c r="X1075" s="77"/>
      <c r="Y1075" s="77"/>
      <c r="Z1075" s="77"/>
      <c r="AA1075" s="77"/>
      <c r="AB1075" s="77"/>
      <c r="AC1075" s="77"/>
      <c r="AD1075" s="77"/>
      <c r="AE1075" s="77"/>
      <c r="AF1075" s="77"/>
      <c r="AG1075" s="77"/>
      <c r="AH1075" s="77"/>
      <c r="AI1075" s="77"/>
      <c r="AJ1075" s="84"/>
      <c r="AK1075" s="182"/>
      <c r="AY1075" s="55"/>
      <c r="AZ1075" s="55"/>
      <c r="BA1075" s="55"/>
      <c r="BB1075" s="55"/>
      <c r="BC1075" s="55"/>
      <c r="BD1075" s="55"/>
      <c r="BE1075" s="55"/>
      <c r="BF1075" s="55"/>
      <c r="BG1075" s="55"/>
      <c r="BH1075" s="55"/>
      <c r="BI1075" s="55"/>
      <c r="BJ1075" s="55"/>
      <c r="BK1075" s="55"/>
      <c r="BL1075" s="55"/>
      <c r="BM1075" s="55"/>
      <c r="BN1075" s="55"/>
      <c r="BO1075" s="55"/>
      <c r="BP1075" s="55"/>
      <c r="BQ1075" s="55"/>
      <c r="BR1075" s="55"/>
      <c r="BS1075" s="55"/>
      <c r="BT1075" s="55"/>
      <c r="BU1075" s="55"/>
      <c r="BV1075" s="55"/>
      <c r="BW1075" s="55"/>
      <c r="BX1075" s="55"/>
      <c r="BY1075" s="55"/>
      <c r="BZ1075" s="55"/>
      <c r="CI1075" s="55"/>
      <c r="CJ1075" s="55"/>
      <c r="CK1075" s="55"/>
      <c r="CL1075" s="55"/>
      <c r="CM1075" s="55"/>
      <c r="CN1075" s="55"/>
      <c r="CO1075" s="55"/>
      <c r="CP1075" s="55"/>
      <c r="CQ1075" s="55"/>
      <c r="DJ1075" s="55"/>
      <c r="DK1075" s="55"/>
      <c r="DL1075" s="55"/>
      <c r="DM1075" s="55"/>
      <c r="DN1075" s="55"/>
      <c r="DO1075" s="55"/>
      <c r="DP1075" s="55"/>
      <c r="DQ1075" s="55"/>
      <c r="DR1075" s="55"/>
      <c r="DS1075" s="55"/>
      <c r="DT1075" s="55"/>
      <c r="DU1075" s="55"/>
      <c r="DV1075" s="55"/>
    </row>
    <row r="1076" spans="1:126" ht="12.75" customHeight="1" x14ac:dyDescent="0.2">
      <c r="A1076" s="54"/>
      <c r="B1076" s="75"/>
      <c r="C1076" s="75"/>
      <c r="D1076" s="77"/>
      <c r="E1076" s="77"/>
      <c r="F1076" s="77"/>
      <c r="G1076" s="77"/>
      <c r="H1076" s="77"/>
      <c r="I1076" s="77"/>
      <c r="J1076" s="77"/>
      <c r="K1076" s="77"/>
      <c r="L1076" s="77"/>
      <c r="M1076" s="77"/>
      <c r="N1076" s="77"/>
      <c r="O1076" s="77"/>
      <c r="P1076" s="77"/>
      <c r="Q1076" s="77"/>
      <c r="R1076" s="77"/>
      <c r="S1076" s="77"/>
      <c r="T1076" s="77"/>
      <c r="U1076" s="77"/>
      <c r="V1076" s="77"/>
      <c r="W1076" s="77"/>
      <c r="X1076" s="77"/>
      <c r="Y1076" s="77"/>
      <c r="Z1076" s="77"/>
      <c r="AA1076" s="77"/>
      <c r="AB1076" s="77"/>
      <c r="AC1076" s="77"/>
      <c r="AD1076" s="77"/>
      <c r="AE1076" s="77"/>
      <c r="AF1076" s="77"/>
      <c r="AG1076" s="77"/>
      <c r="AH1076" s="77"/>
      <c r="AI1076" s="77"/>
      <c r="AJ1076" s="84"/>
      <c r="AK1076" s="182"/>
      <c r="AY1076" s="55"/>
      <c r="AZ1076" s="55"/>
      <c r="BA1076" s="55"/>
      <c r="BB1076" s="55"/>
      <c r="BC1076" s="55"/>
      <c r="BD1076" s="55"/>
      <c r="BE1076" s="55"/>
      <c r="BF1076" s="55"/>
      <c r="BG1076" s="55"/>
      <c r="BH1076" s="55"/>
      <c r="BI1076" s="55"/>
      <c r="BJ1076" s="55"/>
      <c r="BK1076" s="55"/>
      <c r="BL1076" s="55"/>
      <c r="BM1076" s="55"/>
      <c r="BN1076" s="55"/>
      <c r="BO1076" s="55"/>
      <c r="BP1076" s="55"/>
      <c r="BQ1076" s="55"/>
      <c r="BR1076" s="55"/>
      <c r="BS1076" s="55"/>
      <c r="BT1076" s="55"/>
      <c r="BU1076" s="55"/>
      <c r="BV1076" s="55"/>
      <c r="BW1076" s="55"/>
      <c r="BX1076" s="55"/>
      <c r="BY1076" s="55"/>
      <c r="BZ1076" s="55"/>
      <c r="CI1076" s="55"/>
      <c r="CJ1076" s="55"/>
      <c r="CK1076" s="55"/>
      <c r="CL1076" s="55"/>
      <c r="CM1076" s="55"/>
      <c r="CN1076" s="55"/>
      <c r="CO1076" s="55"/>
      <c r="CP1076" s="55"/>
      <c r="CQ1076" s="55"/>
      <c r="DJ1076" s="55"/>
      <c r="DK1076" s="55"/>
      <c r="DL1076" s="55"/>
      <c r="DM1076" s="55"/>
      <c r="DN1076" s="55"/>
      <c r="DO1076" s="55"/>
      <c r="DP1076" s="55"/>
      <c r="DQ1076" s="55"/>
      <c r="DR1076" s="55"/>
      <c r="DS1076" s="55"/>
      <c r="DT1076" s="55"/>
      <c r="DU1076" s="55"/>
      <c r="DV1076" s="55"/>
    </row>
    <row r="1077" spans="1:126" ht="13.5" thickBot="1" x14ac:dyDescent="0.25">
      <c r="A1077" s="54"/>
      <c r="B1077" s="166"/>
      <c r="C1077" s="166"/>
      <c r="D1077" s="166"/>
      <c r="E1077" s="166"/>
      <c r="F1077" s="166"/>
      <c r="G1077" s="166"/>
      <c r="H1077" s="166"/>
      <c r="I1077" s="166"/>
      <c r="J1077" s="166"/>
      <c r="K1077" s="166"/>
      <c r="L1077" s="166"/>
      <c r="M1077" s="166"/>
      <c r="N1077" s="166"/>
      <c r="O1077" s="166"/>
      <c r="P1077" s="54"/>
      <c r="Q1077" s="54"/>
      <c r="R1077" s="54"/>
      <c r="S1077" s="54"/>
      <c r="T1077" s="54"/>
      <c r="U1077" s="54"/>
      <c r="V1077" s="54"/>
      <c r="W1077" s="54"/>
      <c r="X1077" s="54"/>
      <c r="Y1077" s="54"/>
      <c r="Z1077" s="54"/>
      <c r="AY1077" s="55"/>
      <c r="AZ1077" s="55"/>
      <c r="BA1077" s="55"/>
      <c r="BB1077" s="55"/>
      <c r="BC1077" s="55"/>
      <c r="BD1077" s="55"/>
      <c r="BE1077" s="55"/>
      <c r="BF1077" s="55"/>
      <c r="BG1077" s="55"/>
      <c r="BH1077" s="55"/>
      <c r="BI1077" s="55"/>
      <c r="BJ1077" s="55"/>
      <c r="BK1077" s="55"/>
      <c r="BL1077" s="55"/>
      <c r="BM1077" s="55"/>
      <c r="BN1077" s="55"/>
      <c r="BO1077" s="55"/>
      <c r="BP1077" s="55"/>
      <c r="BQ1077" s="55"/>
      <c r="BR1077" s="55"/>
      <c r="BS1077" s="55"/>
      <c r="BT1077" s="55"/>
      <c r="BU1077" s="55"/>
      <c r="BV1077" s="55"/>
      <c r="BW1077" s="55"/>
      <c r="BX1077" s="55"/>
      <c r="BY1077" s="55"/>
      <c r="BZ1077" s="55"/>
      <c r="CI1077" s="55"/>
      <c r="CJ1077" s="55"/>
      <c r="CK1077" s="55"/>
      <c r="CL1077" s="55"/>
      <c r="CM1077" s="55"/>
      <c r="CN1077" s="55"/>
      <c r="CO1077" s="55"/>
      <c r="CP1077" s="55"/>
      <c r="CQ1077" s="55"/>
      <c r="DJ1077" s="55"/>
      <c r="DK1077" s="55"/>
      <c r="DL1077" s="55"/>
      <c r="DM1077" s="55"/>
      <c r="DN1077" s="55"/>
      <c r="DO1077" s="55"/>
      <c r="DP1077" s="55"/>
      <c r="DQ1077" s="55"/>
      <c r="DR1077" s="55"/>
      <c r="DS1077" s="55"/>
      <c r="DT1077" s="55"/>
      <c r="DU1077" s="55"/>
      <c r="DV1077" s="55"/>
    </row>
    <row r="1078" spans="1:126" ht="15" x14ac:dyDescent="0.2">
      <c r="A1078" s="54"/>
      <c r="B1078" s="371" t="str">
        <f>N4</f>
        <v>Nombre de remitente</v>
      </c>
      <c r="C1078" s="371"/>
      <c r="D1078" s="371"/>
      <c r="E1078" s="371"/>
      <c r="F1078" s="371"/>
      <c r="G1078" s="371"/>
      <c r="H1078" s="371"/>
      <c r="I1078" s="371"/>
      <c r="J1078" s="371"/>
      <c r="K1078" s="371"/>
      <c r="L1078" s="371"/>
      <c r="M1078" s="371"/>
      <c r="N1078" s="371"/>
      <c r="O1078" s="371"/>
      <c r="P1078" s="54"/>
      <c r="Q1078" s="54"/>
      <c r="R1078" s="54"/>
      <c r="S1078" s="54"/>
      <c r="T1078" s="54"/>
      <c r="U1078" s="54"/>
      <c r="V1078" s="54"/>
      <c r="W1078" s="54"/>
      <c r="X1078" s="54"/>
      <c r="Y1078" s="54"/>
      <c r="Z1078" s="54"/>
      <c r="AY1078" s="55"/>
      <c r="AZ1078" s="55"/>
      <c r="BA1078" s="55"/>
      <c r="BB1078" s="55"/>
      <c r="BC1078" s="55"/>
      <c r="BD1078" s="55"/>
      <c r="BE1078" s="55"/>
      <c r="BF1078" s="55"/>
      <c r="BG1078" s="55"/>
      <c r="BH1078" s="55"/>
      <c r="BI1078" s="55"/>
      <c r="BJ1078" s="55"/>
      <c r="BK1078" s="55"/>
      <c r="BL1078" s="55"/>
      <c r="BM1078" s="55"/>
      <c r="BN1078" s="55"/>
      <c r="BO1078" s="55"/>
      <c r="BP1078" s="55"/>
      <c r="BQ1078" s="55"/>
      <c r="BR1078" s="55"/>
      <c r="BS1078" s="55"/>
      <c r="BT1078" s="55"/>
      <c r="BU1078" s="55"/>
      <c r="BV1078" s="55"/>
      <c r="BW1078" s="55"/>
      <c r="BX1078" s="55"/>
      <c r="BY1078" s="55"/>
      <c r="BZ1078" s="55"/>
      <c r="CI1078" s="55"/>
      <c r="CJ1078" s="55"/>
      <c r="CK1078" s="55"/>
      <c r="CL1078" s="55"/>
      <c r="CM1078" s="55"/>
      <c r="CN1078" s="55"/>
      <c r="CO1078" s="55"/>
      <c r="CP1078" s="55"/>
      <c r="CQ1078" s="55"/>
      <c r="DJ1078" s="55"/>
      <c r="DK1078" s="55"/>
      <c r="DL1078" s="55"/>
      <c r="DM1078" s="55"/>
      <c r="DN1078" s="55"/>
      <c r="DO1078" s="55"/>
      <c r="DP1078" s="55"/>
      <c r="DQ1078" s="55"/>
      <c r="DR1078" s="55"/>
      <c r="DS1078" s="55"/>
      <c r="DT1078" s="55"/>
      <c r="DU1078" s="55"/>
      <c r="DV1078" s="55"/>
    </row>
    <row r="1079" spans="1:126" ht="12.75" x14ac:dyDescent="0.2">
      <c r="A1079" s="54"/>
      <c r="B1079" s="372" t="str">
        <f>N3</f>
        <v>DEPARTAMENTO DE INGENIERÍA</v>
      </c>
      <c r="C1079" s="372"/>
      <c r="D1079" s="372"/>
      <c r="E1079" s="372"/>
      <c r="F1079" s="372"/>
      <c r="G1079" s="372"/>
      <c r="H1079" s="372"/>
      <c r="I1079" s="372"/>
      <c r="J1079" s="372"/>
      <c r="K1079" s="372"/>
      <c r="L1079" s="372"/>
      <c r="M1079" s="372"/>
      <c r="N1079" s="372"/>
      <c r="O1079" s="372"/>
      <c r="P1079" s="54"/>
      <c r="Q1079" s="54"/>
      <c r="R1079" s="54"/>
      <c r="S1079" s="54"/>
      <c r="T1079" s="54"/>
      <c r="U1079" s="54"/>
      <c r="V1079" s="54"/>
      <c r="W1079" s="54"/>
      <c r="X1079" s="54"/>
      <c r="Y1079" s="54"/>
      <c r="Z1079" s="54"/>
      <c r="AY1079" s="55"/>
      <c r="AZ1079" s="55"/>
      <c r="BA1079" s="55"/>
      <c r="BB1079" s="55"/>
      <c r="BC1079" s="55"/>
      <c r="BD1079" s="55"/>
      <c r="BE1079" s="55"/>
      <c r="BF1079" s="55"/>
      <c r="BG1079" s="55"/>
      <c r="BH1079" s="55"/>
      <c r="BI1079" s="55"/>
      <c r="BJ1079" s="55"/>
      <c r="BK1079" s="55"/>
      <c r="BL1079" s="55"/>
      <c r="BM1079" s="55"/>
      <c r="BN1079" s="55"/>
      <c r="BO1079" s="55"/>
      <c r="BP1079" s="55"/>
      <c r="BQ1079" s="55"/>
      <c r="BR1079" s="55"/>
      <c r="BS1079" s="55"/>
      <c r="BT1079" s="55"/>
      <c r="BU1079" s="55"/>
      <c r="BV1079" s="55"/>
      <c r="BW1079" s="55"/>
      <c r="BX1079" s="55"/>
      <c r="BY1079" s="55"/>
      <c r="BZ1079" s="55"/>
      <c r="CI1079" s="55"/>
      <c r="CJ1079" s="55"/>
      <c r="CK1079" s="55"/>
      <c r="CL1079" s="55"/>
      <c r="CM1079" s="55"/>
      <c r="CN1079" s="55"/>
      <c r="CO1079" s="55"/>
      <c r="CP1079" s="55"/>
      <c r="CQ1079" s="55"/>
      <c r="DJ1079" s="55"/>
      <c r="DK1079" s="55"/>
      <c r="DL1079" s="55"/>
      <c r="DM1079" s="55"/>
      <c r="DN1079" s="55"/>
      <c r="DO1079" s="55"/>
      <c r="DP1079" s="55"/>
      <c r="DQ1079" s="55"/>
      <c r="DR1079" s="55"/>
      <c r="DS1079" s="55"/>
      <c r="DT1079" s="55"/>
      <c r="DU1079" s="55"/>
      <c r="DV1079" s="55"/>
    </row>
    <row r="1080" spans="1:126" ht="12.75" x14ac:dyDescent="0.2">
      <c r="A1080" s="54"/>
      <c r="B1080" s="377" t="s">
        <v>270</v>
      </c>
      <c r="C1080" s="377"/>
      <c r="D1080" s="377"/>
      <c r="E1080" s="377"/>
      <c r="F1080" s="377"/>
      <c r="G1080" s="377"/>
      <c r="H1080" s="377"/>
      <c r="I1080" s="377"/>
      <c r="J1080" s="377"/>
      <c r="K1080" s="377"/>
      <c r="L1080" s="377"/>
      <c r="M1080" s="377"/>
      <c r="N1080" s="377"/>
      <c r="O1080" s="377"/>
      <c r="P1080" s="54"/>
      <c r="Q1080" s="54"/>
      <c r="R1080" s="54"/>
      <c r="S1080" s="54"/>
      <c r="T1080" s="54"/>
      <c r="U1080" s="54"/>
      <c r="V1080" s="54"/>
      <c r="W1080" s="54"/>
      <c r="X1080" s="54"/>
      <c r="Y1080" s="54"/>
      <c r="Z1080" s="54"/>
      <c r="AY1080" s="55"/>
      <c r="AZ1080" s="55"/>
      <c r="BA1080" s="55"/>
      <c r="BB1080" s="55"/>
      <c r="BC1080" s="55"/>
      <c r="BD1080" s="55"/>
      <c r="BE1080" s="55"/>
      <c r="BF1080" s="55"/>
      <c r="BG1080" s="55"/>
      <c r="BH1080" s="55"/>
      <c r="BI1080" s="55"/>
      <c r="BJ1080" s="55"/>
      <c r="BK1080" s="55"/>
      <c r="BL1080" s="55"/>
      <c r="BM1080" s="55"/>
      <c r="BN1080" s="55"/>
      <c r="BO1080" s="55"/>
      <c r="BP1080" s="55"/>
      <c r="BQ1080" s="55"/>
      <c r="BR1080" s="55"/>
      <c r="BS1080" s="55"/>
      <c r="BT1080" s="55"/>
      <c r="BU1080" s="55"/>
      <c r="BV1080" s="55"/>
      <c r="BW1080" s="55"/>
      <c r="BX1080" s="55"/>
      <c r="BY1080" s="55"/>
      <c r="BZ1080" s="55"/>
      <c r="CI1080" s="55"/>
      <c r="CJ1080" s="55"/>
      <c r="CK1080" s="55"/>
      <c r="CL1080" s="55"/>
      <c r="CM1080" s="55"/>
      <c r="CN1080" s="55"/>
      <c r="CO1080" s="55"/>
      <c r="CP1080" s="55"/>
      <c r="CQ1080" s="55"/>
      <c r="DJ1080" s="55"/>
      <c r="DK1080" s="55"/>
      <c r="DL1080" s="55"/>
      <c r="DM1080" s="55"/>
      <c r="DN1080" s="55"/>
      <c r="DO1080" s="55"/>
      <c r="DP1080" s="55"/>
      <c r="DQ1080" s="55"/>
      <c r="DR1080" s="55"/>
      <c r="DS1080" s="55"/>
      <c r="DT1080" s="55"/>
      <c r="DU1080" s="55"/>
      <c r="DV1080" s="55"/>
    </row>
    <row r="1081" spans="1:126" ht="12.75" customHeight="1" x14ac:dyDescent="0.2">
      <c r="A1081" s="54"/>
      <c r="B1081" s="54" t="s">
        <v>271</v>
      </c>
      <c r="C1081" s="54"/>
      <c r="D1081" s="54"/>
      <c r="E1081" s="54"/>
      <c r="F1081" s="54"/>
      <c r="G1081" s="54"/>
      <c r="H1081" s="54"/>
      <c r="I1081" s="54"/>
      <c r="J1081" s="54"/>
      <c r="K1081" s="54"/>
      <c r="L1081" s="54"/>
      <c r="M1081" s="54"/>
      <c r="N1081" s="54"/>
      <c r="O1081" s="54"/>
      <c r="P1081" s="54"/>
      <c r="Q1081" s="54"/>
      <c r="R1081" s="54"/>
      <c r="S1081" s="54"/>
      <c r="T1081" s="54"/>
      <c r="U1081" s="54"/>
      <c r="V1081" s="54"/>
      <c r="W1081" s="54"/>
      <c r="X1081" s="54"/>
      <c r="Y1081" s="54"/>
      <c r="Z1081" s="54"/>
      <c r="AY1081" s="55"/>
      <c r="AZ1081" s="55"/>
      <c r="BA1081" s="55"/>
      <c r="BB1081" s="55"/>
      <c r="BC1081" s="55"/>
      <c r="BD1081" s="55"/>
      <c r="BE1081" s="55"/>
      <c r="BF1081" s="55"/>
      <c r="BG1081" s="55"/>
      <c r="BH1081" s="55"/>
      <c r="BI1081" s="55"/>
      <c r="BJ1081" s="55"/>
      <c r="BK1081" s="55"/>
      <c r="BL1081" s="55"/>
      <c r="BM1081" s="55"/>
      <c r="BN1081" s="55"/>
      <c r="BO1081" s="55"/>
      <c r="BP1081" s="55"/>
      <c r="BQ1081" s="55"/>
      <c r="BR1081" s="55"/>
      <c r="BS1081" s="55"/>
      <c r="BT1081" s="55"/>
      <c r="BU1081" s="55"/>
      <c r="BV1081" s="55"/>
      <c r="BW1081" s="55"/>
      <c r="BX1081" s="55"/>
      <c r="BY1081" s="55"/>
      <c r="BZ1081" s="55"/>
      <c r="CI1081" s="55"/>
      <c r="CJ1081" s="55"/>
      <c r="CK1081" s="55"/>
      <c r="CL1081" s="55"/>
      <c r="CM1081" s="55"/>
      <c r="CN1081" s="55"/>
      <c r="CO1081" s="55"/>
      <c r="CP1081" s="55"/>
      <c r="CQ1081" s="55"/>
      <c r="DJ1081" s="55"/>
      <c r="DK1081" s="55"/>
      <c r="DL1081" s="55"/>
      <c r="DM1081" s="55"/>
      <c r="DN1081" s="55"/>
      <c r="DO1081" s="55"/>
      <c r="DP1081" s="55"/>
      <c r="DQ1081" s="55"/>
      <c r="DR1081" s="55"/>
      <c r="DS1081" s="55"/>
      <c r="DT1081" s="55"/>
      <c r="DU1081" s="55"/>
      <c r="DV1081" s="55"/>
    </row>
    <row r="1082" spans="1:126" ht="12.75" x14ac:dyDescent="0.2">
      <c r="A1082" s="54"/>
      <c r="B1082" s="54"/>
      <c r="C1082" s="54"/>
      <c r="D1082" s="54"/>
      <c r="E1082" s="54"/>
      <c r="F1082" s="54"/>
      <c r="G1082" s="54"/>
      <c r="H1082" s="54"/>
      <c r="I1082" s="54"/>
      <c r="J1082" s="54"/>
      <c r="K1082" s="54"/>
      <c r="L1082" s="54"/>
      <c r="M1082" s="54"/>
      <c r="N1082" s="54"/>
      <c r="O1082" s="54"/>
      <c r="P1082" s="54"/>
      <c r="Q1082" s="54"/>
      <c r="R1082" s="54"/>
      <c r="S1082" s="54"/>
      <c r="T1082" s="54"/>
      <c r="U1082" s="54"/>
      <c r="V1082" s="54"/>
      <c r="W1082" s="54"/>
      <c r="X1082" s="54"/>
      <c r="Y1082" s="54"/>
      <c r="Z1082" s="54"/>
      <c r="AY1082" s="55"/>
      <c r="AZ1082" s="55"/>
      <c r="BA1082" s="55"/>
      <c r="BB1082" s="55"/>
      <c r="BC1082" s="55"/>
      <c r="BD1082" s="55"/>
      <c r="BE1082" s="55"/>
      <c r="BF1082" s="55"/>
      <c r="BG1082" s="55"/>
      <c r="BH1082" s="55"/>
      <c r="BI1082" s="55"/>
      <c r="BJ1082" s="55"/>
      <c r="BK1082" s="55"/>
      <c r="BL1082" s="55"/>
      <c r="BM1082" s="55"/>
      <c r="BN1082" s="55"/>
      <c r="BO1082" s="55"/>
      <c r="BP1082" s="55"/>
      <c r="BQ1082" s="55"/>
      <c r="BR1082" s="55"/>
      <c r="BS1082" s="55"/>
      <c r="BT1082" s="55"/>
      <c r="BU1082" s="55"/>
      <c r="BV1082" s="55"/>
      <c r="BW1082" s="55"/>
      <c r="BX1082" s="55"/>
      <c r="BY1082" s="55"/>
      <c r="BZ1082" s="55"/>
      <c r="CI1082" s="55"/>
      <c r="CJ1082" s="55"/>
      <c r="CK1082" s="55"/>
      <c r="CL1082" s="55"/>
      <c r="CM1082" s="55"/>
      <c r="CN1082" s="55"/>
      <c r="CO1082" s="55"/>
      <c r="CP1082" s="55"/>
      <c r="CQ1082" s="55"/>
      <c r="DJ1082" s="55"/>
      <c r="DK1082" s="55"/>
      <c r="DL1082" s="55"/>
      <c r="DM1082" s="55"/>
      <c r="DN1082" s="55"/>
      <c r="DO1082" s="55"/>
      <c r="DP1082" s="55"/>
      <c r="DQ1082" s="55"/>
      <c r="DR1082" s="55"/>
      <c r="DS1082" s="55"/>
      <c r="DT1082" s="55"/>
      <c r="DU1082" s="55"/>
      <c r="DV1082" s="55"/>
    </row>
    <row r="1083" spans="1:126" ht="12.75" x14ac:dyDescent="0.2">
      <c r="A1083" s="54"/>
      <c r="B1083" s="54"/>
      <c r="C1083" s="54"/>
      <c r="D1083" s="54"/>
      <c r="E1083" s="54"/>
      <c r="F1083" s="54"/>
      <c r="G1083" s="54"/>
      <c r="H1083" s="54"/>
      <c r="I1083" s="54"/>
      <c r="J1083" s="54"/>
      <c r="K1083" s="54"/>
      <c r="L1083" s="54"/>
      <c r="M1083" s="54"/>
      <c r="N1083" s="54"/>
      <c r="O1083" s="54"/>
      <c r="P1083" s="54"/>
      <c r="Q1083" s="54"/>
      <c r="R1083" s="54"/>
      <c r="S1083" s="54"/>
      <c r="T1083" s="54"/>
      <c r="U1083" s="54"/>
      <c r="V1083" s="54"/>
      <c r="W1083" s="54"/>
      <c r="X1083" s="54"/>
      <c r="Y1083" s="54"/>
      <c r="Z1083" s="54"/>
      <c r="AY1083" s="55"/>
      <c r="AZ1083" s="55"/>
      <c r="BA1083" s="55"/>
      <c r="BB1083" s="55"/>
      <c r="BC1083" s="55"/>
      <c r="BD1083" s="55"/>
      <c r="BE1083" s="55"/>
      <c r="BF1083" s="55"/>
      <c r="BG1083" s="55"/>
      <c r="BH1083" s="55"/>
      <c r="BI1083" s="55"/>
      <c r="BJ1083" s="55"/>
      <c r="BK1083" s="55"/>
      <c r="BL1083" s="55"/>
      <c r="BM1083" s="55"/>
      <c r="BN1083" s="55"/>
      <c r="BO1083" s="55"/>
      <c r="BP1083" s="55"/>
      <c r="BQ1083" s="55"/>
      <c r="BR1083" s="55"/>
      <c r="BS1083" s="55"/>
      <c r="BT1083" s="55"/>
      <c r="BU1083" s="55"/>
      <c r="BV1083" s="55"/>
      <c r="BW1083" s="55"/>
      <c r="BX1083" s="55"/>
      <c r="BY1083" s="55"/>
      <c r="BZ1083" s="55"/>
      <c r="CI1083" s="55"/>
      <c r="CJ1083" s="55"/>
      <c r="CK1083" s="55"/>
      <c r="CL1083" s="55"/>
      <c r="CM1083" s="55"/>
      <c r="CN1083" s="55"/>
      <c r="CO1083" s="55"/>
      <c r="CP1083" s="55"/>
      <c r="CQ1083" s="55"/>
      <c r="DJ1083" s="55"/>
      <c r="DK1083" s="55"/>
      <c r="DL1083" s="55"/>
      <c r="DM1083" s="55"/>
      <c r="DN1083" s="55"/>
      <c r="DO1083" s="55"/>
      <c r="DP1083" s="55"/>
      <c r="DQ1083" s="55"/>
      <c r="DR1083" s="55"/>
      <c r="DS1083" s="55"/>
      <c r="DT1083" s="55"/>
      <c r="DU1083" s="55"/>
      <c r="DV1083" s="55"/>
    </row>
    <row r="1084" spans="1:126" ht="12.75" customHeight="1" x14ac:dyDescent="0.2">
      <c r="A1084" s="54"/>
      <c r="B1084" s="54"/>
      <c r="C1084" s="54"/>
      <c r="D1084" s="54"/>
      <c r="E1084" s="54"/>
      <c r="F1084" s="54"/>
      <c r="G1084" s="54"/>
      <c r="H1084" s="54"/>
      <c r="I1084" s="54"/>
      <c r="J1084" s="54"/>
      <c r="K1084" s="54"/>
      <c r="L1084" s="54"/>
      <c r="M1084" s="54"/>
      <c r="N1084" s="54"/>
      <c r="O1084" s="54"/>
      <c r="P1084" s="54"/>
      <c r="Q1084" s="54"/>
      <c r="R1084" s="54"/>
      <c r="S1084" s="54"/>
      <c r="T1084" s="54"/>
      <c r="U1084" s="54"/>
      <c r="V1084" s="54"/>
      <c r="W1084" s="54"/>
      <c r="X1084" s="54"/>
      <c r="Y1084" s="54"/>
      <c r="Z1084" s="54"/>
      <c r="AY1084" s="55"/>
      <c r="AZ1084" s="55"/>
      <c r="BA1084" s="55"/>
      <c r="BB1084" s="55"/>
      <c r="BC1084" s="55"/>
      <c r="BD1084" s="55"/>
      <c r="BE1084" s="55"/>
      <c r="BF1084" s="55"/>
      <c r="BG1084" s="55"/>
      <c r="BH1084" s="55"/>
      <c r="BI1084" s="55"/>
      <c r="BJ1084" s="55"/>
      <c r="BK1084" s="55"/>
      <c r="BL1084" s="55"/>
      <c r="BM1084" s="55"/>
      <c r="BN1084" s="55"/>
      <c r="BO1084" s="55"/>
      <c r="BP1084" s="55"/>
      <c r="BQ1084" s="55"/>
      <c r="BR1084" s="55"/>
      <c r="BS1084" s="55"/>
      <c r="BT1084" s="55"/>
      <c r="BU1084" s="55"/>
      <c r="BV1084" s="55"/>
      <c r="BW1084" s="55"/>
      <c r="BX1084" s="55"/>
      <c r="BY1084" s="55"/>
      <c r="BZ1084" s="55"/>
      <c r="CI1084" s="55"/>
      <c r="CJ1084" s="55"/>
      <c r="CK1084" s="55"/>
      <c r="CL1084" s="55"/>
      <c r="CM1084" s="55"/>
      <c r="CN1084" s="55"/>
      <c r="CO1084" s="55"/>
      <c r="CP1084" s="55"/>
      <c r="CQ1084" s="55"/>
      <c r="DJ1084" s="55"/>
      <c r="DK1084" s="55"/>
      <c r="DL1084" s="55"/>
      <c r="DM1084" s="55"/>
      <c r="DN1084" s="55"/>
      <c r="DO1084" s="55"/>
      <c r="DP1084" s="55"/>
      <c r="DQ1084" s="55"/>
      <c r="DR1084" s="55"/>
      <c r="DS1084" s="55"/>
      <c r="DT1084" s="55"/>
      <c r="DU1084" s="55"/>
      <c r="DV1084" s="55"/>
    </row>
    <row r="1085" spans="1:126" ht="12.75" x14ac:dyDescent="0.2">
      <c r="A1085" s="54"/>
      <c r="B1085" s="54"/>
      <c r="C1085" s="54"/>
      <c r="D1085" s="54"/>
      <c r="E1085" s="54"/>
      <c r="F1085" s="54"/>
      <c r="G1085" s="54"/>
      <c r="H1085" s="54"/>
      <c r="I1085" s="54"/>
      <c r="J1085" s="54"/>
      <c r="K1085" s="54"/>
      <c r="L1085" s="54"/>
      <c r="M1085" s="54"/>
      <c r="N1085" s="54"/>
      <c r="O1085" s="54"/>
      <c r="P1085" s="54"/>
      <c r="Q1085" s="54"/>
      <c r="R1085" s="54"/>
      <c r="S1085" s="54"/>
      <c r="T1085" s="54"/>
      <c r="U1085" s="54"/>
      <c r="V1085" s="54"/>
      <c r="W1085" s="54"/>
      <c r="X1085" s="54"/>
      <c r="Y1085" s="54"/>
      <c r="Z1085" s="54"/>
      <c r="AY1085" s="55"/>
      <c r="AZ1085" s="55"/>
      <c r="BA1085" s="55"/>
      <c r="BB1085" s="55"/>
      <c r="BC1085" s="55"/>
      <c r="BD1085" s="55"/>
      <c r="BE1085" s="55"/>
      <c r="BF1085" s="55"/>
      <c r="BG1085" s="55"/>
      <c r="BH1085" s="55"/>
      <c r="BI1085" s="55"/>
      <c r="BJ1085" s="55"/>
      <c r="BK1085" s="55"/>
      <c r="BL1085" s="55"/>
      <c r="BM1085" s="55"/>
      <c r="BN1085" s="55"/>
      <c r="BO1085" s="55"/>
      <c r="BP1085" s="55"/>
      <c r="BQ1085" s="55"/>
      <c r="BR1085" s="55"/>
      <c r="BS1085" s="55"/>
      <c r="BT1085" s="55"/>
      <c r="BU1085" s="55"/>
      <c r="BV1085" s="55"/>
      <c r="BW1085" s="55"/>
      <c r="BX1085" s="55"/>
      <c r="BY1085" s="55"/>
      <c r="BZ1085" s="55"/>
      <c r="CI1085" s="55"/>
      <c r="CJ1085" s="55"/>
      <c r="CK1085" s="55"/>
      <c r="CL1085" s="55"/>
      <c r="CM1085" s="55"/>
      <c r="CN1085" s="55"/>
      <c r="CO1085" s="55"/>
      <c r="CP1085" s="55"/>
      <c r="CQ1085" s="55"/>
      <c r="DJ1085" s="55"/>
      <c r="DK1085" s="55"/>
      <c r="DL1085" s="55"/>
      <c r="DM1085" s="55"/>
      <c r="DN1085" s="55"/>
      <c r="DO1085" s="55"/>
      <c r="DP1085" s="55"/>
      <c r="DQ1085" s="55"/>
      <c r="DR1085" s="55"/>
      <c r="DS1085" s="55"/>
      <c r="DT1085" s="55"/>
      <c r="DU1085" s="55"/>
      <c r="DV1085" s="55"/>
    </row>
    <row r="1086" spans="1:126" ht="12.75" x14ac:dyDescent="0.2">
      <c r="A1086" s="54"/>
      <c r="B1086" s="54"/>
      <c r="C1086" s="54"/>
      <c r="D1086" s="54"/>
      <c r="E1086" s="54"/>
      <c r="F1086" s="54"/>
      <c r="G1086" s="54"/>
      <c r="H1086" s="54"/>
      <c r="I1086" s="54"/>
      <c r="J1086" s="54"/>
      <c r="K1086" s="54"/>
      <c r="L1086" s="54"/>
      <c r="M1086" s="54"/>
      <c r="N1086" s="54"/>
      <c r="O1086" s="54"/>
      <c r="P1086" s="54"/>
      <c r="Q1086" s="54"/>
      <c r="R1086" s="54"/>
      <c r="S1086" s="54"/>
      <c r="T1086" s="54"/>
      <c r="U1086" s="54"/>
      <c r="V1086" s="54"/>
      <c r="W1086" s="54"/>
      <c r="X1086" s="54"/>
      <c r="Y1086" s="54"/>
      <c r="Z1086" s="54"/>
      <c r="AY1086" s="55"/>
      <c r="AZ1086" s="55"/>
      <c r="BA1086" s="55"/>
      <c r="BB1086" s="55"/>
      <c r="BC1086" s="55"/>
      <c r="BD1086" s="55"/>
      <c r="BE1086" s="55"/>
      <c r="BF1086" s="55"/>
      <c r="BG1086" s="55"/>
      <c r="BH1086" s="55"/>
      <c r="BI1086" s="55"/>
      <c r="BJ1086" s="55"/>
      <c r="BK1086" s="55"/>
      <c r="BL1086" s="55"/>
      <c r="BM1086" s="55"/>
      <c r="BN1086" s="55"/>
      <c r="BO1086" s="55"/>
      <c r="BP1086" s="55"/>
      <c r="BQ1086" s="55"/>
      <c r="BR1086" s="55"/>
      <c r="BS1086" s="55"/>
      <c r="BT1086" s="55"/>
      <c r="BU1086" s="55"/>
      <c r="BV1086" s="55"/>
      <c r="BW1086" s="55"/>
      <c r="BX1086" s="55"/>
      <c r="BY1086" s="55"/>
      <c r="BZ1086" s="55"/>
      <c r="CI1086" s="55"/>
      <c r="CJ1086" s="55"/>
      <c r="CK1086" s="55"/>
      <c r="CL1086" s="55"/>
      <c r="CM1086" s="55"/>
      <c r="CN1086" s="55"/>
      <c r="CO1086" s="55"/>
      <c r="CP1086" s="55"/>
      <c r="CQ1086" s="55"/>
      <c r="DJ1086" s="55"/>
      <c r="DK1086" s="55"/>
      <c r="DL1086" s="55"/>
      <c r="DM1086" s="55"/>
      <c r="DN1086" s="55"/>
      <c r="DO1086" s="55"/>
      <c r="DP1086" s="55"/>
      <c r="DQ1086" s="55"/>
      <c r="DR1086" s="55"/>
      <c r="DS1086" s="55"/>
      <c r="DT1086" s="55"/>
      <c r="DU1086" s="55"/>
      <c r="DV1086" s="55"/>
    </row>
    <row r="1087" spans="1:126" ht="12.75" customHeight="1" x14ac:dyDescent="0.2">
      <c r="A1087" s="54"/>
      <c r="B1087" s="54"/>
      <c r="C1087" s="54"/>
      <c r="D1087" s="54"/>
      <c r="E1087" s="54"/>
      <c r="F1087" s="54"/>
      <c r="G1087" s="54"/>
      <c r="H1087" s="54"/>
      <c r="I1087" s="54"/>
      <c r="J1087" s="54"/>
      <c r="K1087" s="54"/>
      <c r="L1087" s="54"/>
      <c r="M1087" s="54"/>
      <c r="N1087" s="54"/>
      <c r="O1087" s="54"/>
      <c r="P1087" s="54"/>
      <c r="Q1087" s="54"/>
      <c r="R1087" s="54"/>
      <c r="S1087" s="54"/>
      <c r="T1087" s="54"/>
      <c r="U1087" s="54"/>
      <c r="V1087" s="54"/>
      <c r="W1087" s="54"/>
      <c r="X1087" s="54"/>
      <c r="Y1087" s="54"/>
      <c r="Z1087" s="54"/>
      <c r="AY1087" s="55"/>
      <c r="AZ1087" s="55"/>
      <c r="BA1087" s="55"/>
      <c r="BB1087" s="55"/>
      <c r="BC1087" s="55"/>
      <c r="BD1087" s="55"/>
      <c r="BE1087" s="55"/>
      <c r="BF1087" s="55"/>
      <c r="BG1087" s="55"/>
      <c r="BH1087" s="55"/>
      <c r="BI1087" s="55"/>
      <c r="BJ1087" s="55"/>
      <c r="BK1087" s="55"/>
      <c r="BL1087" s="55"/>
      <c r="BM1087" s="55"/>
      <c r="BN1087" s="55"/>
      <c r="BO1087" s="55"/>
      <c r="BP1087" s="55"/>
      <c r="BQ1087" s="55"/>
      <c r="BR1087" s="55"/>
      <c r="BS1087" s="55"/>
      <c r="BT1087" s="55"/>
      <c r="BU1087" s="55"/>
      <c r="BV1087" s="55"/>
      <c r="BW1087" s="55"/>
      <c r="BX1087" s="55"/>
      <c r="BY1087" s="55"/>
      <c r="BZ1087" s="55"/>
      <c r="CI1087" s="55"/>
      <c r="CJ1087" s="55"/>
      <c r="CK1087" s="55"/>
      <c r="CL1087" s="55"/>
      <c r="CM1087" s="55"/>
      <c r="CN1087" s="55"/>
      <c r="CO1087" s="55"/>
      <c r="CP1087" s="55"/>
      <c r="CQ1087" s="55"/>
      <c r="DJ1087" s="55"/>
      <c r="DK1087" s="55"/>
      <c r="DL1087" s="55"/>
      <c r="DM1087" s="55"/>
      <c r="DN1087" s="55"/>
      <c r="DO1087" s="55"/>
      <c r="DP1087" s="55"/>
      <c r="DQ1087" s="55"/>
      <c r="DR1087" s="55"/>
      <c r="DS1087" s="55"/>
      <c r="DT1087" s="55"/>
      <c r="DU1087" s="55"/>
      <c r="DV1087" s="55"/>
    </row>
    <row r="1088" spans="1:126" ht="12.75" x14ac:dyDescent="0.2">
      <c r="A1088" s="54"/>
      <c r="B1088" s="54"/>
      <c r="C1088" s="54"/>
      <c r="D1088" s="54"/>
      <c r="E1088" s="54"/>
      <c r="F1088" s="54"/>
      <c r="G1088" s="54"/>
      <c r="H1088" s="54"/>
      <c r="I1088" s="54"/>
      <c r="J1088" s="54"/>
      <c r="K1088" s="54"/>
      <c r="L1088" s="54"/>
      <c r="M1088" s="54"/>
      <c r="N1088" s="54"/>
      <c r="O1088" s="54"/>
      <c r="P1088" s="54"/>
      <c r="Q1088" s="54"/>
      <c r="R1088" s="54"/>
      <c r="S1088" s="54"/>
      <c r="T1088" s="54"/>
      <c r="U1088" s="54"/>
      <c r="V1088" s="54"/>
      <c r="W1088" s="54"/>
      <c r="X1088" s="54"/>
      <c r="Y1088" s="54"/>
      <c r="Z1088" s="54"/>
      <c r="AY1088" s="55"/>
      <c r="AZ1088" s="55"/>
      <c r="BA1088" s="55"/>
      <c r="BB1088" s="55"/>
      <c r="BC1088" s="55"/>
      <c r="BD1088" s="55"/>
      <c r="BE1088" s="55"/>
      <c r="BF1088" s="55"/>
      <c r="BG1088" s="55"/>
      <c r="BH1088" s="55"/>
      <c r="BI1088" s="55"/>
      <c r="BJ1088" s="55"/>
      <c r="BK1088" s="55"/>
      <c r="BL1088" s="55"/>
      <c r="BM1088" s="55"/>
      <c r="BN1088" s="55"/>
      <c r="BO1088" s="55"/>
      <c r="BP1088" s="55"/>
      <c r="BQ1088" s="55"/>
      <c r="BR1088" s="55"/>
      <c r="BS1088" s="55"/>
      <c r="BT1088" s="55"/>
      <c r="BU1088" s="55"/>
      <c r="BV1088" s="55"/>
      <c r="BW1088" s="55"/>
      <c r="BX1088" s="55"/>
      <c r="BY1088" s="55"/>
      <c r="BZ1088" s="55"/>
      <c r="CI1088" s="55"/>
      <c r="CJ1088" s="55"/>
      <c r="CK1088" s="55"/>
      <c r="CL1088" s="55"/>
      <c r="CM1088" s="55"/>
      <c r="CN1088" s="55"/>
      <c r="CO1088" s="55"/>
      <c r="CP1088" s="55"/>
      <c r="CQ1088" s="55"/>
      <c r="DJ1088" s="55"/>
      <c r="DK1088" s="55"/>
      <c r="DL1088" s="55"/>
      <c r="DM1088" s="55"/>
      <c r="DN1088" s="55"/>
      <c r="DO1088" s="55"/>
      <c r="DP1088" s="55"/>
      <c r="DQ1088" s="55"/>
      <c r="DR1088" s="55"/>
      <c r="DS1088" s="55"/>
      <c r="DT1088" s="55"/>
      <c r="DU1088" s="55"/>
      <c r="DV1088" s="55"/>
    </row>
    <row r="1089" spans="1:126" ht="12.75" x14ac:dyDescent="0.2">
      <c r="A1089" s="54"/>
      <c r="B1089" s="54"/>
      <c r="C1089" s="54"/>
      <c r="D1089" s="54"/>
      <c r="E1089" s="54"/>
      <c r="F1089" s="54"/>
      <c r="G1089" s="54"/>
      <c r="H1089" s="54"/>
      <c r="I1089" s="54"/>
      <c r="J1089" s="54"/>
      <c r="K1089" s="54"/>
      <c r="L1089" s="54"/>
      <c r="M1089" s="54"/>
      <c r="N1089" s="54"/>
      <c r="O1089" s="54"/>
      <c r="P1089" s="54"/>
      <c r="Q1089" s="54"/>
      <c r="R1089" s="54"/>
      <c r="S1089" s="54"/>
      <c r="T1089" s="54"/>
      <c r="U1089" s="54"/>
      <c r="V1089" s="54"/>
      <c r="W1089" s="54"/>
      <c r="X1089" s="54"/>
      <c r="Y1089" s="54"/>
      <c r="Z1089" s="54"/>
      <c r="AY1089" s="55"/>
      <c r="AZ1089" s="55"/>
      <c r="BA1089" s="55"/>
      <c r="BB1089" s="55"/>
      <c r="BC1089" s="55"/>
      <c r="BD1089" s="55"/>
      <c r="BE1089" s="55"/>
      <c r="BF1089" s="55"/>
      <c r="BG1089" s="55"/>
      <c r="BH1089" s="55"/>
      <c r="BI1089" s="55"/>
      <c r="BJ1089" s="55"/>
      <c r="BK1089" s="55"/>
      <c r="BL1089" s="55"/>
      <c r="BM1089" s="55"/>
      <c r="BN1089" s="55"/>
      <c r="BO1089" s="55"/>
      <c r="BP1089" s="55"/>
      <c r="BQ1089" s="55"/>
      <c r="BR1089" s="55"/>
      <c r="BS1089" s="55"/>
      <c r="BT1089" s="55"/>
      <c r="BU1089" s="55"/>
      <c r="BV1089" s="55"/>
      <c r="BW1089" s="55"/>
      <c r="BX1089" s="55"/>
      <c r="BY1089" s="55"/>
      <c r="BZ1089" s="55"/>
      <c r="CI1089" s="55"/>
      <c r="CJ1089" s="55"/>
      <c r="CK1089" s="55"/>
      <c r="CL1089" s="55"/>
      <c r="CM1089" s="55"/>
      <c r="CN1089" s="55"/>
      <c r="CO1089" s="55"/>
      <c r="CP1089" s="55"/>
      <c r="CQ1089" s="55"/>
      <c r="DJ1089" s="55"/>
      <c r="DK1089" s="55"/>
      <c r="DL1089" s="55"/>
      <c r="DM1089" s="55"/>
      <c r="DN1089" s="55"/>
      <c r="DO1089" s="55"/>
      <c r="DP1089" s="55"/>
      <c r="DQ1089" s="55"/>
      <c r="DR1089" s="55"/>
      <c r="DS1089" s="55"/>
      <c r="DT1089" s="55"/>
      <c r="DU1089" s="55"/>
      <c r="DV1089" s="55"/>
    </row>
    <row r="1090" spans="1:126" ht="12.75" x14ac:dyDescent="0.2">
      <c r="A1090" s="54"/>
      <c r="B1090" s="54"/>
      <c r="C1090" s="54"/>
      <c r="D1090" s="54"/>
      <c r="E1090" s="54"/>
      <c r="F1090" s="54"/>
      <c r="G1090" s="54"/>
      <c r="H1090" s="54"/>
      <c r="I1090" s="54"/>
      <c r="J1090" s="54"/>
      <c r="K1090" s="54"/>
      <c r="L1090" s="54"/>
      <c r="M1090" s="54"/>
      <c r="N1090" s="54"/>
      <c r="O1090" s="54"/>
      <c r="P1090" s="54"/>
      <c r="Q1090" s="54"/>
      <c r="R1090" s="54"/>
      <c r="S1090" s="54"/>
      <c r="T1090" s="54"/>
      <c r="U1090" s="54"/>
      <c r="V1090" s="54"/>
      <c r="W1090" s="54"/>
      <c r="X1090" s="54"/>
      <c r="Y1090" s="54"/>
      <c r="Z1090" s="54"/>
      <c r="AY1090" s="55"/>
      <c r="AZ1090" s="55"/>
      <c r="BA1090" s="55"/>
      <c r="BB1090" s="55"/>
      <c r="BC1090" s="55"/>
      <c r="BD1090" s="55"/>
      <c r="BE1090" s="55"/>
      <c r="BF1090" s="55"/>
      <c r="BG1090" s="55"/>
      <c r="BH1090" s="55"/>
      <c r="BI1090" s="55"/>
      <c r="BJ1090" s="55"/>
      <c r="BK1090" s="55"/>
      <c r="BL1090" s="55"/>
      <c r="BM1090" s="55"/>
      <c r="BN1090" s="55"/>
      <c r="BO1090" s="55"/>
      <c r="BP1090" s="55"/>
      <c r="BQ1090" s="55"/>
      <c r="BR1090" s="55"/>
      <c r="BS1090" s="55"/>
      <c r="BT1090" s="55"/>
      <c r="BU1090" s="55"/>
      <c r="BV1090" s="55"/>
      <c r="BW1090" s="55"/>
      <c r="BX1090" s="55"/>
      <c r="BY1090" s="55"/>
      <c r="BZ1090" s="55"/>
      <c r="CI1090" s="55"/>
      <c r="CJ1090" s="55"/>
      <c r="CK1090" s="55"/>
      <c r="CL1090" s="55"/>
      <c r="CM1090" s="55"/>
      <c r="CN1090" s="55"/>
      <c r="CO1090" s="55"/>
      <c r="CP1090" s="55"/>
      <c r="CQ1090" s="55"/>
      <c r="DJ1090" s="55"/>
      <c r="DK1090" s="55"/>
      <c r="DL1090" s="55"/>
      <c r="DM1090" s="55"/>
      <c r="DN1090" s="55"/>
      <c r="DO1090" s="55"/>
      <c r="DP1090" s="55"/>
      <c r="DQ1090" s="55"/>
      <c r="DR1090" s="55"/>
      <c r="DS1090" s="55"/>
      <c r="DT1090" s="55"/>
      <c r="DU1090" s="55"/>
      <c r="DV1090" s="55"/>
    </row>
    <row r="1091" spans="1:126" ht="12.75" x14ac:dyDescent="0.2">
      <c r="A1091" s="54"/>
      <c r="B1091" s="54"/>
      <c r="C1091" s="54"/>
      <c r="D1091" s="54"/>
      <c r="E1091" s="54"/>
      <c r="F1091" s="54"/>
      <c r="G1091" s="54"/>
      <c r="H1091" s="54"/>
      <c r="I1091" s="54"/>
      <c r="J1091" s="54"/>
      <c r="K1091" s="54"/>
      <c r="L1091" s="54"/>
      <c r="M1091" s="54"/>
      <c r="N1091" s="54"/>
      <c r="O1091" s="54"/>
      <c r="P1091" s="54"/>
      <c r="Q1091" s="54"/>
      <c r="R1091" s="54"/>
      <c r="S1091" s="54"/>
      <c r="T1091" s="54"/>
      <c r="U1091" s="54"/>
      <c r="V1091" s="54"/>
      <c r="W1091" s="54"/>
      <c r="X1091" s="54"/>
      <c r="Y1091" s="54"/>
      <c r="Z1091" s="54"/>
      <c r="AY1091" s="55"/>
      <c r="AZ1091" s="55"/>
      <c r="BA1091" s="55"/>
      <c r="BB1091" s="55"/>
      <c r="BC1091" s="55"/>
      <c r="BD1091" s="55"/>
      <c r="BE1091" s="55"/>
      <c r="BF1091" s="55"/>
      <c r="BG1091" s="55"/>
      <c r="BH1091" s="55"/>
      <c r="BI1091" s="55"/>
      <c r="BJ1091" s="55"/>
      <c r="BK1091" s="55"/>
      <c r="BL1091" s="55"/>
      <c r="BM1091" s="55"/>
      <c r="BN1091" s="55"/>
      <c r="BO1091" s="55"/>
      <c r="BP1091" s="55"/>
      <c r="BQ1091" s="55"/>
      <c r="BR1091" s="55"/>
      <c r="BS1091" s="55"/>
      <c r="BT1091" s="55"/>
      <c r="BU1091" s="55"/>
      <c r="BV1091" s="55"/>
      <c r="BW1091" s="55"/>
      <c r="BX1091" s="55"/>
      <c r="BY1091" s="55"/>
      <c r="BZ1091" s="55"/>
      <c r="CI1091" s="55"/>
      <c r="CJ1091" s="55"/>
      <c r="CK1091" s="55"/>
      <c r="CL1091" s="55"/>
      <c r="CM1091" s="55"/>
      <c r="CN1091" s="55"/>
      <c r="CO1091" s="55"/>
      <c r="CP1091" s="55"/>
      <c r="CQ1091" s="55"/>
      <c r="DJ1091" s="55"/>
      <c r="DK1091" s="55"/>
      <c r="DL1091" s="55"/>
      <c r="DM1091" s="55"/>
      <c r="DN1091" s="55"/>
      <c r="DO1091" s="55"/>
      <c r="DP1091" s="55"/>
      <c r="DQ1091" s="55"/>
      <c r="DR1091" s="55"/>
      <c r="DS1091" s="55"/>
      <c r="DT1091" s="55"/>
      <c r="DU1091" s="55"/>
      <c r="DV1091" s="55"/>
    </row>
    <row r="1092" spans="1:126" ht="12.75" x14ac:dyDescent="0.2">
      <c r="A1092" s="54"/>
      <c r="B1092" s="54"/>
      <c r="C1092" s="54"/>
      <c r="D1092" s="54"/>
      <c r="E1092" s="54"/>
      <c r="F1092" s="54"/>
      <c r="G1092" s="54"/>
      <c r="H1092" s="54"/>
      <c r="I1092" s="54"/>
      <c r="J1092" s="54"/>
      <c r="K1092" s="54"/>
      <c r="L1092" s="54"/>
      <c r="M1092" s="54"/>
      <c r="N1092" s="54"/>
      <c r="O1092" s="54"/>
      <c r="P1092" s="54"/>
      <c r="Q1092" s="54"/>
      <c r="R1092" s="54"/>
      <c r="S1092" s="54"/>
      <c r="T1092" s="54"/>
      <c r="U1092" s="54"/>
      <c r="V1092" s="54"/>
      <c r="W1092" s="54"/>
      <c r="X1092" s="54"/>
      <c r="Y1092" s="54"/>
      <c r="Z1092" s="54"/>
      <c r="AY1092" s="55"/>
      <c r="AZ1092" s="55"/>
      <c r="BA1092" s="55"/>
      <c r="BB1092" s="55"/>
      <c r="BC1092" s="55"/>
      <c r="BD1092" s="55"/>
      <c r="BE1092" s="55"/>
      <c r="BF1092" s="55"/>
      <c r="BG1092" s="55"/>
      <c r="BH1092" s="55"/>
      <c r="BI1092" s="55"/>
      <c r="BJ1092" s="55"/>
      <c r="BK1092" s="55"/>
      <c r="BL1092" s="55"/>
      <c r="BM1092" s="55"/>
      <c r="BN1092" s="55"/>
      <c r="BO1092" s="55"/>
      <c r="BP1092" s="55"/>
      <c r="BQ1092" s="55"/>
      <c r="BR1092" s="55"/>
      <c r="BS1092" s="55"/>
      <c r="BT1092" s="55"/>
      <c r="BU1092" s="55"/>
      <c r="BV1092" s="55"/>
      <c r="BW1092" s="55"/>
      <c r="BX1092" s="55"/>
      <c r="BY1092" s="55"/>
      <c r="BZ1092" s="55"/>
      <c r="CI1092" s="55"/>
      <c r="CJ1092" s="55"/>
      <c r="CK1092" s="55"/>
      <c r="CL1092" s="55"/>
      <c r="CM1092" s="55"/>
      <c r="CN1092" s="55"/>
      <c r="CO1092" s="55"/>
      <c r="CP1092" s="55"/>
      <c r="CQ1092" s="55"/>
      <c r="DJ1092" s="55"/>
      <c r="DK1092" s="55"/>
      <c r="DL1092" s="55"/>
      <c r="DM1092" s="55"/>
      <c r="DN1092" s="55"/>
      <c r="DO1092" s="55"/>
      <c r="DP1092" s="55"/>
      <c r="DQ1092" s="55"/>
      <c r="DR1092" s="55"/>
      <c r="DS1092" s="55"/>
      <c r="DT1092" s="55"/>
      <c r="DU1092" s="55"/>
      <c r="DV1092" s="55"/>
    </row>
    <row r="1093" spans="1:126" ht="12.75" x14ac:dyDescent="0.2">
      <c r="A1093" s="54"/>
      <c r="B1093" s="54"/>
      <c r="C1093" s="54"/>
      <c r="D1093" s="54"/>
      <c r="E1093" s="54"/>
      <c r="F1093" s="54"/>
      <c r="G1093" s="54"/>
      <c r="H1093" s="54"/>
      <c r="I1093" s="54"/>
      <c r="J1093" s="54"/>
      <c r="K1093" s="54"/>
      <c r="L1093" s="54"/>
      <c r="M1093" s="54"/>
      <c r="N1093" s="54"/>
      <c r="O1093" s="54"/>
      <c r="P1093" s="54"/>
      <c r="Q1093" s="54"/>
      <c r="R1093" s="54"/>
      <c r="S1093" s="54"/>
      <c r="T1093" s="54"/>
      <c r="U1093" s="54"/>
      <c r="V1093" s="54"/>
      <c r="W1093" s="54"/>
      <c r="X1093" s="54"/>
      <c r="Y1093" s="54"/>
      <c r="Z1093" s="54"/>
      <c r="AY1093" s="55"/>
      <c r="AZ1093" s="55"/>
      <c r="BA1093" s="55"/>
      <c r="BB1093" s="55"/>
      <c r="BC1093" s="55"/>
      <c r="BD1093" s="55"/>
      <c r="BE1093" s="55"/>
      <c r="BF1093" s="55"/>
      <c r="BG1093" s="55"/>
      <c r="BH1093" s="55"/>
      <c r="BI1093" s="55"/>
      <c r="BJ1093" s="55"/>
      <c r="BK1093" s="55"/>
      <c r="BL1093" s="55"/>
      <c r="BM1093" s="55"/>
      <c r="BN1093" s="55"/>
      <c r="BO1093" s="55"/>
      <c r="BP1093" s="55"/>
      <c r="BQ1093" s="55"/>
      <c r="BR1093" s="55"/>
      <c r="BS1093" s="55"/>
      <c r="BT1093" s="55"/>
      <c r="BU1093" s="55"/>
      <c r="BV1093" s="55"/>
      <c r="BW1093" s="55"/>
      <c r="BX1093" s="55"/>
      <c r="BY1093" s="55"/>
      <c r="BZ1093" s="55"/>
      <c r="CI1093" s="55"/>
      <c r="CJ1093" s="55"/>
      <c r="CK1093" s="55"/>
      <c r="CL1093" s="55"/>
      <c r="CM1093" s="55"/>
      <c r="CN1093" s="55"/>
      <c r="CO1093" s="55"/>
      <c r="CP1093" s="55"/>
      <c r="CQ1093" s="55"/>
      <c r="DJ1093" s="55"/>
      <c r="DK1093" s="55"/>
      <c r="DL1093" s="55"/>
      <c r="DM1093" s="55"/>
      <c r="DN1093" s="55"/>
      <c r="DO1093" s="55"/>
      <c r="DP1093" s="55"/>
      <c r="DQ1093" s="55"/>
      <c r="DR1093" s="55"/>
      <c r="DS1093" s="55"/>
      <c r="DT1093" s="55"/>
      <c r="DU1093" s="55"/>
      <c r="DV1093" s="55"/>
    </row>
    <row r="1094" spans="1:126" ht="12.75" x14ac:dyDescent="0.2">
      <c r="A1094" s="54"/>
      <c r="B1094" s="54"/>
      <c r="C1094" s="54"/>
      <c r="D1094" s="54"/>
      <c r="E1094" s="54"/>
      <c r="F1094" s="54"/>
      <c r="G1094" s="54"/>
      <c r="H1094" s="54"/>
      <c r="I1094" s="54"/>
      <c r="J1094" s="54"/>
      <c r="K1094" s="54"/>
      <c r="L1094" s="54"/>
      <c r="M1094" s="54"/>
      <c r="N1094" s="54"/>
      <c r="O1094" s="54"/>
      <c r="P1094" s="54"/>
      <c r="Q1094" s="54"/>
      <c r="R1094" s="54"/>
      <c r="S1094" s="54"/>
      <c r="T1094" s="54"/>
      <c r="U1094" s="54"/>
      <c r="V1094" s="54"/>
      <c r="W1094" s="54"/>
      <c r="X1094" s="54"/>
      <c r="Y1094" s="54"/>
      <c r="Z1094" s="54"/>
      <c r="AY1094" s="55"/>
      <c r="AZ1094" s="55"/>
      <c r="BA1094" s="55"/>
      <c r="BB1094" s="55"/>
      <c r="BC1094" s="55"/>
      <c r="BD1094" s="55"/>
      <c r="BE1094" s="55"/>
      <c r="BF1094" s="55"/>
      <c r="BG1094" s="55"/>
      <c r="BH1094" s="55"/>
      <c r="BI1094" s="55"/>
      <c r="BJ1094" s="55"/>
      <c r="BK1094" s="55"/>
      <c r="BL1094" s="55"/>
      <c r="BM1094" s="55"/>
      <c r="BN1094" s="55"/>
      <c r="BO1094" s="55"/>
      <c r="BP1094" s="55"/>
      <c r="BQ1094" s="55"/>
      <c r="BR1094" s="55"/>
      <c r="BS1094" s="55"/>
      <c r="BT1094" s="55"/>
      <c r="BU1094" s="55"/>
      <c r="BV1094" s="55"/>
      <c r="BW1094" s="55"/>
      <c r="BX1094" s="55"/>
      <c r="BY1094" s="55"/>
      <c r="BZ1094" s="55"/>
      <c r="CI1094" s="55"/>
      <c r="CJ1094" s="55"/>
      <c r="CK1094" s="55"/>
      <c r="CL1094" s="55"/>
      <c r="CM1094" s="55"/>
      <c r="CN1094" s="55"/>
      <c r="CO1094" s="55"/>
      <c r="CP1094" s="55"/>
      <c r="CQ1094" s="55"/>
      <c r="DJ1094" s="55"/>
      <c r="DK1094" s="55"/>
      <c r="DL1094" s="55"/>
      <c r="DM1094" s="55"/>
      <c r="DN1094" s="55"/>
      <c r="DO1094" s="55"/>
      <c r="DP1094" s="55"/>
      <c r="DQ1094" s="55"/>
      <c r="DR1094" s="55"/>
      <c r="DS1094" s="55"/>
      <c r="DT1094" s="55"/>
      <c r="DU1094" s="55"/>
      <c r="DV1094" s="55"/>
    </row>
    <row r="1095" spans="1:126" ht="12.75" x14ac:dyDescent="0.2">
      <c r="A1095" s="54"/>
      <c r="B1095" s="54"/>
      <c r="C1095" s="54"/>
      <c r="D1095" s="54"/>
      <c r="E1095" s="54"/>
      <c r="F1095" s="54"/>
      <c r="G1095" s="54"/>
      <c r="H1095" s="54"/>
      <c r="I1095" s="54"/>
      <c r="J1095" s="54"/>
      <c r="K1095" s="54"/>
      <c r="L1095" s="54"/>
      <c r="M1095" s="54"/>
      <c r="N1095" s="54"/>
      <c r="O1095" s="54"/>
      <c r="P1095" s="54"/>
      <c r="Q1095" s="54"/>
      <c r="R1095" s="54"/>
      <c r="S1095" s="54"/>
      <c r="T1095" s="54"/>
      <c r="U1095" s="54"/>
      <c r="V1095" s="54"/>
      <c r="W1095" s="54"/>
      <c r="X1095" s="54"/>
      <c r="Y1095" s="54"/>
      <c r="Z1095" s="54"/>
      <c r="AY1095" s="55"/>
      <c r="AZ1095" s="55"/>
      <c r="BA1095" s="55"/>
      <c r="BB1095" s="55"/>
      <c r="BC1095" s="55"/>
      <c r="BD1095" s="55"/>
      <c r="BE1095" s="55"/>
      <c r="BF1095" s="55"/>
      <c r="BG1095" s="55"/>
      <c r="BH1095" s="55"/>
      <c r="BI1095" s="55"/>
      <c r="BJ1095" s="55"/>
      <c r="BK1095" s="55"/>
      <c r="BL1095" s="55"/>
      <c r="BM1095" s="55"/>
      <c r="BN1095" s="55"/>
      <c r="BO1095" s="55"/>
      <c r="BP1095" s="55"/>
      <c r="BQ1095" s="55"/>
      <c r="BR1095" s="55"/>
      <c r="BS1095" s="55"/>
      <c r="BT1095" s="55"/>
      <c r="BU1095" s="55"/>
      <c r="BV1095" s="55"/>
      <c r="BW1095" s="55"/>
      <c r="BX1095" s="55"/>
      <c r="BY1095" s="55"/>
      <c r="BZ1095" s="55"/>
      <c r="CI1095" s="55"/>
      <c r="CJ1095" s="55"/>
      <c r="CK1095" s="55"/>
      <c r="CL1095" s="55"/>
      <c r="CM1095" s="55"/>
      <c r="CN1095" s="55"/>
      <c r="CO1095" s="55"/>
      <c r="CP1095" s="55"/>
      <c r="CQ1095" s="55"/>
      <c r="DJ1095" s="55"/>
      <c r="DK1095" s="55"/>
      <c r="DL1095" s="55"/>
      <c r="DM1095" s="55"/>
      <c r="DN1095" s="55"/>
      <c r="DO1095" s="55"/>
      <c r="DP1095" s="55"/>
      <c r="DQ1095" s="55"/>
      <c r="DR1095" s="55"/>
      <c r="DS1095" s="55"/>
      <c r="DT1095" s="55"/>
      <c r="DU1095" s="55"/>
      <c r="DV1095" s="55"/>
    </row>
    <row r="1096" spans="1:126" ht="12.75" x14ac:dyDescent="0.2">
      <c r="A1096" s="54"/>
      <c r="B1096" s="54"/>
      <c r="C1096" s="54"/>
      <c r="D1096" s="54"/>
      <c r="E1096" s="54"/>
      <c r="F1096" s="54"/>
      <c r="G1096" s="54"/>
      <c r="H1096" s="54"/>
      <c r="I1096" s="54"/>
      <c r="J1096" s="54"/>
      <c r="K1096" s="54"/>
      <c r="L1096" s="54"/>
      <c r="M1096" s="54"/>
      <c r="N1096" s="54"/>
      <c r="O1096" s="54"/>
      <c r="P1096" s="54"/>
      <c r="Q1096" s="54"/>
      <c r="R1096" s="54"/>
      <c r="S1096" s="54"/>
      <c r="T1096" s="54"/>
      <c r="U1096" s="54"/>
      <c r="V1096" s="54"/>
      <c r="W1096" s="54"/>
      <c r="X1096" s="54"/>
      <c r="Y1096" s="54"/>
      <c r="Z1096" s="54"/>
      <c r="AY1096" s="55"/>
      <c r="AZ1096" s="55"/>
      <c r="BA1096" s="55"/>
      <c r="BB1096" s="55"/>
      <c r="BC1096" s="55"/>
      <c r="BD1096" s="55"/>
      <c r="BE1096" s="55"/>
      <c r="BF1096" s="55"/>
      <c r="BG1096" s="55"/>
      <c r="BH1096" s="55"/>
      <c r="BI1096" s="55"/>
      <c r="BJ1096" s="55"/>
      <c r="BK1096" s="55"/>
      <c r="BL1096" s="55"/>
      <c r="BM1096" s="55"/>
      <c r="BN1096" s="55"/>
      <c r="BO1096" s="55"/>
      <c r="BP1096" s="55"/>
      <c r="BQ1096" s="55"/>
      <c r="BR1096" s="55"/>
      <c r="BS1096" s="55"/>
      <c r="BT1096" s="55"/>
      <c r="BU1096" s="55"/>
      <c r="BV1096" s="55"/>
      <c r="BW1096" s="55"/>
      <c r="BX1096" s="55"/>
      <c r="BY1096" s="55"/>
      <c r="BZ1096" s="55"/>
      <c r="CI1096" s="55"/>
      <c r="CJ1096" s="55"/>
      <c r="CK1096" s="55"/>
      <c r="CL1096" s="55"/>
      <c r="CM1096" s="55"/>
      <c r="CN1096" s="55"/>
      <c r="CO1096" s="55"/>
      <c r="CP1096" s="55"/>
      <c r="CQ1096" s="55"/>
      <c r="DJ1096" s="55"/>
      <c r="DK1096" s="55"/>
      <c r="DL1096" s="55"/>
      <c r="DM1096" s="55"/>
      <c r="DN1096" s="55"/>
      <c r="DO1096" s="55"/>
      <c r="DP1096" s="55"/>
      <c r="DQ1096" s="55"/>
      <c r="DR1096" s="55"/>
      <c r="DS1096" s="55"/>
      <c r="DT1096" s="55"/>
      <c r="DU1096" s="55"/>
      <c r="DV1096" s="55"/>
    </row>
    <row r="1097" spans="1:126" ht="12.75" x14ac:dyDescent="0.2">
      <c r="A1097" s="54"/>
      <c r="B1097" s="54"/>
      <c r="C1097" s="54"/>
      <c r="D1097" s="54"/>
      <c r="E1097" s="54"/>
      <c r="F1097" s="54"/>
      <c r="G1097" s="54"/>
      <c r="H1097" s="54"/>
      <c r="I1097" s="54"/>
      <c r="J1097" s="54"/>
      <c r="K1097" s="54"/>
      <c r="L1097" s="54"/>
      <c r="M1097" s="54"/>
      <c r="N1097" s="54"/>
      <c r="O1097" s="54"/>
      <c r="P1097" s="54"/>
      <c r="Q1097" s="54"/>
      <c r="R1097" s="54"/>
      <c r="S1097" s="54"/>
      <c r="T1097" s="54"/>
      <c r="U1097" s="54"/>
      <c r="V1097" s="54"/>
      <c r="W1097" s="54"/>
      <c r="X1097" s="54"/>
      <c r="Y1097" s="54"/>
      <c r="Z1097" s="54"/>
      <c r="AY1097" s="55"/>
      <c r="AZ1097" s="55"/>
      <c r="BA1097" s="55"/>
      <c r="BB1097" s="55"/>
      <c r="BC1097" s="55"/>
      <c r="BD1097" s="55"/>
      <c r="BE1097" s="55"/>
      <c r="BF1097" s="55"/>
      <c r="BG1097" s="55"/>
      <c r="BH1097" s="55"/>
      <c r="BI1097" s="55"/>
      <c r="BJ1097" s="55"/>
      <c r="BK1097" s="55"/>
      <c r="BL1097" s="55"/>
      <c r="BM1097" s="55"/>
      <c r="BN1097" s="55"/>
      <c r="BO1097" s="55"/>
      <c r="BP1097" s="55"/>
      <c r="BQ1097" s="55"/>
      <c r="BR1097" s="55"/>
      <c r="BS1097" s="55"/>
      <c r="BT1097" s="55"/>
      <c r="BU1097" s="55"/>
      <c r="BV1097" s="55"/>
      <c r="BW1097" s="55"/>
      <c r="BX1097" s="55"/>
      <c r="BY1097" s="55"/>
      <c r="BZ1097" s="55"/>
      <c r="CI1097" s="55"/>
      <c r="CJ1097" s="55"/>
      <c r="CK1097" s="55"/>
      <c r="CL1097" s="55"/>
      <c r="CM1097" s="55"/>
      <c r="CN1097" s="55"/>
      <c r="CO1097" s="55"/>
      <c r="CP1097" s="55"/>
      <c r="CQ1097" s="55"/>
      <c r="DJ1097" s="55"/>
      <c r="DK1097" s="55"/>
      <c r="DL1097" s="55"/>
      <c r="DM1097" s="55"/>
      <c r="DN1097" s="55"/>
      <c r="DO1097" s="55"/>
      <c r="DP1097" s="55"/>
      <c r="DQ1097" s="55"/>
      <c r="DR1097" s="55"/>
      <c r="DS1097" s="55"/>
      <c r="DT1097" s="55"/>
      <c r="DU1097" s="55"/>
      <c r="DV1097" s="55"/>
    </row>
    <row r="1098" spans="1:126" ht="12.75" x14ac:dyDescent="0.2">
      <c r="A1098" s="54"/>
      <c r="B1098" s="54"/>
      <c r="C1098" s="54"/>
      <c r="D1098" s="54"/>
      <c r="E1098" s="54"/>
      <c r="F1098" s="54"/>
      <c r="G1098" s="54"/>
      <c r="H1098" s="54"/>
      <c r="I1098" s="54"/>
      <c r="J1098" s="54"/>
      <c r="K1098" s="54"/>
      <c r="L1098" s="54"/>
      <c r="M1098" s="54"/>
      <c r="N1098" s="54"/>
      <c r="O1098" s="54"/>
      <c r="P1098" s="54"/>
      <c r="Q1098" s="54"/>
      <c r="R1098" s="54"/>
      <c r="S1098" s="54"/>
      <c r="T1098" s="54"/>
      <c r="U1098" s="54"/>
      <c r="V1098" s="54"/>
      <c r="W1098" s="54"/>
      <c r="X1098" s="54"/>
      <c r="Y1098" s="54"/>
      <c r="Z1098" s="54"/>
      <c r="AY1098" s="55"/>
      <c r="AZ1098" s="55"/>
      <c r="BA1098" s="55"/>
      <c r="BB1098" s="55"/>
      <c r="BC1098" s="55"/>
      <c r="BD1098" s="55"/>
      <c r="BE1098" s="55"/>
      <c r="BF1098" s="55"/>
      <c r="BG1098" s="55"/>
      <c r="BH1098" s="55"/>
      <c r="BI1098" s="55"/>
      <c r="BJ1098" s="55"/>
      <c r="BK1098" s="55"/>
      <c r="BL1098" s="55"/>
      <c r="BM1098" s="55"/>
      <c r="BN1098" s="55"/>
      <c r="BO1098" s="55"/>
      <c r="BP1098" s="55"/>
      <c r="BQ1098" s="55"/>
      <c r="BR1098" s="55"/>
      <c r="BS1098" s="55"/>
      <c r="BT1098" s="55"/>
      <c r="BU1098" s="55"/>
      <c r="BV1098" s="55"/>
      <c r="BW1098" s="55"/>
      <c r="BX1098" s="55"/>
      <c r="BY1098" s="55"/>
      <c r="BZ1098" s="55"/>
      <c r="CI1098" s="55"/>
      <c r="CJ1098" s="55"/>
      <c r="CK1098" s="55"/>
      <c r="CL1098" s="55"/>
      <c r="CM1098" s="55"/>
      <c r="CN1098" s="55"/>
      <c r="CO1098" s="55"/>
      <c r="CP1098" s="55"/>
      <c r="CQ1098" s="55"/>
      <c r="DJ1098" s="55"/>
      <c r="DK1098" s="55"/>
      <c r="DL1098" s="55"/>
      <c r="DM1098" s="55"/>
      <c r="DN1098" s="55"/>
      <c r="DO1098" s="55"/>
      <c r="DP1098" s="55"/>
      <c r="DQ1098" s="55"/>
      <c r="DR1098" s="55"/>
      <c r="DS1098" s="55"/>
      <c r="DT1098" s="55"/>
      <c r="DU1098" s="55"/>
      <c r="DV1098" s="55"/>
    </row>
    <row r="1099" spans="1:126" ht="12.75" x14ac:dyDescent="0.2">
      <c r="A1099" s="54"/>
      <c r="B1099" s="54"/>
      <c r="C1099" s="54"/>
      <c r="D1099" s="54"/>
      <c r="E1099" s="54"/>
      <c r="F1099" s="54"/>
      <c r="G1099" s="54"/>
      <c r="H1099" s="54"/>
      <c r="I1099" s="54"/>
      <c r="J1099" s="54"/>
      <c r="K1099" s="54"/>
      <c r="L1099" s="54"/>
      <c r="M1099" s="54"/>
      <c r="N1099" s="54"/>
      <c r="O1099" s="54"/>
      <c r="P1099" s="54"/>
      <c r="Q1099" s="54"/>
      <c r="R1099" s="54"/>
      <c r="S1099" s="54"/>
      <c r="T1099" s="54"/>
      <c r="U1099" s="54"/>
      <c r="V1099" s="54"/>
      <c r="W1099" s="54"/>
      <c r="X1099" s="54"/>
      <c r="Y1099" s="54"/>
      <c r="Z1099" s="54"/>
      <c r="AY1099" s="55"/>
      <c r="AZ1099" s="55"/>
      <c r="BA1099" s="55"/>
      <c r="BB1099" s="55"/>
      <c r="BC1099" s="55"/>
      <c r="BD1099" s="55"/>
      <c r="BE1099" s="55"/>
      <c r="BF1099" s="55"/>
      <c r="BG1099" s="55"/>
      <c r="BH1099" s="55"/>
      <c r="BI1099" s="55"/>
      <c r="BJ1099" s="55"/>
      <c r="BK1099" s="55"/>
      <c r="BL1099" s="55"/>
      <c r="BM1099" s="55"/>
      <c r="BN1099" s="55"/>
      <c r="BO1099" s="55"/>
      <c r="BP1099" s="55"/>
      <c r="BQ1099" s="55"/>
      <c r="BR1099" s="55"/>
      <c r="BS1099" s="55"/>
      <c r="BT1099" s="55"/>
      <c r="BU1099" s="55"/>
      <c r="BV1099" s="55"/>
      <c r="BW1099" s="55"/>
      <c r="BX1099" s="55"/>
      <c r="BY1099" s="55"/>
      <c r="BZ1099" s="55"/>
      <c r="CI1099" s="55"/>
      <c r="CJ1099" s="55"/>
      <c r="CK1099" s="55"/>
      <c r="CL1099" s="55"/>
      <c r="CM1099" s="55"/>
      <c r="CN1099" s="55"/>
      <c r="CO1099" s="55"/>
      <c r="CP1099" s="55"/>
      <c r="CQ1099" s="55"/>
      <c r="DJ1099" s="55"/>
      <c r="DK1099" s="55"/>
      <c r="DL1099" s="55"/>
      <c r="DM1099" s="55"/>
      <c r="DN1099" s="55"/>
      <c r="DO1099" s="55"/>
      <c r="DP1099" s="55"/>
      <c r="DQ1099" s="55"/>
      <c r="DR1099" s="55"/>
      <c r="DS1099" s="55"/>
      <c r="DT1099" s="55"/>
      <c r="DU1099" s="55"/>
      <c r="DV1099" s="55"/>
    </row>
    <row r="1100" spans="1:126" ht="12.75" x14ac:dyDescent="0.2">
      <c r="A1100" s="54"/>
      <c r="B1100" s="54"/>
      <c r="C1100" s="54"/>
      <c r="D1100" s="54"/>
      <c r="E1100" s="54"/>
      <c r="F1100" s="54"/>
      <c r="G1100" s="54"/>
      <c r="H1100" s="54"/>
      <c r="I1100" s="54"/>
      <c r="J1100" s="54"/>
      <c r="K1100" s="54"/>
      <c r="L1100" s="54"/>
      <c r="M1100" s="54"/>
      <c r="N1100" s="54"/>
      <c r="O1100" s="54"/>
      <c r="P1100" s="54"/>
      <c r="Q1100" s="54"/>
      <c r="R1100" s="54"/>
      <c r="S1100" s="54"/>
      <c r="T1100" s="54"/>
      <c r="U1100" s="54"/>
      <c r="V1100" s="54"/>
      <c r="W1100" s="54"/>
      <c r="X1100" s="54"/>
      <c r="Y1100" s="54"/>
      <c r="Z1100" s="54"/>
      <c r="AY1100" s="55"/>
      <c r="AZ1100" s="55"/>
      <c r="BA1100" s="55"/>
      <c r="BB1100" s="55"/>
      <c r="BC1100" s="55"/>
      <c r="BD1100" s="55"/>
      <c r="BE1100" s="55"/>
      <c r="BF1100" s="55"/>
      <c r="BG1100" s="55"/>
      <c r="BH1100" s="55"/>
      <c r="BI1100" s="55"/>
      <c r="BJ1100" s="55"/>
      <c r="BK1100" s="55"/>
      <c r="BL1100" s="55"/>
      <c r="BM1100" s="55"/>
      <c r="BN1100" s="55"/>
      <c r="BO1100" s="55"/>
      <c r="BP1100" s="55"/>
      <c r="BQ1100" s="55"/>
      <c r="BR1100" s="55"/>
      <c r="BS1100" s="55"/>
      <c r="BT1100" s="55"/>
      <c r="BU1100" s="55"/>
      <c r="BV1100" s="55"/>
      <c r="BW1100" s="55"/>
      <c r="BX1100" s="55"/>
      <c r="BY1100" s="55"/>
      <c r="BZ1100" s="55"/>
      <c r="CI1100" s="55"/>
      <c r="CJ1100" s="55"/>
      <c r="CK1100" s="55"/>
      <c r="CL1100" s="55"/>
      <c r="CM1100" s="55"/>
      <c r="CN1100" s="55"/>
      <c r="CO1100" s="55"/>
      <c r="CP1100" s="55"/>
      <c r="CQ1100" s="55"/>
      <c r="DJ1100" s="55"/>
      <c r="DK1100" s="55"/>
      <c r="DL1100" s="55"/>
      <c r="DM1100" s="55"/>
      <c r="DN1100" s="55"/>
      <c r="DO1100" s="55"/>
      <c r="DP1100" s="55"/>
      <c r="DQ1100" s="55"/>
      <c r="DR1100" s="55"/>
      <c r="DS1100" s="55"/>
      <c r="DT1100" s="55"/>
      <c r="DU1100" s="55"/>
      <c r="DV1100" s="55"/>
    </row>
    <row r="1101" spans="1:126" ht="12.75" x14ac:dyDescent="0.2">
      <c r="A1101" s="54"/>
      <c r="B1101" s="54"/>
      <c r="C1101" s="54"/>
      <c r="D1101" s="54"/>
      <c r="E1101" s="54"/>
      <c r="F1101" s="54"/>
      <c r="G1101" s="54"/>
      <c r="H1101" s="54"/>
      <c r="I1101" s="54"/>
      <c r="J1101" s="54"/>
      <c r="K1101" s="54"/>
      <c r="L1101" s="54"/>
      <c r="M1101" s="54"/>
      <c r="N1101" s="54"/>
      <c r="O1101" s="54"/>
      <c r="P1101" s="54"/>
      <c r="Q1101" s="54"/>
      <c r="R1101" s="54"/>
      <c r="S1101" s="54"/>
      <c r="T1101" s="54"/>
      <c r="U1101" s="54"/>
      <c r="V1101" s="54"/>
      <c r="W1101" s="54"/>
      <c r="X1101" s="54"/>
      <c r="Y1101" s="54"/>
      <c r="Z1101" s="54"/>
      <c r="AY1101" s="55"/>
      <c r="AZ1101" s="55"/>
      <c r="BA1101" s="55"/>
      <c r="BB1101" s="55"/>
      <c r="BC1101" s="55"/>
      <c r="BD1101" s="55"/>
      <c r="BE1101" s="55"/>
      <c r="BF1101" s="55"/>
      <c r="BG1101" s="55"/>
      <c r="BH1101" s="55"/>
      <c r="BI1101" s="55"/>
      <c r="BJ1101" s="55"/>
      <c r="BK1101" s="55"/>
      <c r="BL1101" s="55"/>
      <c r="BM1101" s="55"/>
      <c r="BN1101" s="55"/>
      <c r="BO1101" s="55"/>
      <c r="BP1101" s="55"/>
      <c r="BQ1101" s="55"/>
      <c r="BR1101" s="55"/>
      <c r="BS1101" s="55"/>
      <c r="BT1101" s="55"/>
      <c r="BU1101" s="55"/>
      <c r="BV1101" s="55"/>
      <c r="BW1101" s="55"/>
      <c r="BX1101" s="55"/>
      <c r="BY1101" s="55"/>
      <c r="BZ1101" s="55"/>
      <c r="CI1101" s="55"/>
      <c r="CJ1101" s="55"/>
      <c r="CK1101" s="55"/>
      <c r="CL1101" s="55"/>
      <c r="CM1101" s="55"/>
      <c r="CN1101" s="55"/>
      <c r="CO1101" s="55"/>
      <c r="CP1101" s="55"/>
      <c r="CQ1101" s="55"/>
      <c r="DJ1101" s="55"/>
      <c r="DK1101" s="55"/>
      <c r="DL1101" s="55"/>
      <c r="DM1101" s="55"/>
      <c r="DN1101" s="55"/>
      <c r="DO1101" s="55"/>
      <c r="DP1101" s="55"/>
      <c r="DQ1101" s="55"/>
      <c r="DR1101" s="55"/>
      <c r="DS1101" s="55"/>
      <c r="DT1101" s="55"/>
      <c r="DU1101" s="55"/>
      <c r="DV1101" s="55"/>
    </row>
    <row r="1102" spans="1:126" ht="12.75" x14ac:dyDescent="0.2">
      <c r="AY1102" s="55"/>
      <c r="AZ1102" s="55"/>
      <c r="BA1102" s="55"/>
      <c r="BB1102" s="55"/>
      <c r="BC1102" s="55"/>
      <c r="BD1102" s="55"/>
      <c r="BE1102" s="55"/>
      <c r="BF1102" s="55"/>
      <c r="BG1102" s="55"/>
      <c r="BH1102" s="55"/>
      <c r="BI1102" s="55"/>
      <c r="BJ1102" s="55"/>
      <c r="BK1102" s="55"/>
      <c r="BL1102" s="55"/>
      <c r="BM1102" s="55"/>
      <c r="BN1102" s="55"/>
      <c r="BO1102" s="55"/>
      <c r="BP1102" s="55"/>
      <c r="BQ1102" s="55"/>
      <c r="BR1102" s="55"/>
      <c r="BS1102" s="55"/>
      <c r="BT1102" s="55"/>
      <c r="BU1102" s="55"/>
      <c r="BV1102" s="55"/>
      <c r="BW1102" s="55"/>
      <c r="BX1102" s="55"/>
      <c r="BY1102" s="55"/>
      <c r="BZ1102" s="55"/>
      <c r="CI1102" s="55"/>
      <c r="CJ1102" s="55"/>
      <c r="CK1102" s="55"/>
      <c r="CL1102" s="55"/>
      <c r="CM1102" s="55"/>
      <c r="CN1102" s="55"/>
      <c r="CO1102" s="55"/>
      <c r="CP1102" s="55"/>
      <c r="CQ1102" s="55"/>
      <c r="DJ1102" s="55"/>
      <c r="DK1102" s="55"/>
      <c r="DL1102" s="55"/>
      <c r="DM1102" s="55"/>
      <c r="DN1102" s="55"/>
      <c r="DO1102" s="55"/>
      <c r="DP1102" s="55"/>
      <c r="DQ1102" s="55"/>
      <c r="DR1102" s="55"/>
      <c r="DS1102" s="55"/>
      <c r="DT1102" s="55"/>
      <c r="DU1102" s="55"/>
      <c r="DV1102" s="55"/>
    </row>
    <row r="1103" spans="1:126" ht="12.75" x14ac:dyDescent="0.2">
      <c r="AY1103" s="55"/>
      <c r="AZ1103" s="55"/>
      <c r="BA1103" s="55"/>
      <c r="BB1103" s="55"/>
      <c r="BC1103" s="55"/>
      <c r="BD1103" s="55"/>
      <c r="BE1103" s="55"/>
      <c r="BF1103" s="55"/>
      <c r="BG1103" s="55"/>
      <c r="BH1103" s="55"/>
      <c r="BI1103" s="55"/>
      <c r="BJ1103" s="55"/>
      <c r="BK1103" s="55"/>
      <c r="BL1103" s="55"/>
      <c r="BM1103" s="55"/>
      <c r="BN1103" s="55"/>
      <c r="BO1103" s="55"/>
      <c r="BP1103" s="55"/>
      <c r="BQ1103" s="55"/>
      <c r="BR1103" s="55"/>
      <c r="BS1103" s="55"/>
      <c r="BT1103" s="55"/>
      <c r="BU1103" s="55"/>
      <c r="BV1103" s="55"/>
      <c r="BW1103" s="55"/>
      <c r="BX1103" s="55"/>
      <c r="BY1103" s="55"/>
      <c r="BZ1103" s="55"/>
      <c r="CI1103" s="55"/>
      <c r="CJ1103" s="55"/>
      <c r="CK1103" s="55"/>
      <c r="CL1103" s="55"/>
      <c r="CM1103" s="55"/>
      <c r="CN1103" s="55"/>
      <c r="CO1103" s="55"/>
      <c r="CP1103" s="55"/>
      <c r="CQ1103" s="55"/>
      <c r="DJ1103" s="55"/>
      <c r="DK1103" s="55"/>
      <c r="DL1103" s="55"/>
      <c r="DM1103" s="55"/>
      <c r="DN1103" s="55"/>
      <c r="DO1103" s="55"/>
      <c r="DP1103" s="55"/>
      <c r="DQ1103" s="55"/>
      <c r="DR1103" s="55"/>
      <c r="DS1103" s="55"/>
      <c r="DT1103" s="55"/>
      <c r="DU1103" s="55"/>
      <c r="DV1103" s="55"/>
    </row>
    <row r="1104" spans="1:126" ht="12.75" x14ac:dyDescent="0.2">
      <c r="AY1104" s="55"/>
      <c r="AZ1104" s="55"/>
      <c r="BA1104" s="55"/>
      <c r="BB1104" s="55"/>
      <c r="BC1104" s="55"/>
      <c r="BD1104" s="55"/>
      <c r="BE1104" s="55"/>
      <c r="BF1104" s="55"/>
      <c r="BG1104" s="55"/>
      <c r="BH1104" s="55"/>
      <c r="BI1104" s="55"/>
      <c r="BJ1104" s="55"/>
      <c r="BK1104" s="55"/>
      <c r="BL1104" s="55"/>
      <c r="BM1104" s="55"/>
      <c r="BN1104" s="55"/>
      <c r="BO1104" s="55"/>
      <c r="BP1104" s="55"/>
      <c r="BQ1104" s="55"/>
      <c r="BR1104" s="55"/>
      <c r="BS1104" s="55"/>
      <c r="BT1104" s="55"/>
      <c r="BU1104" s="55"/>
      <c r="BV1104" s="55"/>
      <c r="BW1104" s="55"/>
      <c r="BX1104" s="55"/>
      <c r="BY1104" s="55"/>
      <c r="BZ1104" s="55"/>
      <c r="CI1104" s="55"/>
      <c r="CJ1104" s="55"/>
      <c r="CK1104" s="55"/>
      <c r="CL1104" s="55"/>
      <c r="CM1104" s="55"/>
      <c r="CN1104" s="55"/>
      <c r="CO1104" s="55"/>
      <c r="CP1104" s="55"/>
      <c r="CQ1104" s="55"/>
      <c r="DJ1104" s="55"/>
      <c r="DK1104" s="55"/>
      <c r="DL1104" s="55"/>
      <c r="DM1104" s="55"/>
      <c r="DN1104" s="55"/>
      <c r="DO1104" s="55"/>
      <c r="DP1104" s="55"/>
      <c r="DQ1104" s="55"/>
      <c r="DR1104" s="55"/>
      <c r="DS1104" s="55"/>
      <c r="DT1104" s="55"/>
      <c r="DU1104" s="55"/>
      <c r="DV1104" s="55"/>
    </row>
    <row r="1105" spans="51:126" ht="12.75" x14ac:dyDescent="0.2">
      <c r="AY1105" s="55"/>
      <c r="AZ1105" s="55"/>
      <c r="BA1105" s="55"/>
      <c r="BB1105" s="55"/>
      <c r="BC1105" s="55"/>
      <c r="BD1105" s="55"/>
      <c r="BE1105" s="55"/>
      <c r="BF1105" s="55"/>
      <c r="BG1105" s="55"/>
      <c r="BH1105" s="55"/>
      <c r="BI1105" s="55"/>
      <c r="BJ1105" s="55"/>
      <c r="BK1105" s="55"/>
      <c r="BL1105" s="55"/>
      <c r="BM1105" s="55"/>
      <c r="BN1105" s="55"/>
      <c r="BO1105" s="55"/>
      <c r="BP1105" s="55"/>
      <c r="BQ1105" s="55"/>
      <c r="BR1105" s="55"/>
      <c r="BS1105" s="55"/>
      <c r="BT1105" s="55"/>
      <c r="BU1105" s="55"/>
      <c r="BV1105" s="55"/>
      <c r="BW1105" s="55"/>
      <c r="BX1105" s="55"/>
      <c r="BY1105" s="55"/>
      <c r="BZ1105" s="55"/>
      <c r="CI1105" s="55"/>
      <c r="CJ1105" s="55"/>
      <c r="CK1105" s="55"/>
      <c r="CL1105" s="55"/>
      <c r="CM1105" s="55"/>
      <c r="CN1105" s="55"/>
      <c r="CO1105" s="55"/>
      <c r="CP1105" s="55"/>
      <c r="CQ1105" s="55"/>
      <c r="DJ1105" s="55"/>
      <c r="DK1105" s="55"/>
      <c r="DL1105" s="55"/>
      <c r="DM1105" s="55"/>
      <c r="DN1105" s="55"/>
      <c r="DO1105" s="55"/>
      <c r="DP1105" s="55"/>
      <c r="DQ1105" s="55"/>
      <c r="DR1105" s="55"/>
      <c r="DS1105" s="55"/>
      <c r="DT1105" s="55"/>
      <c r="DU1105" s="55"/>
      <c r="DV1105" s="55"/>
    </row>
    <row r="1106" spans="51:126" ht="12.75" x14ac:dyDescent="0.2">
      <c r="AY1106" s="55"/>
      <c r="AZ1106" s="55"/>
      <c r="BA1106" s="55"/>
      <c r="BB1106" s="55"/>
      <c r="BC1106" s="55"/>
      <c r="BD1106" s="55"/>
      <c r="BE1106" s="55"/>
      <c r="BF1106" s="55"/>
      <c r="BG1106" s="55"/>
      <c r="BH1106" s="55"/>
      <c r="BI1106" s="55"/>
      <c r="BJ1106" s="55"/>
      <c r="BK1106" s="55"/>
      <c r="BL1106" s="55"/>
      <c r="BM1106" s="55"/>
      <c r="BN1106" s="55"/>
      <c r="BO1106" s="55"/>
      <c r="BP1106" s="55"/>
      <c r="BQ1106" s="55"/>
      <c r="BR1106" s="55"/>
      <c r="BS1106" s="55"/>
      <c r="BT1106" s="55"/>
      <c r="BU1106" s="55"/>
      <c r="BV1106" s="55"/>
      <c r="BW1106" s="55"/>
      <c r="BX1106" s="55"/>
      <c r="BY1106" s="55"/>
      <c r="BZ1106" s="55"/>
      <c r="CI1106" s="55"/>
      <c r="CJ1106" s="55"/>
      <c r="CK1106" s="55"/>
      <c r="CL1106" s="55"/>
      <c r="CM1106" s="55"/>
      <c r="CN1106" s="55"/>
      <c r="CO1106" s="55"/>
      <c r="CP1106" s="55"/>
      <c r="CQ1106" s="55"/>
      <c r="DJ1106" s="55"/>
      <c r="DK1106" s="55"/>
      <c r="DL1106" s="55"/>
      <c r="DM1106" s="55"/>
      <c r="DN1106" s="55"/>
      <c r="DO1106" s="55"/>
      <c r="DP1106" s="55"/>
      <c r="DQ1106" s="55"/>
      <c r="DR1106" s="55"/>
      <c r="DS1106" s="55"/>
      <c r="DT1106" s="55"/>
      <c r="DU1106" s="55"/>
      <c r="DV1106" s="55"/>
    </row>
    <row r="1107" spans="51:126" ht="12.75" x14ac:dyDescent="0.2">
      <c r="AY1107" s="55"/>
      <c r="AZ1107" s="55"/>
      <c r="BA1107" s="55"/>
      <c r="BB1107" s="55"/>
      <c r="BC1107" s="55"/>
      <c r="BD1107" s="55"/>
      <c r="BE1107" s="55"/>
      <c r="BF1107" s="55"/>
      <c r="BG1107" s="55"/>
      <c r="BH1107" s="55"/>
      <c r="BI1107" s="55"/>
      <c r="BJ1107" s="55"/>
      <c r="BK1107" s="55"/>
      <c r="BL1107" s="55"/>
      <c r="BM1107" s="55"/>
      <c r="BN1107" s="55"/>
      <c r="BO1107" s="55"/>
      <c r="BP1107" s="55"/>
      <c r="BQ1107" s="55"/>
      <c r="BR1107" s="55"/>
      <c r="BS1107" s="55"/>
      <c r="BT1107" s="55"/>
      <c r="BU1107" s="55"/>
      <c r="BV1107" s="55"/>
      <c r="BW1107" s="55"/>
      <c r="BX1107" s="55"/>
      <c r="BY1107" s="55"/>
      <c r="BZ1107" s="55"/>
      <c r="CI1107" s="55"/>
      <c r="CJ1107" s="55"/>
      <c r="CK1107" s="55"/>
      <c r="CL1107" s="55"/>
      <c r="CM1107" s="55"/>
      <c r="CN1107" s="55"/>
      <c r="CO1107" s="55"/>
      <c r="CP1107" s="55"/>
      <c r="CQ1107" s="55"/>
      <c r="DJ1107" s="55"/>
      <c r="DK1107" s="55"/>
      <c r="DL1107" s="55"/>
      <c r="DM1107" s="55"/>
      <c r="DN1107" s="55"/>
      <c r="DO1107" s="55"/>
      <c r="DP1107" s="55"/>
      <c r="DQ1107" s="55"/>
      <c r="DR1107" s="55"/>
      <c r="DS1107" s="55"/>
      <c r="DT1107" s="55"/>
      <c r="DU1107" s="55"/>
      <c r="DV1107" s="55"/>
    </row>
    <row r="1108" spans="51:126" ht="12.75" x14ac:dyDescent="0.2">
      <c r="AY1108" s="55"/>
      <c r="AZ1108" s="55"/>
      <c r="BA1108" s="55"/>
      <c r="BB1108" s="55"/>
      <c r="BC1108" s="55"/>
      <c r="BD1108" s="55"/>
      <c r="BE1108" s="55"/>
      <c r="BF1108" s="55"/>
      <c r="BG1108" s="55"/>
      <c r="BH1108" s="55"/>
      <c r="BI1108" s="55"/>
      <c r="BJ1108" s="55"/>
      <c r="BK1108" s="55"/>
      <c r="BL1108" s="55"/>
      <c r="BM1108" s="55"/>
      <c r="BN1108" s="55"/>
      <c r="BO1108" s="55"/>
      <c r="BP1108" s="55"/>
      <c r="BQ1108" s="55"/>
      <c r="BR1108" s="55"/>
      <c r="BS1108" s="55"/>
      <c r="BT1108" s="55"/>
      <c r="BU1108" s="55"/>
      <c r="BV1108" s="55"/>
      <c r="BW1108" s="55"/>
      <c r="BX1108" s="55"/>
      <c r="BY1108" s="55"/>
      <c r="BZ1108" s="55"/>
      <c r="CI1108" s="55"/>
      <c r="CJ1108" s="55"/>
      <c r="CK1108" s="55"/>
      <c r="CL1108" s="55"/>
      <c r="CM1108" s="55"/>
      <c r="CN1108" s="55"/>
      <c r="CO1108" s="55"/>
      <c r="CP1108" s="55"/>
      <c r="CQ1108" s="55"/>
      <c r="DJ1108" s="55"/>
      <c r="DK1108" s="55"/>
      <c r="DL1108" s="55"/>
      <c r="DM1108" s="55"/>
      <c r="DN1108" s="55"/>
      <c r="DO1108" s="55"/>
      <c r="DP1108" s="55"/>
      <c r="DQ1108" s="55"/>
      <c r="DR1108" s="55"/>
      <c r="DS1108" s="55"/>
      <c r="DT1108" s="55"/>
      <c r="DU1108" s="55"/>
      <c r="DV1108" s="55"/>
    </row>
    <row r="1109" spans="51:126" ht="12.75" x14ac:dyDescent="0.2">
      <c r="AY1109" s="55"/>
      <c r="AZ1109" s="55"/>
      <c r="BA1109" s="55"/>
      <c r="BB1109" s="55"/>
      <c r="BC1109" s="55"/>
      <c r="BD1109" s="55"/>
      <c r="BE1109" s="55"/>
      <c r="BF1109" s="55"/>
      <c r="BG1109" s="55"/>
      <c r="BH1109" s="55"/>
      <c r="BI1109" s="55"/>
      <c r="BJ1109" s="55"/>
      <c r="BK1109" s="55"/>
      <c r="BL1109" s="55"/>
      <c r="BM1109" s="55"/>
      <c r="BN1109" s="55"/>
      <c r="BO1109" s="55"/>
      <c r="BP1109" s="55"/>
      <c r="BQ1109" s="55"/>
      <c r="BR1109" s="55"/>
      <c r="BS1109" s="55"/>
      <c r="BT1109" s="55"/>
      <c r="BU1109" s="55"/>
      <c r="BV1109" s="55"/>
      <c r="BW1109" s="55"/>
      <c r="BX1109" s="55"/>
      <c r="BY1109" s="55"/>
      <c r="BZ1109" s="55"/>
      <c r="CI1109" s="55"/>
      <c r="CJ1109" s="55"/>
      <c r="CK1109" s="55"/>
      <c r="CL1109" s="55"/>
      <c r="CM1109" s="55"/>
      <c r="CN1109" s="55"/>
      <c r="CO1109" s="55"/>
      <c r="CP1109" s="55"/>
      <c r="CQ1109" s="55"/>
      <c r="DJ1109" s="55"/>
      <c r="DK1109" s="55"/>
      <c r="DL1109" s="55"/>
      <c r="DM1109" s="55"/>
      <c r="DN1109" s="55"/>
      <c r="DO1109" s="55"/>
      <c r="DP1109" s="55"/>
      <c r="DQ1109" s="55"/>
      <c r="DR1109" s="55"/>
      <c r="DS1109" s="55"/>
      <c r="DT1109" s="55"/>
      <c r="DU1109" s="55"/>
      <c r="DV1109" s="55"/>
    </row>
    <row r="1110" spans="51:126" ht="12.75" x14ac:dyDescent="0.2">
      <c r="AY1110" s="55"/>
      <c r="AZ1110" s="55"/>
      <c r="BA1110" s="55"/>
      <c r="BB1110" s="55"/>
      <c r="BC1110" s="55"/>
      <c r="BD1110" s="55"/>
      <c r="BE1110" s="55"/>
      <c r="BF1110" s="55"/>
      <c r="BG1110" s="55"/>
      <c r="BH1110" s="55"/>
      <c r="BI1110" s="55"/>
      <c r="BJ1110" s="55"/>
      <c r="BK1110" s="55"/>
      <c r="BL1110" s="55"/>
      <c r="BM1110" s="55"/>
      <c r="BN1110" s="55"/>
      <c r="BO1110" s="55"/>
      <c r="BP1110" s="55"/>
      <c r="BQ1110" s="55"/>
      <c r="BR1110" s="55"/>
      <c r="BS1110" s="55"/>
      <c r="BT1110" s="55"/>
      <c r="BU1110" s="55"/>
      <c r="BV1110" s="55"/>
      <c r="BW1110" s="55"/>
      <c r="BX1110" s="55"/>
      <c r="BY1110" s="55"/>
      <c r="BZ1110" s="55"/>
      <c r="CI1110" s="55"/>
      <c r="CJ1110" s="55"/>
      <c r="CK1110" s="55"/>
      <c r="CL1110" s="55"/>
      <c r="CM1110" s="55"/>
      <c r="CN1110" s="55"/>
      <c r="CO1110" s="55"/>
      <c r="CP1110" s="55"/>
      <c r="CQ1110" s="55"/>
      <c r="DJ1110" s="55"/>
      <c r="DK1110" s="55"/>
      <c r="DL1110" s="55"/>
      <c r="DM1110" s="55"/>
      <c r="DN1110" s="55"/>
      <c r="DO1110" s="55"/>
      <c r="DP1110" s="55"/>
      <c r="DQ1110" s="55"/>
      <c r="DR1110" s="55"/>
      <c r="DS1110" s="55"/>
      <c r="DT1110" s="55"/>
      <c r="DU1110" s="55"/>
      <c r="DV1110" s="55"/>
    </row>
    <row r="1111" spans="51:126" ht="12.75" x14ac:dyDescent="0.2">
      <c r="AY1111" s="55"/>
      <c r="AZ1111" s="55"/>
      <c r="BA1111" s="55"/>
      <c r="BB1111" s="55"/>
      <c r="BC1111" s="55"/>
      <c r="BD1111" s="55"/>
      <c r="BE1111" s="55"/>
      <c r="BF1111" s="55"/>
      <c r="BG1111" s="55"/>
      <c r="BH1111" s="55"/>
      <c r="BI1111" s="55"/>
      <c r="BJ1111" s="55"/>
      <c r="BK1111" s="55"/>
      <c r="BL1111" s="55"/>
      <c r="BM1111" s="55"/>
      <c r="BN1111" s="55"/>
      <c r="BO1111" s="55"/>
      <c r="BP1111" s="55"/>
      <c r="BQ1111" s="55"/>
      <c r="BR1111" s="55"/>
      <c r="BS1111" s="55"/>
      <c r="BT1111" s="55"/>
      <c r="BU1111" s="55"/>
      <c r="BV1111" s="55"/>
      <c r="BW1111" s="55"/>
      <c r="BX1111" s="55"/>
      <c r="BY1111" s="55"/>
      <c r="BZ1111" s="55"/>
      <c r="CI1111" s="55"/>
      <c r="CJ1111" s="55"/>
      <c r="CK1111" s="55"/>
      <c r="CL1111" s="55"/>
      <c r="CM1111" s="55"/>
      <c r="CN1111" s="55"/>
      <c r="CO1111" s="55"/>
      <c r="CP1111" s="55"/>
      <c r="CQ1111" s="55"/>
      <c r="DJ1111" s="55"/>
      <c r="DK1111" s="55"/>
      <c r="DL1111" s="55"/>
      <c r="DM1111" s="55"/>
      <c r="DN1111" s="55"/>
      <c r="DO1111" s="55"/>
      <c r="DP1111" s="55"/>
      <c r="DQ1111" s="55"/>
      <c r="DR1111" s="55"/>
      <c r="DS1111" s="55"/>
      <c r="DT1111" s="55"/>
      <c r="DU1111" s="55"/>
      <c r="DV1111" s="55"/>
    </row>
    <row r="1112" spans="51:126" ht="12.75" x14ac:dyDescent="0.2">
      <c r="AY1112" s="55"/>
      <c r="AZ1112" s="55"/>
      <c r="BA1112" s="55"/>
      <c r="BB1112" s="55"/>
      <c r="BC1112" s="55"/>
      <c r="BD1112" s="55"/>
      <c r="BE1112" s="55"/>
      <c r="BF1112" s="55"/>
      <c r="BG1112" s="55"/>
      <c r="BH1112" s="55"/>
      <c r="BI1112" s="55"/>
      <c r="BJ1112" s="55"/>
      <c r="BK1112" s="55"/>
      <c r="BL1112" s="55"/>
      <c r="BM1112" s="55"/>
      <c r="BN1112" s="55"/>
      <c r="BO1112" s="55"/>
      <c r="BP1112" s="55"/>
      <c r="BQ1112" s="55"/>
      <c r="BR1112" s="55"/>
      <c r="BS1112" s="55"/>
      <c r="BT1112" s="55"/>
      <c r="BU1112" s="55"/>
      <c r="BV1112" s="55"/>
      <c r="BW1112" s="55"/>
      <c r="BX1112" s="55"/>
      <c r="BY1112" s="55"/>
      <c r="BZ1112" s="55"/>
      <c r="CI1112" s="55"/>
      <c r="CJ1112" s="55"/>
      <c r="CK1112" s="55"/>
      <c r="CL1112" s="55"/>
      <c r="CM1112" s="55"/>
      <c r="CN1112" s="55"/>
      <c r="CO1112" s="55"/>
      <c r="CP1112" s="55"/>
      <c r="CQ1112" s="55"/>
      <c r="DJ1112" s="55"/>
      <c r="DK1112" s="55"/>
      <c r="DL1112" s="55"/>
      <c r="DM1112" s="55"/>
      <c r="DN1112" s="55"/>
      <c r="DO1112" s="55"/>
      <c r="DP1112" s="55"/>
      <c r="DQ1112" s="55"/>
      <c r="DR1112" s="55"/>
      <c r="DS1112" s="55"/>
      <c r="DT1112" s="55"/>
      <c r="DU1112" s="55"/>
      <c r="DV1112" s="55"/>
    </row>
    <row r="1113" spans="51:126" ht="12.75" x14ac:dyDescent="0.2">
      <c r="AY1113" s="55"/>
      <c r="AZ1113" s="55"/>
      <c r="BA1113" s="55"/>
      <c r="BB1113" s="55"/>
      <c r="BC1113" s="55"/>
      <c r="BD1113" s="55"/>
      <c r="BE1113" s="55"/>
      <c r="BF1113" s="55"/>
      <c r="BG1113" s="55"/>
      <c r="BH1113" s="55"/>
      <c r="BI1113" s="55"/>
      <c r="BJ1113" s="55"/>
      <c r="BK1113" s="55"/>
      <c r="BL1113" s="55"/>
      <c r="BM1113" s="55"/>
      <c r="BN1113" s="55"/>
      <c r="BO1113" s="55"/>
      <c r="BP1113" s="55"/>
      <c r="BQ1113" s="55"/>
      <c r="BR1113" s="55"/>
      <c r="BS1113" s="55"/>
      <c r="BT1113" s="55"/>
      <c r="BU1113" s="55"/>
      <c r="BV1113" s="55"/>
      <c r="BW1113" s="55"/>
      <c r="BX1113" s="55"/>
      <c r="BY1113" s="55"/>
      <c r="BZ1113" s="55"/>
      <c r="CI1113" s="55"/>
      <c r="CJ1113" s="55"/>
      <c r="CK1113" s="55"/>
      <c r="CL1113" s="55"/>
      <c r="CM1113" s="55"/>
      <c r="CN1113" s="55"/>
      <c r="CO1113" s="55"/>
      <c r="CP1113" s="55"/>
      <c r="CQ1113" s="55"/>
      <c r="DJ1113" s="55"/>
      <c r="DK1113" s="55"/>
      <c r="DL1113" s="55"/>
      <c r="DM1113" s="55"/>
      <c r="DN1113" s="55"/>
      <c r="DO1113" s="55"/>
      <c r="DP1113" s="55"/>
      <c r="DQ1113" s="55"/>
      <c r="DR1113" s="55"/>
      <c r="DS1113" s="55"/>
      <c r="DT1113" s="55"/>
      <c r="DU1113" s="55"/>
      <c r="DV1113" s="55"/>
    </row>
    <row r="1114" spans="51:126" ht="12.75" x14ac:dyDescent="0.2">
      <c r="AY1114" s="55"/>
      <c r="AZ1114" s="55"/>
      <c r="BA1114" s="55"/>
      <c r="BB1114" s="55"/>
      <c r="BC1114" s="55"/>
      <c r="BD1114" s="55"/>
      <c r="BE1114" s="55"/>
      <c r="BF1114" s="55"/>
      <c r="BG1114" s="55"/>
      <c r="BH1114" s="55"/>
      <c r="BI1114" s="55"/>
      <c r="BJ1114" s="55"/>
      <c r="BK1114" s="55"/>
      <c r="BL1114" s="55"/>
      <c r="BM1114" s="55"/>
      <c r="BN1114" s="55"/>
      <c r="BO1114" s="55"/>
      <c r="BP1114" s="55"/>
      <c r="BQ1114" s="55"/>
      <c r="BR1114" s="55"/>
      <c r="BS1114" s="55"/>
      <c r="BT1114" s="55"/>
      <c r="BU1114" s="55"/>
      <c r="BV1114" s="55"/>
      <c r="BW1114" s="55"/>
      <c r="BX1114" s="55"/>
      <c r="BY1114" s="55"/>
      <c r="BZ1114" s="55"/>
      <c r="CI1114" s="55"/>
      <c r="CJ1114" s="55"/>
      <c r="CK1114" s="55"/>
      <c r="CL1114" s="55"/>
      <c r="CM1114" s="55"/>
      <c r="CN1114" s="55"/>
      <c r="CO1114" s="55"/>
      <c r="CP1114" s="55"/>
      <c r="CQ1114" s="55"/>
      <c r="DJ1114" s="55"/>
      <c r="DK1114" s="55"/>
      <c r="DL1114" s="55"/>
      <c r="DM1114" s="55"/>
      <c r="DN1114" s="55"/>
      <c r="DO1114" s="55"/>
      <c r="DP1114" s="55"/>
      <c r="DQ1114" s="55"/>
      <c r="DR1114" s="55"/>
      <c r="DS1114" s="55"/>
      <c r="DT1114" s="55"/>
      <c r="DU1114" s="55"/>
      <c r="DV1114" s="55"/>
    </row>
    <row r="1115" spans="51:126" ht="12.75" x14ac:dyDescent="0.2">
      <c r="AY1115" s="55"/>
      <c r="AZ1115" s="55"/>
      <c r="BA1115" s="55"/>
      <c r="BB1115" s="55"/>
      <c r="BC1115" s="55"/>
      <c r="BD1115" s="55"/>
      <c r="BE1115" s="55"/>
      <c r="BF1115" s="55"/>
      <c r="BG1115" s="55"/>
      <c r="BH1115" s="55"/>
      <c r="BI1115" s="55"/>
      <c r="BJ1115" s="55"/>
      <c r="BK1115" s="55"/>
      <c r="BL1115" s="55"/>
      <c r="BM1115" s="55"/>
      <c r="BN1115" s="55"/>
      <c r="BO1115" s="55"/>
      <c r="BP1115" s="55"/>
      <c r="BQ1115" s="55"/>
      <c r="BR1115" s="55"/>
      <c r="BS1115" s="55"/>
      <c r="BT1115" s="55"/>
      <c r="BU1115" s="55"/>
      <c r="BV1115" s="55"/>
      <c r="BW1115" s="55"/>
      <c r="BX1115" s="55"/>
      <c r="BY1115" s="55"/>
      <c r="BZ1115" s="55"/>
      <c r="CI1115" s="55"/>
      <c r="CJ1115" s="55"/>
      <c r="CK1115" s="55"/>
      <c r="CL1115" s="55"/>
      <c r="CM1115" s="55"/>
      <c r="CN1115" s="55"/>
      <c r="CO1115" s="55"/>
      <c r="CP1115" s="55"/>
      <c r="CQ1115" s="55"/>
      <c r="DJ1115" s="55"/>
      <c r="DK1115" s="55"/>
      <c r="DL1115" s="55"/>
      <c r="DM1115" s="55"/>
      <c r="DN1115" s="55"/>
      <c r="DO1115" s="55"/>
      <c r="DP1115" s="55"/>
      <c r="DQ1115" s="55"/>
      <c r="DR1115" s="55"/>
      <c r="DS1115" s="55"/>
      <c r="DT1115" s="55"/>
      <c r="DU1115" s="55"/>
      <c r="DV1115" s="55"/>
    </row>
    <row r="1116" spans="51:126" ht="12.75" x14ac:dyDescent="0.2">
      <c r="AY1116" s="55"/>
      <c r="AZ1116" s="55"/>
      <c r="BA1116" s="55"/>
      <c r="BB1116" s="55"/>
      <c r="BC1116" s="55"/>
      <c r="BD1116" s="55"/>
      <c r="BE1116" s="55"/>
      <c r="BF1116" s="55"/>
      <c r="BG1116" s="55"/>
      <c r="BH1116" s="55"/>
      <c r="BI1116" s="55"/>
      <c r="BJ1116" s="55"/>
      <c r="BK1116" s="55"/>
      <c r="BL1116" s="55"/>
      <c r="BM1116" s="55"/>
      <c r="BN1116" s="55"/>
      <c r="BO1116" s="55"/>
      <c r="BP1116" s="55"/>
      <c r="BQ1116" s="55"/>
      <c r="BR1116" s="55"/>
      <c r="BS1116" s="55"/>
      <c r="BT1116" s="55"/>
      <c r="BU1116" s="55"/>
      <c r="BV1116" s="55"/>
      <c r="BW1116" s="55"/>
      <c r="BX1116" s="55"/>
      <c r="BY1116" s="55"/>
      <c r="BZ1116" s="55"/>
      <c r="CI1116" s="55"/>
      <c r="CJ1116" s="55"/>
      <c r="CK1116" s="55"/>
      <c r="CL1116" s="55"/>
      <c r="CM1116" s="55"/>
      <c r="CN1116" s="55"/>
      <c r="CO1116" s="55"/>
      <c r="CP1116" s="55"/>
      <c r="CQ1116" s="55"/>
      <c r="DJ1116" s="55"/>
      <c r="DK1116" s="55"/>
      <c r="DL1116" s="55"/>
      <c r="DM1116" s="55"/>
      <c r="DN1116" s="55"/>
      <c r="DO1116" s="55"/>
      <c r="DP1116" s="55"/>
      <c r="DQ1116" s="55"/>
      <c r="DR1116" s="55"/>
      <c r="DS1116" s="55"/>
      <c r="DT1116" s="55"/>
      <c r="DU1116" s="55"/>
      <c r="DV1116" s="55"/>
    </row>
    <row r="1117" spans="51:126" ht="12.75" x14ac:dyDescent="0.2">
      <c r="AY1117" s="55"/>
      <c r="AZ1117" s="55"/>
      <c r="BA1117" s="55"/>
      <c r="BB1117" s="55"/>
      <c r="BC1117" s="55"/>
      <c r="BD1117" s="55"/>
      <c r="BE1117" s="55"/>
      <c r="BF1117" s="55"/>
      <c r="BG1117" s="55"/>
      <c r="BH1117" s="55"/>
      <c r="BI1117" s="55"/>
      <c r="BJ1117" s="55"/>
      <c r="BK1117" s="55"/>
      <c r="BL1117" s="55"/>
      <c r="BM1117" s="55"/>
      <c r="BN1117" s="55"/>
      <c r="BO1117" s="55"/>
      <c r="BP1117" s="55"/>
      <c r="BQ1117" s="55"/>
      <c r="BR1117" s="55"/>
      <c r="BS1117" s="55"/>
      <c r="BT1117" s="55"/>
      <c r="BU1117" s="55"/>
      <c r="BV1117" s="55"/>
      <c r="BW1117" s="55"/>
      <c r="BX1117" s="55"/>
      <c r="BY1117" s="55"/>
      <c r="BZ1117" s="55"/>
      <c r="CI1117" s="55"/>
      <c r="CJ1117" s="55"/>
      <c r="CK1117" s="55"/>
      <c r="CL1117" s="55"/>
      <c r="CM1117" s="55"/>
      <c r="CN1117" s="55"/>
      <c r="CO1117" s="55"/>
      <c r="CP1117" s="55"/>
      <c r="CQ1117" s="55"/>
      <c r="DJ1117" s="55"/>
      <c r="DK1117" s="55"/>
      <c r="DL1117" s="55"/>
      <c r="DM1117" s="55"/>
      <c r="DN1117" s="55"/>
      <c r="DO1117" s="55"/>
      <c r="DP1117" s="55"/>
      <c r="DQ1117" s="55"/>
      <c r="DR1117" s="55"/>
      <c r="DS1117" s="55"/>
      <c r="DT1117" s="55"/>
      <c r="DU1117" s="55"/>
      <c r="DV1117" s="55"/>
    </row>
    <row r="1118" spans="51:126" ht="12.75" x14ac:dyDescent="0.2">
      <c r="AY1118" s="55"/>
      <c r="AZ1118" s="55"/>
      <c r="BA1118" s="55"/>
      <c r="BB1118" s="55"/>
      <c r="BC1118" s="55"/>
      <c r="BD1118" s="55"/>
      <c r="BE1118" s="55"/>
      <c r="BF1118" s="55"/>
      <c r="BG1118" s="55"/>
      <c r="BH1118" s="55"/>
      <c r="BI1118" s="55"/>
      <c r="BJ1118" s="55"/>
      <c r="BK1118" s="55"/>
      <c r="BL1118" s="55"/>
      <c r="BM1118" s="55"/>
      <c r="BN1118" s="55"/>
      <c r="BO1118" s="55"/>
      <c r="BP1118" s="55"/>
      <c r="BQ1118" s="55"/>
      <c r="BR1118" s="55"/>
      <c r="BS1118" s="55"/>
      <c r="BT1118" s="55"/>
      <c r="BU1118" s="55"/>
      <c r="BV1118" s="55"/>
      <c r="BW1118" s="55"/>
      <c r="BX1118" s="55"/>
      <c r="BY1118" s="55"/>
      <c r="BZ1118" s="55"/>
      <c r="CI1118" s="55"/>
      <c r="CJ1118" s="55"/>
      <c r="CK1118" s="55"/>
      <c r="CL1118" s="55"/>
      <c r="CM1118" s="55"/>
      <c r="CN1118" s="55"/>
      <c r="CO1118" s="55"/>
      <c r="CP1118" s="55"/>
      <c r="CQ1118" s="55"/>
      <c r="DJ1118" s="55"/>
      <c r="DK1118" s="55"/>
      <c r="DL1118" s="55"/>
      <c r="DM1118" s="55"/>
      <c r="DN1118" s="55"/>
      <c r="DO1118" s="55"/>
      <c r="DP1118" s="55"/>
      <c r="DQ1118" s="55"/>
      <c r="DR1118" s="55"/>
      <c r="DS1118" s="55"/>
      <c r="DT1118" s="55"/>
      <c r="DU1118" s="55"/>
      <c r="DV1118" s="55"/>
    </row>
    <row r="1119" spans="51:126" ht="12.75" x14ac:dyDescent="0.2">
      <c r="AY1119" s="55"/>
      <c r="AZ1119" s="55"/>
      <c r="BA1119" s="55"/>
      <c r="BB1119" s="55"/>
      <c r="BC1119" s="55"/>
      <c r="BD1119" s="55"/>
      <c r="BE1119" s="55"/>
      <c r="BF1119" s="55"/>
      <c r="BG1119" s="55"/>
      <c r="BH1119" s="55"/>
      <c r="BI1119" s="55"/>
      <c r="BJ1119" s="55"/>
      <c r="BK1119" s="55"/>
      <c r="BL1119" s="55"/>
      <c r="BM1119" s="55"/>
      <c r="BN1119" s="55"/>
      <c r="BO1119" s="55"/>
      <c r="BP1119" s="55"/>
      <c r="BQ1119" s="55"/>
      <c r="BR1119" s="55"/>
      <c r="BS1119" s="55"/>
      <c r="BT1119" s="55"/>
      <c r="BU1119" s="55"/>
      <c r="BV1119" s="55"/>
      <c r="BW1119" s="55"/>
      <c r="BX1119" s="55"/>
      <c r="BY1119" s="55"/>
      <c r="BZ1119" s="55"/>
      <c r="CI1119" s="55"/>
      <c r="CJ1119" s="55"/>
      <c r="CK1119" s="55"/>
      <c r="CL1119" s="55"/>
      <c r="CM1119" s="55"/>
      <c r="CN1119" s="55"/>
      <c r="CO1119" s="55"/>
      <c r="CP1119" s="55"/>
      <c r="CQ1119" s="55"/>
      <c r="DJ1119" s="55"/>
      <c r="DK1119" s="55"/>
      <c r="DL1119" s="55"/>
      <c r="DM1119" s="55"/>
      <c r="DN1119" s="55"/>
      <c r="DO1119" s="55"/>
      <c r="DP1119" s="55"/>
      <c r="DQ1119" s="55"/>
      <c r="DR1119" s="55"/>
      <c r="DS1119" s="55"/>
      <c r="DT1119" s="55"/>
      <c r="DU1119" s="55"/>
      <c r="DV1119" s="55"/>
    </row>
    <row r="1120" spans="51:126" ht="12.75" x14ac:dyDescent="0.2">
      <c r="AY1120" s="55"/>
      <c r="AZ1120" s="55"/>
      <c r="BA1120" s="55"/>
      <c r="BB1120" s="55"/>
      <c r="BC1120" s="55"/>
      <c r="BD1120" s="55"/>
      <c r="BE1120" s="55"/>
      <c r="BF1120" s="55"/>
      <c r="BG1120" s="55"/>
      <c r="BH1120" s="55"/>
      <c r="BI1120" s="55"/>
      <c r="BJ1120" s="55"/>
      <c r="BK1120" s="55"/>
      <c r="BL1120" s="55"/>
      <c r="BM1120" s="55"/>
      <c r="BN1120" s="55"/>
      <c r="BO1120" s="55"/>
      <c r="BP1120" s="55"/>
      <c r="BQ1120" s="55"/>
      <c r="BR1120" s="55"/>
      <c r="BS1120" s="55"/>
      <c r="BT1120" s="55"/>
      <c r="BU1120" s="55"/>
      <c r="BV1120" s="55"/>
      <c r="BW1120" s="55"/>
      <c r="BX1120" s="55"/>
      <c r="BY1120" s="55"/>
      <c r="BZ1120" s="55"/>
      <c r="CI1120" s="55"/>
      <c r="CJ1120" s="55"/>
      <c r="CK1120" s="55"/>
      <c r="CL1120" s="55"/>
      <c r="CM1120" s="55"/>
      <c r="CN1120" s="55"/>
      <c r="CO1120" s="55"/>
      <c r="CP1120" s="55"/>
      <c r="CQ1120" s="55"/>
      <c r="DJ1120" s="55"/>
      <c r="DK1120" s="55"/>
      <c r="DL1120" s="55"/>
      <c r="DM1120" s="55"/>
      <c r="DN1120" s="55"/>
      <c r="DO1120" s="55"/>
      <c r="DP1120" s="55"/>
      <c r="DQ1120" s="55"/>
      <c r="DR1120" s="55"/>
      <c r="DS1120" s="55"/>
      <c r="DT1120" s="55"/>
      <c r="DU1120" s="55"/>
      <c r="DV1120" s="55"/>
    </row>
    <row r="1121" spans="51:126" ht="12.75" x14ac:dyDescent="0.2">
      <c r="AY1121" s="55"/>
      <c r="AZ1121" s="55"/>
      <c r="BA1121" s="55"/>
      <c r="BB1121" s="55"/>
      <c r="BC1121" s="55"/>
      <c r="BD1121" s="55"/>
      <c r="BE1121" s="55"/>
      <c r="BF1121" s="55"/>
      <c r="BG1121" s="55"/>
      <c r="BH1121" s="55"/>
      <c r="BI1121" s="55"/>
      <c r="BJ1121" s="55"/>
      <c r="BK1121" s="55"/>
      <c r="BL1121" s="55"/>
      <c r="BM1121" s="55"/>
      <c r="BN1121" s="55"/>
      <c r="BO1121" s="55"/>
      <c r="BP1121" s="55"/>
      <c r="BQ1121" s="55"/>
      <c r="BR1121" s="55"/>
      <c r="BS1121" s="55"/>
      <c r="BT1121" s="55"/>
      <c r="BU1121" s="55"/>
      <c r="BV1121" s="55"/>
      <c r="BW1121" s="55"/>
      <c r="BX1121" s="55"/>
      <c r="BY1121" s="55"/>
      <c r="BZ1121" s="55"/>
      <c r="CI1121" s="55"/>
      <c r="CJ1121" s="55"/>
      <c r="CK1121" s="55"/>
      <c r="CL1121" s="55"/>
      <c r="CM1121" s="55"/>
      <c r="CN1121" s="55"/>
      <c r="CO1121" s="55"/>
      <c r="CP1121" s="55"/>
      <c r="CQ1121" s="55"/>
      <c r="DJ1121" s="55"/>
      <c r="DK1121" s="55"/>
      <c r="DL1121" s="55"/>
      <c r="DM1121" s="55"/>
      <c r="DN1121" s="55"/>
      <c r="DO1121" s="55"/>
      <c r="DP1121" s="55"/>
      <c r="DQ1121" s="55"/>
      <c r="DR1121" s="55"/>
      <c r="DS1121" s="55"/>
      <c r="DT1121" s="55"/>
      <c r="DU1121" s="55"/>
      <c r="DV1121" s="55"/>
    </row>
    <row r="1122" spans="51:126" ht="12.75" x14ac:dyDescent="0.2">
      <c r="AY1122" s="55"/>
      <c r="AZ1122" s="55"/>
      <c r="BA1122" s="55"/>
      <c r="BB1122" s="55"/>
      <c r="BC1122" s="55"/>
      <c r="BD1122" s="55"/>
      <c r="BE1122" s="55"/>
      <c r="BF1122" s="55"/>
      <c r="BG1122" s="55"/>
      <c r="BH1122" s="55"/>
      <c r="BI1122" s="55"/>
      <c r="BJ1122" s="55"/>
      <c r="BK1122" s="55"/>
      <c r="BL1122" s="55"/>
      <c r="BM1122" s="55"/>
      <c r="BN1122" s="55"/>
      <c r="BO1122" s="55"/>
      <c r="BP1122" s="55"/>
      <c r="BQ1122" s="55"/>
      <c r="BR1122" s="55"/>
      <c r="BS1122" s="55"/>
      <c r="BT1122" s="55"/>
      <c r="BU1122" s="55"/>
      <c r="BV1122" s="55"/>
      <c r="BW1122" s="55"/>
      <c r="BX1122" s="55"/>
      <c r="BY1122" s="55"/>
      <c r="BZ1122" s="55"/>
      <c r="CI1122" s="55"/>
      <c r="CJ1122" s="55"/>
      <c r="CK1122" s="55"/>
      <c r="CL1122" s="55"/>
      <c r="CM1122" s="55"/>
      <c r="CN1122" s="55"/>
      <c r="CO1122" s="55"/>
      <c r="CP1122" s="55"/>
      <c r="CQ1122" s="55"/>
      <c r="DJ1122" s="55"/>
      <c r="DK1122" s="55"/>
      <c r="DL1122" s="55"/>
      <c r="DM1122" s="55"/>
      <c r="DN1122" s="55"/>
      <c r="DO1122" s="55"/>
      <c r="DP1122" s="55"/>
      <c r="DQ1122" s="55"/>
      <c r="DR1122" s="55"/>
      <c r="DS1122" s="55"/>
      <c r="DT1122" s="55"/>
      <c r="DU1122" s="55"/>
      <c r="DV1122" s="55"/>
    </row>
    <row r="1123" spans="51:126" ht="12.75" x14ac:dyDescent="0.2">
      <c r="AY1123" s="55"/>
      <c r="AZ1123" s="55"/>
      <c r="BA1123" s="55"/>
      <c r="BB1123" s="55"/>
      <c r="BC1123" s="55"/>
      <c r="BD1123" s="55"/>
      <c r="BE1123" s="55"/>
      <c r="BF1123" s="55"/>
      <c r="BG1123" s="55"/>
      <c r="BH1123" s="55"/>
      <c r="BI1123" s="55"/>
      <c r="BJ1123" s="55"/>
      <c r="BK1123" s="55"/>
      <c r="BL1123" s="55"/>
      <c r="BM1123" s="55"/>
      <c r="BN1123" s="55"/>
      <c r="BO1123" s="55"/>
      <c r="BP1123" s="55"/>
      <c r="BQ1123" s="55"/>
      <c r="BR1123" s="55"/>
      <c r="BS1123" s="55"/>
      <c r="BT1123" s="55"/>
      <c r="BU1123" s="55"/>
      <c r="BV1123" s="55"/>
      <c r="BW1123" s="55"/>
      <c r="BX1123" s="55"/>
      <c r="BY1123" s="55"/>
      <c r="BZ1123" s="55"/>
      <c r="CI1123" s="55"/>
      <c r="CJ1123" s="55"/>
      <c r="CK1123" s="55"/>
      <c r="CL1123" s="55"/>
      <c r="CM1123" s="55"/>
      <c r="CN1123" s="55"/>
      <c r="CO1123" s="55"/>
      <c r="CP1123" s="55"/>
      <c r="CQ1123" s="55"/>
      <c r="DJ1123" s="55"/>
      <c r="DK1123" s="55"/>
      <c r="DL1123" s="55"/>
      <c r="DM1123" s="55"/>
      <c r="DN1123" s="55"/>
      <c r="DO1123" s="55"/>
      <c r="DP1123" s="55"/>
      <c r="DQ1123" s="55"/>
      <c r="DR1123" s="55"/>
      <c r="DS1123" s="55"/>
      <c r="DT1123" s="55"/>
      <c r="DU1123" s="55"/>
      <c r="DV1123" s="55"/>
    </row>
    <row r="1124" spans="51:126" ht="12.75" x14ac:dyDescent="0.2">
      <c r="AY1124" s="55"/>
      <c r="AZ1124" s="55"/>
      <c r="BA1124" s="55"/>
      <c r="BB1124" s="55"/>
      <c r="BC1124" s="55"/>
      <c r="BD1124" s="55"/>
      <c r="BE1124" s="55"/>
      <c r="BF1124" s="55"/>
      <c r="BG1124" s="55"/>
      <c r="BH1124" s="55"/>
      <c r="BI1124" s="55"/>
      <c r="BJ1124" s="55"/>
      <c r="BK1124" s="55"/>
      <c r="BL1124" s="55"/>
      <c r="BM1124" s="55"/>
      <c r="BN1124" s="55"/>
      <c r="BO1124" s="55"/>
      <c r="BP1124" s="55"/>
      <c r="BQ1124" s="55"/>
      <c r="BR1124" s="55"/>
      <c r="BS1124" s="55"/>
      <c r="BT1124" s="55"/>
      <c r="BU1124" s="55"/>
      <c r="BV1124" s="55"/>
      <c r="BW1124" s="55"/>
      <c r="BX1124" s="55"/>
      <c r="BY1124" s="55"/>
      <c r="BZ1124" s="55"/>
      <c r="CI1124" s="55"/>
      <c r="CJ1124" s="55"/>
      <c r="CK1124" s="55"/>
      <c r="CL1124" s="55"/>
      <c r="CM1124" s="55"/>
      <c r="CN1124" s="55"/>
      <c r="CO1124" s="55"/>
      <c r="CP1124" s="55"/>
      <c r="CQ1124" s="55"/>
      <c r="DJ1124" s="55"/>
      <c r="DK1124" s="55"/>
      <c r="DL1124" s="55"/>
      <c r="DM1124" s="55"/>
      <c r="DN1124" s="55"/>
      <c r="DO1124" s="55"/>
      <c r="DP1124" s="55"/>
      <c r="DQ1124" s="55"/>
      <c r="DR1124" s="55"/>
      <c r="DS1124" s="55"/>
      <c r="DT1124" s="55"/>
      <c r="DU1124" s="55"/>
      <c r="DV1124" s="55"/>
    </row>
    <row r="1125" spans="51:126" ht="12.75" x14ac:dyDescent="0.2">
      <c r="AY1125" s="55"/>
      <c r="AZ1125" s="55"/>
      <c r="BA1125" s="55"/>
      <c r="BB1125" s="55"/>
      <c r="BC1125" s="55"/>
      <c r="BD1125" s="55"/>
      <c r="BE1125" s="55"/>
      <c r="BF1125" s="55"/>
      <c r="BG1125" s="55"/>
      <c r="BH1125" s="55"/>
      <c r="BI1125" s="55"/>
      <c r="BJ1125" s="55"/>
      <c r="BK1125" s="55"/>
      <c r="BL1125" s="55"/>
      <c r="BM1125" s="55"/>
      <c r="BN1125" s="55"/>
      <c r="BO1125" s="55"/>
      <c r="BP1125" s="55"/>
      <c r="BQ1125" s="55"/>
      <c r="BR1125" s="55"/>
      <c r="BS1125" s="55"/>
      <c r="BT1125" s="55"/>
      <c r="BU1125" s="55"/>
      <c r="BV1125" s="55"/>
      <c r="BW1125" s="55"/>
      <c r="BX1125" s="55"/>
      <c r="BY1125" s="55"/>
      <c r="BZ1125" s="55"/>
      <c r="CI1125" s="55"/>
      <c r="CJ1125" s="55"/>
      <c r="CK1125" s="55"/>
      <c r="CL1125" s="55"/>
      <c r="CM1125" s="55"/>
      <c r="CN1125" s="55"/>
      <c r="CO1125" s="55"/>
      <c r="CP1125" s="55"/>
      <c r="CQ1125" s="55"/>
      <c r="DJ1125" s="55"/>
      <c r="DK1125" s="55"/>
      <c r="DL1125" s="55"/>
      <c r="DM1125" s="55"/>
      <c r="DN1125" s="55"/>
      <c r="DO1125" s="55"/>
      <c r="DP1125" s="55"/>
      <c r="DQ1125" s="55"/>
      <c r="DR1125" s="55"/>
      <c r="DS1125" s="55"/>
      <c r="DT1125" s="55"/>
      <c r="DU1125" s="55"/>
      <c r="DV1125" s="55"/>
    </row>
    <row r="1126" spans="51:126" ht="12.75" x14ac:dyDescent="0.2">
      <c r="AY1126" s="55"/>
      <c r="AZ1126" s="55"/>
      <c r="BA1126" s="55"/>
      <c r="BB1126" s="55"/>
      <c r="BC1126" s="55"/>
      <c r="BD1126" s="55"/>
      <c r="BE1126" s="55"/>
      <c r="BF1126" s="55"/>
      <c r="BG1126" s="55"/>
      <c r="BH1126" s="55"/>
      <c r="BI1126" s="55"/>
      <c r="BJ1126" s="55"/>
      <c r="BK1126" s="55"/>
      <c r="BL1126" s="55"/>
      <c r="BM1126" s="55"/>
      <c r="BN1126" s="55"/>
      <c r="BO1126" s="55"/>
      <c r="BP1126" s="55"/>
      <c r="BQ1126" s="55"/>
      <c r="BR1126" s="55"/>
      <c r="BS1126" s="55"/>
      <c r="BT1126" s="55"/>
      <c r="BU1126" s="55"/>
      <c r="BV1126" s="55"/>
      <c r="BW1126" s="55"/>
      <c r="BX1126" s="55"/>
      <c r="BY1126" s="55"/>
      <c r="BZ1126" s="55"/>
      <c r="CI1126" s="55"/>
      <c r="CJ1126" s="55"/>
      <c r="CK1126" s="55"/>
      <c r="CL1126" s="55"/>
      <c r="CM1126" s="55"/>
      <c r="CN1126" s="55"/>
      <c r="CO1126" s="55"/>
      <c r="CP1126" s="55"/>
      <c r="CQ1126" s="55"/>
      <c r="DJ1126" s="55"/>
      <c r="DK1126" s="55"/>
      <c r="DL1126" s="55"/>
      <c r="DM1126" s="55"/>
      <c r="DN1126" s="55"/>
      <c r="DO1126" s="55"/>
      <c r="DP1126" s="55"/>
      <c r="DQ1126" s="55"/>
      <c r="DR1126" s="55"/>
      <c r="DS1126" s="55"/>
      <c r="DT1126" s="55"/>
      <c r="DU1126" s="55"/>
      <c r="DV1126" s="55"/>
    </row>
    <row r="1127" spans="51:126" ht="12.75" x14ac:dyDescent="0.2">
      <c r="AY1127" s="55"/>
      <c r="AZ1127" s="55"/>
      <c r="BA1127" s="55"/>
      <c r="BB1127" s="55"/>
      <c r="BC1127" s="55"/>
      <c r="BD1127" s="55"/>
      <c r="BE1127" s="55"/>
      <c r="BF1127" s="55"/>
      <c r="BG1127" s="55"/>
      <c r="BH1127" s="55"/>
      <c r="BI1127" s="55"/>
      <c r="BJ1127" s="55"/>
      <c r="BK1127" s="55"/>
      <c r="BL1127" s="55"/>
      <c r="BM1127" s="55"/>
      <c r="BN1127" s="55"/>
      <c r="BO1127" s="55"/>
      <c r="BP1127" s="55"/>
      <c r="BQ1127" s="55"/>
      <c r="BR1127" s="55"/>
      <c r="BS1127" s="55"/>
      <c r="BT1127" s="55"/>
      <c r="BU1127" s="55"/>
      <c r="BV1127" s="55"/>
      <c r="BW1127" s="55"/>
      <c r="BX1127" s="55"/>
      <c r="BY1127" s="55"/>
      <c r="BZ1127" s="55"/>
      <c r="CI1127" s="55"/>
      <c r="CJ1127" s="55"/>
      <c r="CK1127" s="55"/>
      <c r="CL1127" s="55"/>
      <c r="CM1127" s="55"/>
      <c r="CN1127" s="55"/>
      <c r="CO1127" s="55"/>
      <c r="CP1127" s="55"/>
      <c r="CQ1127" s="55"/>
      <c r="DJ1127" s="55"/>
      <c r="DK1127" s="55"/>
      <c r="DL1127" s="55"/>
      <c r="DM1127" s="55"/>
      <c r="DN1127" s="55"/>
      <c r="DO1127" s="55"/>
      <c r="DP1127" s="55"/>
      <c r="DQ1127" s="55"/>
      <c r="DR1127" s="55"/>
      <c r="DS1127" s="55"/>
      <c r="DT1127" s="55"/>
      <c r="DU1127" s="55"/>
      <c r="DV1127" s="55"/>
    </row>
    <row r="1128" spans="51:126" ht="12.75" x14ac:dyDescent="0.2">
      <c r="AY1128" s="55"/>
      <c r="AZ1128" s="55"/>
      <c r="BA1128" s="55"/>
      <c r="BB1128" s="55"/>
      <c r="BC1128" s="55"/>
      <c r="BD1128" s="55"/>
      <c r="BE1128" s="55"/>
      <c r="BF1128" s="55"/>
      <c r="BG1128" s="55"/>
      <c r="BH1128" s="55"/>
      <c r="BI1128" s="55"/>
      <c r="BJ1128" s="55"/>
      <c r="BK1128" s="55"/>
      <c r="BL1128" s="55"/>
      <c r="BM1128" s="55"/>
      <c r="BN1128" s="55"/>
      <c r="BO1128" s="55"/>
      <c r="BP1128" s="55"/>
      <c r="BQ1128" s="55"/>
      <c r="BR1128" s="55"/>
      <c r="BS1128" s="55"/>
      <c r="BT1128" s="55"/>
      <c r="BU1128" s="55"/>
      <c r="BV1128" s="55"/>
      <c r="BW1128" s="55"/>
      <c r="BX1128" s="55"/>
      <c r="BY1128" s="55"/>
      <c r="BZ1128" s="55"/>
      <c r="CI1128" s="55"/>
      <c r="CJ1128" s="55"/>
      <c r="CK1128" s="55"/>
      <c r="CL1128" s="55"/>
      <c r="CM1128" s="55"/>
      <c r="CN1128" s="55"/>
      <c r="CO1128" s="55"/>
      <c r="CP1128" s="55"/>
      <c r="CQ1128" s="55"/>
      <c r="DJ1128" s="55"/>
      <c r="DK1128" s="55"/>
      <c r="DL1128" s="55"/>
      <c r="DM1128" s="55"/>
      <c r="DN1128" s="55"/>
      <c r="DO1128" s="55"/>
      <c r="DP1128" s="55"/>
      <c r="DQ1128" s="55"/>
      <c r="DR1128" s="55"/>
      <c r="DS1128" s="55"/>
      <c r="DT1128" s="55"/>
      <c r="DU1128" s="55"/>
      <c r="DV1128" s="55"/>
    </row>
    <row r="1129" spans="51:126" ht="12.75" x14ac:dyDescent="0.2">
      <c r="AY1129" s="55"/>
      <c r="AZ1129" s="55"/>
      <c r="BA1129" s="55"/>
      <c r="BB1129" s="55"/>
      <c r="BC1129" s="55"/>
      <c r="BD1129" s="55"/>
      <c r="BE1129" s="55"/>
      <c r="BF1129" s="55"/>
      <c r="BG1129" s="55"/>
      <c r="BH1129" s="55"/>
      <c r="BI1129" s="55"/>
      <c r="BJ1129" s="55"/>
      <c r="BK1129" s="55"/>
      <c r="BL1129" s="55"/>
      <c r="BM1129" s="55"/>
      <c r="BN1129" s="55"/>
      <c r="BO1129" s="55"/>
      <c r="BP1129" s="55"/>
      <c r="BQ1129" s="55"/>
      <c r="BR1129" s="55"/>
      <c r="BS1129" s="55"/>
      <c r="BT1129" s="55"/>
      <c r="BU1129" s="55"/>
      <c r="BV1129" s="55"/>
      <c r="BW1129" s="55"/>
      <c r="BX1129" s="55"/>
      <c r="BY1129" s="55"/>
      <c r="BZ1129" s="55"/>
      <c r="CI1129" s="55"/>
      <c r="CJ1129" s="55"/>
      <c r="CK1129" s="55"/>
      <c r="CL1129" s="55"/>
      <c r="CM1129" s="55"/>
      <c r="CN1129" s="55"/>
      <c r="CO1129" s="55"/>
      <c r="CP1129" s="55"/>
      <c r="CQ1129" s="55"/>
      <c r="DJ1129" s="55"/>
      <c r="DK1129" s="55"/>
      <c r="DL1129" s="55"/>
      <c r="DM1129" s="55"/>
      <c r="DN1129" s="55"/>
      <c r="DO1129" s="55"/>
      <c r="DP1129" s="55"/>
      <c r="DQ1129" s="55"/>
      <c r="DR1129" s="55"/>
      <c r="DS1129" s="55"/>
      <c r="DT1129" s="55"/>
      <c r="DU1129" s="55"/>
      <c r="DV1129" s="55"/>
    </row>
    <row r="1130" spans="51:126" ht="12.75" x14ac:dyDescent="0.2">
      <c r="AY1130" s="55"/>
      <c r="AZ1130" s="55"/>
      <c r="BA1130" s="55"/>
      <c r="BB1130" s="55"/>
      <c r="BC1130" s="55"/>
      <c r="BD1130" s="55"/>
      <c r="BE1130" s="55"/>
      <c r="BF1130" s="55"/>
      <c r="BG1130" s="55"/>
      <c r="BH1130" s="55"/>
      <c r="BI1130" s="55"/>
      <c r="BJ1130" s="55"/>
      <c r="BK1130" s="55"/>
      <c r="BL1130" s="55"/>
      <c r="BM1130" s="55"/>
      <c r="BN1130" s="55"/>
      <c r="BO1130" s="55"/>
      <c r="BP1130" s="55"/>
      <c r="BQ1130" s="55"/>
      <c r="BR1130" s="55"/>
      <c r="BS1130" s="55"/>
      <c r="BT1130" s="55"/>
      <c r="BU1130" s="55"/>
      <c r="BV1130" s="55"/>
      <c r="BW1130" s="55"/>
      <c r="BX1130" s="55"/>
      <c r="BY1130" s="55"/>
      <c r="BZ1130" s="55"/>
      <c r="CI1130" s="55"/>
      <c r="CJ1130" s="55"/>
      <c r="CK1130" s="55"/>
      <c r="CL1130" s="55"/>
      <c r="CM1130" s="55"/>
      <c r="CN1130" s="55"/>
      <c r="CO1130" s="55"/>
      <c r="CP1130" s="55"/>
      <c r="CQ1130" s="55"/>
      <c r="DJ1130" s="55"/>
      <c r="DK1130" s="55"/>
      <c r="DL1130" s="55"/>
      <c r="DM1130" s="55"/>
      <c r="DN1130" s="55"/>
      <c r="DO1130" s="55"/>
      <c r="DP1130" s="55"/>
      <c r="DQ1130" s="55"/>
      <c r="DR1130" s="55"/>
      <c r="DS1130" s="55"/>
      <c r="DT1130" s="55"/>
      <c r="DU1130" s="55"/>
      <c r="DV1130" s="55"/>
    </row>
    <row r="1131" spans="51:126" ht="12.75" x14ac:dyDescent="0.2">
      <c r="AY1131" s="55"/>
      <c r="AZ1131" s="55"/>
      <c r="BA1131" s="55"/>
      <c r="BB1131" s="55"/>
      <c r="BC1131" s="55"/>
      <c r="BD1131" s="55"/>
      <c r="BE1131" s="55"/>
      <c r="BF1131" s="55"/>
      <c r="BG1131" s="55"/>
      <c r="BH1131" s="55"/>
      <c r="BI1131" s="55"/>
      <c r="BJ1131" s="55"/>
      <c r="BK1131" s="55"/>
      <c r="BL1131" s="55"/>
      <c r="BM1131" s="55"/>
      <c r="BN1131" s="55"/>
      <c r="BO1131" s="55"/>
      <c r="BP1131" s="55"/>
      <c r="BQ1131" s="55"/>
      <c r="BR1131" s="55"/>
      <c r="BS1131" s="55"/>
      <c r="BT1131" s="55"/>
      <c r="BU1131" s="55"/>
      <c r="BV1131" s="55"/>
      <c r="BW1131" s="55"/>
      <c r="BX1131" s="55"/>
      <c r="BY1131" s="55"/>
      <c r="BZ1131" s="55"/>
      <c r="CI1131" s="55"/>
      <c r="CJ1131" s="55"/>
      <c r="CK1131" s="55"/>
      <c r="CL1131" s="55"/>
      <c r="CM1131" s="55"/>
      <c r="CN1131" s="55"/>
      <c r="CO1131" s="55"/>
      <c r="CP1131" s="55"/>
      <c r="CQ1131" s="55"/>
      <c r="DJ1131" s="55"/>
      <c r="DK1131" s="55"/>
      <c r="DL1131" s="55"/>
      <c r="DM1131" s="55"/>
      <c r="DN1131" s="55"/>
      <c r="DO1131" s="55"/>
      <c r="DP1131" s="55"/>
      <c r="DQ1131" s="55"/>
      <c r="DR1131" s="55"/>
      <c r="DS1131" s="55"/>
      <c r="DT1131" s="55"/>
      <c r="DU1131" s="55"/>
      <c r="DV1131" s="55"/>
    </row>
    <row r="1132" spans="51:126" ht="12.75" x14ac:dyDescent="0.2">
      <c r="AY1132" s="55"/>
      <c r="AZ1132" s="55"/>
      <c r="BA1132" s="55"/>
      <c r="BB1132" s="55"/>
      <c r="BC1132" s="55"/>
      <c r="BD1132" s="55"/>
      <c r="BE1132" s="55"/>
      <c r="BF1132" s="55"/>
      <c r="BG1132" s="55"/>
      <c r="BH1132" s="55"/>
      <c r="BI1132" s="55"/>
      <c r="BJ1132" s="55"/>
      <c r="BK1132" s="55"/>
      <c r="BL1132" s="55"/>
      <c r="BM1132" s="55"/>
      <c r="BN1132" s="55"/>
      <c r="BO1132" s="55"/>
      <c r="BP1132" s="55"/>
      <c r="BQ1132" s="55"/>
      <c r="BR1132" s="55"/>
      <c r="BS1132" s="55"/>
      <c r="BT1132" s="55"/>
      <c r="BU1132" s="55"/>
      <c r="BV1132" s="55"/>
      <c r="BW1132" s="55"/>
      <c r="BX1132" s="55"/>
      <c r="BY1132" s="55"/>
      <c r="BZ1132" s="55"/>
      <c r="CI1132" s="55"/>
      <c r="CJ1132" s="55"/>
      <c r="CK1132" s="55"/>
      <c r="CL1132" s="55"/>
      <c r="CM1132" s="55"/>
      <c r="CN1132" s="55"/>
      <c r="CO1132" s="55"/>
      <c r="CP1132" s="55"/>
      <c r="CQ1132" s="55"/>
      <c r="DJ1132" s="55"/>
      <c r="DK1132" s="55"/>
      <c r="DL1132" s="55"/>
      <c r="DM1132" s="55"/>
      <c r="DN1132" s="55"/>
      <c r="DO1132" s="55"/>
      <c r="DP1132" s="55"/>
      <c r="DQ1132" s="55"/>
      <c r="DR1132" s="55"/>
      <c r="DS1132" s="55"/>
      <c r="DT1132" s="55"/>
      <c r="DU1132" s="55"/>
      <c r="DV1132" s="55"/>
    </row>
  </sheetData>
  <sheetProtection formatCells="0" selectLockedCells="1"/>
  <dataConsolidate/>
  <mergeCells count="3864">
    <mergeCell ref="DB281:DF281"/>
    <mergeCell ref="DB231:DF231"/>
    <mergeCell ref="DB232:DF232"/>
    <mergeCell ref="DB233:DF233"/>
    <mergeCell ref="DB234:DF234"/>
    <mergeCell ref="DB235:DF235"/>
    <mergeCell ref="DB236:DF236"/>
    <mergeCell ref="DB237:DF237"/>
    <mergeCell ref="DB238:DF238"/>
    <mergeCell ref="DB239:DF239"/>
    <mergeCell ref="DB240:DF240"/>
    <mergeCell ref="DB241:DF241"/>
    <mergeCell ref="DB242:DF242"/>
    <mergeCell ref="DB243:DF243"/>
    <mergeCell ref="DB244:DF244"/>
    <mergeCell ref="DB245:DF245"/>
    <mergeCell ref="DB263:DF263"/>
    <mergeCell ref="DB264:DF264"/>
    <mergeCell ref="DL211:EE211"/>
    <mergeCell ref="DB266:DF266"/>
    <mergeCell ref="DB267:DF267"/>
    <mergeCell ref="DB268:DF268"/>
    <mergeCell ref="DB269:DF269"/>
    <mergeCell ref="DB270:DF270"/>
    <mergeCell ref="DB271:DF271"/>
    <mergeCell ref="DB272:DF272"/>
    <mergeCell ref="DB273:DF273"/>
    <mergeCell ref="DB274:DF274"/>
    <mergeCell ref="DB275:DF275"/>
    <mergeCell ref="DB276:DF276"/>
    <mergeCell ref="DB277:DF277"/>
    <mergeCell ref="DB278:DF278"/>
    <mergeCell ref="DB279:DF279"/>
    <mergeCell ref="DB246:DF246"/>
    <mergeCell ref="DB247:DF247"/>
    <mergeCell ref="CW266:DA266"/>
    <mergeCell ref="CW267:DA267"/>
    <mergeCell ref="CW268:DA268"/>
    <mergeCell ref="CW269:DA269"/>
    <mergeCell ref="CW270:DA270"/>
    <mergeCell ref="CW271:DA271"/>
    <mergeCell ref="CW272:DA272"/>
    <mergeCell ref="CW273:DA273"/>
    <mergeCell ref="CW274:DA274"/>
    <mergeCell ref="CW275:DA275"/>
    <mergeCell ref="CW276:DA276"/>
    <mergeCell ref="CW277:DA277"/>
    <mergeCell ref="CW278:DA278"/>
    <mergeCell ref="CW279:DA279"/>
    <mergeCell ref="CW280:DA280"/>
    <mergeCell ref="DB248:DF248"/>
    <mergeCell ref="DB249:DF249"/>
    <mergeCell ref="DB250:DF250"/>
    <mergeCell ref="DB251:DF251"/>
    <mergeCell ref="DB252:DF252"/>
    <mergeCell ref="DB253:DF253"/>
    <mergeCell ref="DB254:DF254"/>
    <mergeCell ref="DB255:DF255"/>
    <mergeCell ref="DB256:DF256"/>
    <mergeCell ref="DB257:DF257"/>
    <mergeCell ref="DB258:DF258"/>
    <mergeCell ref="DB259:DF259"/>
    <mergeCell ref="DB260:DF260"/>
    <mergeCell ref="DB261:DF261"/>
    <mergeCell ref="DB262:DF262"/>
    <mergeCell ref="CW281:DA281"/>
    <mergeCell ref="CW282:DA282"/>
    <mergeCell ref="CW248:DA248"/>
    <mergeCell ref="CW249:DA249"/>
    <mergeCell ref="CW250:DA250"/>
    <mergeCell ref="CW251:DA251"/>
    <mergeCell ref="CW252:DA252"/>
    <mergeCell ref="CW253:DA253"/>
    <mergeCell ref="CW254:DA254"/>
    <mergeCell ref="CW255:DA255"/>
    <mergeCell ref="CW256:DA256"/>
    <mergeCell ref="CW257:DA257"/>
    <mergeCell ref="CW258:DA258"/>
    <mergeCell ref="CW259:DA259"/>
    <mergeCell ref="CW260:DA260"/>
    <mergeCell ref="CW261:DA261"/>
    <mergeCell ref="CW262:DA262"/>
    <mergeCell ref="CW263:DA263"/>
    <mergeCell ref="CW264:DA264"/>
    <mergeCell ref="CW231:DA231"/>
    <mergeCell ref="CW232:DA232"/>
    <mergeCell ref="CW233:DA233"/>
    <mergeCell ref="CW234:DA234"/>
    <mergeCell ref="CW235:DA235"/>
    <mergeCell ref="CW236:DA236"/>
    <mergeCell ref="CW237:DA237"/>
    <mergeCell ref="CW238:DA238"/>
    <mergeCell ref="CW239:DA239"/>
    <mergeCell ref="CW240:DA240"/>
    <mergeCell ref="CW241:DA241"/>
    <mergeCell ref="CW242:DA242"/>
    <mergeCell ref="CW243:DA243"/>
    <mergeCell ref="CW244:DA244"/>
    <mergeCell ref="CW245:DA245"/>
    <mergeCell ref="CW246:DA246"/>
    <mergeCell ref="CW247:DA247"/>
    <mergeCell ref="CB267:CC267"/>
    <mergeCell ref="CD267:CG267"/>
    <mergeCell ref="CH267:CL267"/>
    <mergeCell ref="CH265:CL265"/>
    <mergeCell ref="CB262:CC262"/>
    <mergeCell ref="CD262:CG262"/>
    <mergeCell ref="CH262:CL262"/>
    <mergeCell ref="X262:AA262"/>
    <mergeCell ref="AL262:AO262"/>
    <mergeCell ref="AP262:AS262"/>
    <mergeCell ref="AT262:AW262"/>
    <mergeCell ref="C531:O531"/>
    <mergeCell ref="P531:AI531"/>
    <mergeCell ref="Q593:U593"/>
    <mergeCell ref="Q594:U594"/>
    <mergeCell ref="CW212:DA212"/>
    <mergeCell ref="CW213:DA213"/>
    <mergeCell ref="CW214:DA214"/>
    <mergeCell ref="CW215:DA215"/>
    <mergeCell ref="CW216:DA216"/>
    <mergeCell ref="CW217:DA217"/>
    <mergeCell ref="CW218:DA218"/>
    <mergeCell ref="CW219:DA219"/>
    <mergeCell ref="CW220:DA220"/>
    <mergeCell ref="CW221:DA221"/>
    <mergeCell ref="CW222:DA222"/>
    <mergeCell ref="CW223:DA223"/>
    <mergeCell ref="CW224:DA224"/>
    <mergeCell ref="CW225:DA225"/>
    <mergeCell ref="CW226:DA226"/>
    <mergeCell ref="CW227:DA227"/>
    <mergeCell ref="CB281:CC281"/>
    <mergeCell ref="CD281:CG281"/>
    <mergeCell ref="CM272:CQ272"/>
    <mergeCell ref="CD275:CG275"/>
    <mergeCell ref="AL276:AO276"/>
    <mergeCell ref="AP276:AS276"/>
    <mergeCell ref="AT276:AW276"/>
    <mergeCell ref="AX276:BA276"/>
    <mergeCell ref="BJ276:BK276"/>
    <mergeCell ref="BL276:BO276"/>
    <mergeCell ref="BP276:BQ276"/>
    <mergeCell ref="BR276:BU276"/>
    <mergeCell ref="BV276:BW276"/>
    <mergeCell ref="BX276:CA276"/>
    <mergeCell ref="O133:Y133"/>
    <mergeCell ref="Z133:AF133"/>
    <mergeCell ref="D133:N133"/>
    <mergeCell ref="AL270:AO270"/>
    <mergeCell ref="AP270:AS270"/>
    <mergeCell ref="AT270:AW270"/>
    <mergeCell ref="AX270:BA270"/>
    <mergeCell ref="BJ270:BK270"/>
    <mergeCell ref="BL270:BO270"/>
    <mergeCell ref="BP270:BQ270"/>
    <mergeCell ref="BR270:BU270"/>
    <mergeCell ref="BV270:BW270"/>
    <mergeCell ref="BX270:CA270"/>
    <mergeCell ref="CB268:CC268"/>
    <mergeCell ref="CB266:CC266"/>
    <mergeCell ref="CD266:CG266"/>
    <mergeCell ref="CH266:CL266"/>
    <mergeCell ref="BX267:CA267"/>
    <mergeCell ref="CH270:CL270"/>
    <mergeCell ref="CM270:CQ270"/>
    <mergeCell ref="AL268:AO268"/>
    <mergeCell ref="AP268:AS268"/>
    <mergeCell ref="AT268:AW268"/>
    <mergeCell ref="AX268:BA268"/>
    <mergeCell ref="BJ268:BK268"/>
    <mergeCell ref="BL268:BO268"/>
    <mergeCell ref="BP268:BQ268"/>
    <mergeCell ref="BR268:BU268"/>
    <mergeCell ref="BV268:BW268"/>
    <mergeCell ref="BX268:CA268"/>
    <mergeCell ref="CH273:CL273"/>
    <mergeCell ref="CM273:CQ273"/>
    <mergeCell ref="CB275:CC275"/>
    <mergeCell ref="CH275:CL275"/>
    <mergeCell ref="CM275:CQ275"/>
    <mergeCell ref="CR282:CV282"/>
    <mergeCell ref="CR270:CV270"/>
    <mergeCell ref="CR268:CV268"/>
    <mergeCell ref="AL273:AO273"/>
    <mergeCell ref="AP273:AS273"/>
    <mergeCell ref="AT273:AW273"/>
    <mergeCell ref="AX273:BA273"/>
    <mergeCell ref="BJ273:BK273"/>
    <mergeCell ref="BL273:BO273"/>
    <mergeCell ref="BP273:BQ273"/>
    <mergeCell ref="BR273:BU273"/>
    <mergeCell ref="BV273:BW273"/>
    <mergeCell ref="BX273:CA273"/>
    <mergeCell ref="CB273:CC273"/>
    <mergeCell ref="CD273:CG273"/>
    <mergeCell ref="BF273:BI273"/>
    <mergeCell ref="DG282:DK282"/>
    <mergeCell ref="D282:G282"/>
    <mergeCell ref="H282:K282"/>
    <mergeCell ref="L282:O282"/>
    <mergeCell ref="P282:S282"/>
    <mergeCell ref="AB282:AE282"/>
    <mergeCell ref="T282:W282"/>
    <mergeCell ref="X282:AA282"/>
    <mergeCell ref="AL282:AO282"/>
    <mergeCell ref="AP282:AS282"/>
    <mergeCell ref="AT282:AW282"/>
    <mergeCell ref="AX282:BA282"/>
    <mergeCell ref="BJ282:BK282"/>
    <mergeCell ref="BL282:BO282"/>
    <mergeCell ref="BP282:BQ282"/>
    <mergeCell ref="BR282:BU282"/>
    <mergeCell ref="BV282:BW282"/>
    <mergeCell ref="BX282:CA282"/>
    <mergeCell ref="CB282:CC282"/>
    <mergeCell ref="CD282:CG282"/>
    <mergeCell ref="CM282:CQ282"/>
    <mergeCell ref="CH282:CL282"/>
    <mergeCell ref="DB282:DF282"/>
    <mergeCell ref="DG270:DK270"/>
    <mergeCell ref="D271:G271"/>
    <mergeCell ref="H271:K271"/>
    <mergeCell ref="L271:O271"/>
    <mergeCell ref="P271:S271"/>
    <mergeCell ref="AB271:AE271"/>
    <mergeCell ref="T271:W271"/>
    <mergeCell ref="X271:AA271"/>
    <mergeCell ref="AL271:AO271"/>
    <mergeCell ref="AP271:AS271"/>
    <mergeCell ref="AT271:AW271"/>
    <mergeCell ref="AX271:BA271"/>
    <mergeCell ref="BJ271:BK271"/>
    <mergeCell ref="BL271:BO271"/>
    <mergeCell ref="BP271:BQ271"/>
    <mergeCell ref="BR271:BU271"/>
    <mergeCell ref="BV271:BW271"/>
    <mergeCell ref="BX271:CA271"/>
    <mergeCell ref="CB271:CC271"/>
    <mergeCell ref="CD271:CG271"/>
    <mergeCell ref="CH271:CL271"/>
    <mergeCell ref="CM271:CQ271"/>
    <mergeCell ref="CR271:CV271"/>
    <mergeCell ref="DG271:DK271"/>
    <mergeCell ref="D270:G270"/>
    <mergeCell ref="H270:K270"/>
    <mergeCell ref="L270:O270"/>
    <mergeCell ref="P270:S270"/>
    <mergeCell ref="AB270:AE270"/>
    <mergeCell ref="CB270:CC270"/>
    <mergeCell ref="CD270:CG270"/>
    <mergeCell ref="T270:W270"/>
    <mergeCell ref="DG268:DK268"/>
    <mergeCell ref="D269:G269"/>
    <mergeCell ref="H269:K269"/>
    <mergeCell ref="L269:O269"/>
    <mergeCell ref="P269:S269"/>
    <mergeCell ref="AB269:AE269"/>
    <mergeCell ref="T269:W269"/>
    <mergeCell ref="X269:AA269"/>
    <mergeCell ref="AL269:AO269"/>
    <mergeCell ref="AP269:AS269"/>
    <mergeCell ref="AT269:AW269"/>
    <mergeCell ref="AX269:BA269"/>
    <mergeCell ref="BJ269:BK269"/>
    <mergeCell ref="BL269:BO269"/>
    <mergeCell ref="BP269:BQ269"/>
    <mergeCell ref="BR269:BU269"/>
    <mergeCell ref="BV269:BW269"/>
    <mergeCell ref="BX269:CA269"/>
    <mergeCell ref="CB269:CC269"/>
    <mergeCell ref="CD269:CG269"/>
    <mergeCell ref="CH269:CL269"/>
    <mergeCell ref="CM269:CQ269"/>
    <mergeCell ref="CR269:CV269"/>
    <mergeCell ref="DG269:DK269"/>
    <mergeCell ref="D268:G268"/>
    <mergeCell ref="H268:K268"/>
    <mergeCell ref="L268:O268"/>
    <mergeCell ref="P268:S268"/>
    <mergeCell ref="AB268:AE268"/>
    <mergeCell ref="T268:W268"/>
    <mergeCell ref="X268:AA268"/>
    <mergeCell ref="CM266:CQ266"/>
    <mergeCell ref="AL266:AO266"/>
    <mergeCell ref="AP266:AS266"/>
    <mergeCell ref="AT266:AW266"/>
    <mergeCell ref="AX266:BA266"/>
    <mergeCell ref="BJ266:BK266"/>
    <mergeCell ref="BL266:BO266"/>
    <mergeCell ref="BP266:BQ266"/>
    <mergeCell ref="BR266:BU266"/>
    <mergeCell ref="BV266:BW266"/>
    <mergeCell ref="BX266:CA266"/>
    <mergeCell ref="CD268:CG268"/>
    <mergeCell ref="CH268:CL268"/>
    <mergeCell ref="CM268:CQ268"/>
    <mergeCell ref="CR266:CV266"/>
    <mergeCell ref="DG266:DK266"/>
    <mergeCell ref="D267:G267"/>
    <mergeCell ref="H267:K267"/>
    <mergeCell ref="L267:O267"/>
    <mergeCell ref="P267:S267"/>
    <mergeCell ref="AB267:AE267"/>
    <mergeCell ref="T267:W267"/>
    <mergeCell ref="X267:AA267"/>
    <mergeCell ref="AL267:AO267"/>
    <mergeCell ref="AP267:AS267"/>
    <mergeCell ref="AT267:AW267"/>
    <mergeCell ref="AX267:BA267"/>
    <mergeCell ref="BJ267:BK267"/>
    <mergeCell ref="BL267:BO267"/>
    <mergeCell ref="BP267:BQ267"/>
    <mergeCell ref="BR267:BU267"/>
    <mergeCell ref="BV267:BW267"/>
    <mergeCell ref="CM267:CQ267"/>
    <mergeCell ref="CR267:CV267"/>
    <mergeCell ref="DG267:DK267"/>
    <mergeCell ref="D266:G266"/>
    <mergeCell ref="H266:K266"/>
    <mergeCell ref="L266:O266"/>
    <mergeCell ref="P266:S266"/>
    <mergeCell ref="AB266:AE266"/>
    <mergeCell ref="T266:W266"/>
    <mergeCell ref="X266:AA266"/>
    <mergeCell ref="CM264:CQ264"/>
    <mergeCell ref="CR264:CV264"/>
    <mergeCell ref="DG264:DK264"/>
    <mergeCell ref="D265:G265"/>
    <mergeCell ref="H265:K265"/>
    <mergeCell ref="L265:O265"/>
    <mergeCell ref="P265:S265"/>
    <mergeCell ref="AB265:AE265"/>
    <mergeCell ref="T265:W265"/>
    <mergeCell ref="X265:AA265"/>
    <mergeCell ref="AL265:AO265"/>
    <mergeCell ref="AP265:AS265"/>
    <mergeCell ref="AT265:AW265"/>
    <mergeCell ref="AX265:BA265"/>
    <mergeCell ref="BJ265:BK265"/>
    <mergeCell ref="BL265:BO265"/>
    <mergeCell ref="BP265:BQ265"/>
    <mergeCell ref="BR265:BU265"/>
    <mergeCell ref="BV265:BW265"/>
    <mergeCell ref="BX265:CA265"/>
    <mergeCell ref="CB265:CC265"/>
    <mergeCell ref="CD265:CG265"/>
    <mergeCell ref="CM265:CQ265"/>
    <mergeCell ref="CR265:CV265"/>
    <mergeCell ref="DG265:DK265"/>
    <mergeCell ref="D264:G264"/>
    <mergeCell ref="H264:K264"/>
    <mergeCell ref="L264:O264"/>
    <mergeCell ref="P264:S264"/>
    <mergeCell ref="AB264:AE264"/>
    <mergeCell ref="T264:W264"/>
    <mergeCell ref="AL264:AO264"/>
    <mergeCell ref="AP264:AS264"/>
    <mergeCell ref="AT264:AW264"/>
    <mergeCell ref="AX264:BA264"/>
    <mergeCell ref="BJ264:BK264"/>
    <mergeCell ref="BL264:BO264"/>
    <mergeCell ref="BP264:BQ264"/>
    <mergeCell ref="BR264:BU264"/>
    <mergeCell ref="BV264:BW264"/>
    <mergeCell ref="BX264:CA264"/>
    <mergeCell ref="CW265:DA265"/>
    <mergeCell ref="DB265:DF265"/>
    <mergeCell ref="X264:AA264"/>
    <mergeCell ref="AX262:BA262"/>
    <mergeCell ref="BJ262:BK262"/>
    <mergeCell ref="BL262:BO262"/>
    <mergeCell ref="BP262:BQ262"/>
    <mergeCell ref="BR262:BU262"/>
    <mergeCell ref="BV262:BW262"/>
    <mergeCell ref="BX262:CA262"/>
    <mergeCell ref="CB264:CC264"/>
    <mergeCell ref="CD264:CG264"/>
    <mergeCell ref="CH264:CL264"/>
    <mergeCell ref="CM262:CQ262"/>
    <mergeCell ref="CR262:CV262"/>
    <mergeCell ref="DG262:DK262"/>
    <mergeCell ref="D263:G263"/>
    <mergeCell ref="H263:K263"/>
    <mergeCell ref="L263:O263"/>
    <mergeCell ref="P263:S263"/>
    <mergeCell ref="AB263:AE263"/>
    <mergeCell ref="T263:W263"/>
    <mergeCell ref="X263:AA263"/>
    <mergeCell ref="AL263:AO263"/>
    <mergeCell ref="AP263:AS263"/>
    <mergeCell ref="AT263:AW263"/>
    <mergeCell ref="AX263:BA263"/>
    <mergeCell ref="BJ263:BK263"/>
    <mergeCell ref="BL263:BO263"/>
    <mergeCell ref="BP263:BQ263"/>
    <mergeCell ref="BR263:BU263"/>
    <mergeCell ref="BV263:BW263"/>
    <mergeCell ref="BX263:CA263"/>
    <mergeCell ref="CB263:CC263"/>
    <mergeCell ref="CD263:CG263"/>
    <mergeCell ref="CH263:CL263"/>
    <mergeCell ref="CM263:CQ263"/>
    <mergeCell ref="CR263:CV263"/>
    <mergeCell ref="DG263:DK263"/>
    <mergeCell ref="D262:G262"/>
    <mergeCell ref="H262:K262"/>
    <mergeCell ref="L262:O262"/>
    <mergeCell ref="P262:S262"/>
    <mergeCell ref="AB262:AE262"/>
    <mergeCell ref="T262:W262"/>
    <mergeCell ref="CM260:CQ260"/>
    <mergeCell ref="CR260:CV260"/>
    <mergeCell ref="DG260:DK260"/>
    <mergeCell ref="D261:G261"/>
    <mergeCell ref="H261:K261"/>
    <mergeCell ref="L261:O261"/>
    <mergeCell ref="P261:S261"/>
    <mergeCell ref="AB261:AE261"/>
    <mergeCell ref="T261:W261"/>
    <mergeCell ref="X261:AA261"/>
    <mergeCell ref="AL261:AO261"/>
    <mergeCell ref="AP261:AS261"/>
    <mergeCell ref="AT261:AW261"/>
    <mergeCell ref="AX261:BA261"/>
    <mergeCell ref="BJ261:BK261"/>
    <mergeCell ref="BL261:BO261"/>
    <mergeCell ref="BP261:BQ261"/>
    <mergeCell ref="BR261:BU261"/>
    <mergeCell ref="BV261:BW261"/>
    <mergeCell ref="BX261:CA261"/>
    <mergeCell ref="CB261:CC261"/>
    <mergeCell ref="CD261:CG261"/>
    <mergeCell ref="CH261:CL261"/>
    <mergeCell ref="CM261:CQ261"/>
    <mergeCell ref="CR261:CV261"/>
    <mergeCell ref="DG261:DK261"/>
    <mergeCell ref="D260:G260"/>
    <mergeCell ref="H260:K260"/>
    <mergeCell ref="L260:O260"/>
    <mergeCell ref="P260:S260"/>
    <mergeCell ref="AB260:AE260"/>
    <mergeCell ref="AL260:AO260"/>
    <mergeCell ref="AP260:AS260"/>
    <mergeCell ref="AT260:AW260"/>
    <mergeCell ref="AX260:BA260"/>
    <mergeCell ref="BJ260:BK260"/>
    <mergeCell ref="BL260:BO260"/>
    <mergeCell ref="BP260:BQ260"/>
    <mergeCell ref="BR260:BU260"/>
    <mergeCell ref="BV260:BW260"/>
    <mergeCell ref="BX260:CA260"/>
    <mergeCell ref="T260:W260"/>
    <mergeCell ref="CB257:CC257"/>
    <mergeCell ref="CD257:CG257"/>
    <mergeCell ref="CH257:CL257"/>
    <mergeCell ref="X257:AA257"/>
    <mergeCell ref="AL257:AO257"/>
    <mergeCell ref="AP257:AS257"/>
    <mergeCell ref="AT257:AW257"/>
    <mergeCell ref="AX257:BA257"/>
    <mergeCell ref="BJ257:BK257"/>
    <mergeCell ref="BL257:BO257"/>
    <mergeCell ref="BP257:BQ257"/>
    <mergeCell ref="BR257:BU257"/>
    <mergeCell ref="BV257:BW257"/>
    <mergeCell ref="BX257:CA257"/>
    <mergeCell ref="CD259:CG259"/>
    <mergeCell ref="CB259:CC259"/>
    <mergeCell ref="CB260:CC260"/>
    <mergeCell ref="CD260:CG260"/>
    <mergeCell ref="AL259:AO259"/>
    <mergeCell ref="AP259:AS259"/>
    <mergeCell ref="CH260:CL260"/>
    <mergeCell ref="BP259:BQ259"/>
    <mergeCell ref="BJ259:BK259"/>
    <mergeCell ref="BX259:CA259"/>
    <mergeCell ref="BR259:BU259"/>
    <mergeCell ref="X260:AA260"/>
    <mergeCell ref="BF259:BI259"/>
    <mergeCell ref="BF260:BI260"/>
    <mergeCell ref="CM257:CQ257"/>
    <mergeCell ref="CR257:CV257"/>
    <mergeCell ref="DG257:DK257"/>
    <mergeCell ref="D258:G258"/>
    <mergeCell ref="H258:K258"/>
    <mergeCell ref="L258:O258"/>
    <mergeCell ref="P258:S258"/>
    <mergeCell ref="AB258:AE258"/>
    <mergeCell ref="T258:W258"/>
    <mergeCell ref="X258:AA258"/>
    <mergeCell ref="AL258:AO258"/>
    <mergeCell ref="AP258:AS258"/>
    <mergeCell ref="AT258:AW258"/>
    <mergeCell ref="AX258:BA258"/>
    <mergeCell ref="BJ258:BK258"/>
    <mergeCell ref="BL258:BO258"/>
    <mergeCell ref="BP258:BQ258"/>
    <mergeCell ref="BR258:BU258"/>
    <mergeCell ref="BV258:BW258"/>
    <mergeCell ref="BX258:CA258"/>
    <mergeCell ref="CB258:CC258"/>
    <mergeCell ref="CD258:CG258"/>
    <mergeCell ref="CH258:CL258"/>
    <mergeCell ref="CM258:CQ258"/>
    <mergeCell ref="CR258:CV258"/>
    <mergeCell ref="DG258:DK258"/>
    <mergeCell ref="D257:G257"/>
    <mergeCell ref="H257:K257"/>
    <mergeCell ref="L257:O257"/>
    <mergeCell ref="P257:S257"/>
    <mergeCell ref="AB257:AE257"/>
    <mergeCell ref="T257:W257"/>
    <mergeCell ref="CM255:CQ255"/>
    <mergeCell ref="CR255:CV255"/>
    <mergeCell ref="DG255:DK255"/>
    <mergeCell ref="D256:G256"/>
    <mergeCell ref="H256:K256"/>
    <mergeCell ref="L256:O256"/>
    <mergeCell ref="P256:S256"/>
    <mergeCell ref="AB256:AE256"/>
    <mergeCell ref="T256:W256"/>
    <mergeCell ref="X256:AA256"/>
    <mergeCell ref="AL256:AO256"/>
    <mergeCell ref="AP256:AS256"/>
    <mergeCell ref="AT256:AW256"/>
    <mergeCell ref="AX256:BA256"/>
    <mergeCell ref="BJ256:BK256"/>
    <mergeCell ref="BL256:BO256"/>
    <mergeCell ref="BP256:BQ256"/>
    <mergeCell ref="BR256:BU256"/>
    <mergeCell ref="BV256:BW256"/>
    <mergeCell ref="BX256:CA256"/>
    <mergeCell ref="CB256:CC256"/>
    <mergeCell ref="CD256:CG256"/>
    <mergeCell ref="CH256:CL256"/>
    <mergeCell ref="CM256:CQ256"/>
    <mergeCell ref="CR256:CV256"/>
    <mergeCell ref="DG256:DK256"/>
    <mergeCell ref="D255:G255"/>
    <mergeCell ref="H255:K255"/>
    <mergeCell ref="L255:O255"/>
    <mergeCell ref="P255:S255"/>
    <mergeCell ref="AB255:AE255"/>
    <mergeCell ref="T255:W255"/>
    <mergeCell ref="AT255:AW255"/>
    <mergeCell ref="AX255:BA255"/>
    <mergeCell ref="BJ255:BK255"/>
    <mergeCell ref="BL255:BO255"/>
    <mergeCell ref="BP255:BQ255"/>
    <mergeCell ref="BR255:BU255"/>
    <mergeCell ref="BV255:BW255"/>
    <mergeCell ref="BX255:CA255"/>
    <mergeCell ref="CB253:CC253"/>
    <mergeCell ref="CD253:CG253"/>
    <mergeCell ref="CH253:CL253"/>
    <mergeCell ref="X253:AA253"/>
    <mergeCell ref="AL253:AO253"/>
    <mergeCell ref="AP253:AS253"/>
    <mergeCell ref="AT253:AW253"/>
    <mergeCell ref="AX253:BA253"/>
    <mergeCell ref="BJ253:BK253"/>
    <mergeCell ref="BL253:BO253"/>
    <mergeCell ref="BP253:BQ253"/>
    <mergeCell ref="BR253:BU253"/>
    <mergeCell ref="BV253:BW253"/>
    <mergeCell ref="BX253:CA253"/>
    <mergeCell ref="CB255:CC255"/>
    <mergeCell ref="CD255:CG255"/>
    <mergeCell ref="CH255:CL255"/>
    <mergeCell ref="CM253:CQ253"/>
    <mergeCell ref="CR253:CV253"/>
    <mergeCell ref="DG253:DK253"/>
    <mergeCell ref="D254:G254"/>
    <mergeCell ref="H254:K254"/>
    <mergeCell ref="L254:O254"/>
    <mergeCell ref="P254:S254"/>
    <mergeCell ref="AB254:AE254"/>
    <mergeCell ref="T254:W254"/>
    <mergeCell ref="X254:AA254"/>
    <mergeCell ref="AL254:AO254"/>
    <mergeCell ref="AP254:AS254"/>
    <mergeCell ref="AT254:AW254"/>
    <mergeCell ref="AX254:BA254"/>
    <mergeCell ref="BJ254:BK254"/>
    <mergeCell ref="BL254:BO254"/>
    <mergeCell ref="BP254:BQ254"/>
    <mergeCell ref="BR254:BU254"/>
    <mergeCell ref="BV254:BW254"/>
    <mergeCell ref="BX254:CA254"/>
    <mergeCell ref="CB254:CC254"/>
    <mergeCell ref="CD254:CG254"/>
    <mergeCell ref="CH254:CL254"/>
    <mergeCell ref="CM254:CQ254"/>
    <mergeCell ref="CR254:CV254"/>
    <mergeCell ref="DG254:DK254"/>
    <mergeCell ref="D253:G253"/>
    <mergeCell ref="H253:K253"/>
    <mergeCell ref="L253:O253"/>
    <mergeCell ref="P253:S253"/>
    <mergeCell ref="AB253:AE253"/>
    <mergeCell ref="T253:W253"/>
    <mergeCell ref="CR251:CV251"/>
    <mergeCell ref="DG251:DK251"/>
    <mergeCell ref="D252:G252"/>
    <mergeCell ref="H252:K252"/>
    <mergeCell ref="L252:O252"/>
    <mergeCell ref="P252:S252"/>
    <mergeCell ref="AB252:AE252"/>
    <mergeCell ref="T252:W252"/>
    <mergeCell ref="X252:AA252"/>
    <mergeCell ref="AL252:AO252"/>
    <mergeCell ref="AP252:AS252"/>
    <mergeCell ref="AT252:AW252"/>
    <mergeCell ref="AX252:BA252"/>
    <mergeCell ref="BJ252:BK252"/>
    <mergeCell ref="BL252:BO252"/>
    <mergeCell ref="BP252:BQ252"/>
    <mergeCell ref="BR252:BU252"/>
    <mergeCell ref="BV252:BW252"/>
    <mergeCell ref="BX252:CA252"/>
    <mergeCell ref="CB252:CC252"/>
    <mergeCell ref="CD252:CG252"/>
    <mergeCell ref="CH252:CL252"/>
    <mergeCell ref="CM252:CQ252"/>
    <mergeCell ref="CR252:CV252"/>
    <mergeCell ref="DG252:DK252"/>
    <mergeCell ref="D251:G251"/>
    <mergeCell ref="H251:K251"/>
    <mergeCell ref="L251:O251"/>
    <mergeCell ref="AL251:AO251"/>
    <mergeCell ref="AP251:AS251"/>
    <mergeCell ref="AT251:AW251"/>
    <mergeCell ref="L249:O249"/>
    <mergeCell ref="P249:S249"/>
    <mergeCell ref="AB249:AE249"/>
    <mergeCell ref="T249:W249"/>
    <mergeCell ref="BX251:CA251"/>
    <mergeCell ref="CB249:CC249"/>
    <mergeCell ref="CD249:CG249"/>
    <mergeCell ref="CH249:CL249"/>
    <mergeCell ref="X249:AA249"/>
    <mergeCell ref="AL249:AO249"/>
    <mergeCell ref="AP249:AS249"/>
    <mergeCell ref="AT249:AW249"/>
    <mergeCell ref="AX249:BA249"/>
    <mergeCell ref="BJ249:BK249"/>
    <mergeCell ref="BL249:BO249"/>
    <mergeCell ref="BP249:BQ249"/>
    <mergeCell ref="BR249:BU249"/>
    <mergeCell ref="BV249:BW249"/>
    <mergeCell ref="BX249:CA249"/>
    <mergeCell ref="CB251:CC251"/>
    <mergeCell ref="CD251:CG251"/>
    <mergeCell ref="CH251:CL251"/>
    <mergeCell ref="AX251:BA251"/>
    <mergeCell ref="BJ251:BK251"/>
    <mergeCell ref="BL251:BO251"/>
    <mergeCell ref="AB251:AE251"/>
    <mergeCell ref="BB249:BE249"/>
    <mergeCell ref="BB250:BE250"/>
    <mergeCell ref="BB251:BE251"/>
    <mergeCell ref="BF250:BI250"/>
    <mergeCell ref="BF251:BI251"/>
    <mergeCell ref="L247:O247"/>
    <mergeCell ref="AL247:AO247"/>
    <mergeCell ref="AP247:AS247"/>
    <mergeCell ref="AT247:AW247"/>
    <mergeCell ref="CM249:CQ249"/>
    <mergeCell ref="CR249:CV249"/>
    <mergeCell ref="DG249:DK249"/>
    <mergeCell ref="D250:G250"/>
    <mergeCell ref="H250:K250"/>
    <mergeCell ref="L250:O250"/>
    <mergeCell ref="P250:S250"/>
    <mergeCell ref="AB250:AE250"/>
    <mergeCell ref="T250:W250"/>
    <mergeCell ref="X250:AA250"/>
    <mergeCell ref="AL250:AO250"/>
    <mergeCell ref="AP250:AS250"/>
    <mergeCell ref="AT250:AW250"/>
    <mergeCell ref="AX250:BA250"/>
    <mergeCell ref="BJ250:BK250"/>
    <mergeCell ref="BL250:BO250"/>
    <mergeCell ref="BP250:BQ250"/>
    <mergeCell ref="BR250:BU250"/>
    <mergeCell ref="BV250:BW250"/>
    <mergeCell ref="BX250:CA250"/>
    <mergeCell ref="CB250:CC250"/>
    <mergeCell ref="CD250:CG250"/>
    <mergeCell ref="CH250:CL250"/>
    <mergeCell ref="CM250:CQ250"/>
    <mergeCell ref="CR250:CV250"/>
    <mergeCell ref="DG250:DK250"/>
    <mergeCell ref="D249:G249"/>
    <mergeCell ref="H249:K249"/>
    <mergeCell ref="BL247:BO247"/>
    <mergeCell ref="BP247:BQ247"/>
    <mergeCell ref="BR247:BU247"/>
    <mergeCell ref="BB247:BE247"/>
    <mergeCell ref="CM247:CQ247"/>
    <mergeCell ref="CR247:CV247"/>
    <mergeCell ref="DG247:DK247"/>
    <mergeCell ref="D248:G248"/>
    <mergeCell ref="H248:K248"/>
    <mergeCell ref="L248:O248"/>
    <mergeCell ref="P248:S248"/>
    <mergeCell ref="AB248:AE248"/>
    <mergeCell ref="T248:W248"/>
    <mergeCell ref="X248:AA248"/>
    <mergeCell ref="AL248:AO248"/>
    <mergeCell ref="AP248:AS248"/>
    <mergeCell ref="AT248:AW248"/>
    <mergeCell ref="AX248:BA248"/>
    <mergeCell ref="BJ248:BK248"/>
    <mergeCell ref="BL248:BO248"/>
    <mergeCell ref="BP248:BQ248"/>
    <mergeCell ref="BR248:BU248"/>
    <mergeCell ref="BV248:BW248"/>
    <mergeCell ref="BX248:CA248"/>
    <mergeCell ref="CB248:CC248"/>
    <mergeCell ref="CD248:CG248"/>
    <mergeCell ref="CH248:CL248"/>
    <mergeCell ref="CM248:CQ248"/>
    <mergeCell ref="CR248:CV248"/>
    <mergeCell ref="DG248:DK248"/>
    <mergeCell ref="D247:G247"/>
    <mergeCell ref="H247:K247"/>
    <mergeCell ref="CB246:CC246"/>
    <mergeCell ref="CD246:CG246"/>
    <mergeCell ref="CH246:CL246"/>
    <mergeCell ref="CM246:CQ246"/>
    <mergeCell ref="CR246:CV246"/>
    <mergeCell ref="DG246:DK246"/>
    <mergeCell ref="D245:G245"/>
    <mergeCell ref="H245:K245"/>
    <mergeCell ref="L245:O245"/>
    <mergeCell ref="P245:S245"/>
    <mergeCell ref="AB245:AE245"/>
    <mergeCell ref="T245:W245"/>
    <mergeCell ref="BX247:CA247"/>
    <mergeCell ref="CB245:CC245"/>
    <mergeCell ref="CD245:CG245"/>
    <mergeCell ref="CH245:CL245"/>
    <mergeCell ref="X245:AA245"/>
    <mergeCell ref="AL245:AO245"/>
    <mergeCell ref="AP245:AS245"/>
    <mergeCell ref="AT245:AW245"/>
    <mergeCell ref="AX245:BA245"/>
    <mergeCell ref="BJ245:BK245"/>
    <mergeCell ref="BL245:BO245"/>
    <mergeCell ref="BP245:BQ245"/>
    <mergeCell ref="BR245:BU245"/>
    <mergeCell ref="BV245:BW245"/>
    <mergeCell ref="BX245:CA245"/>
    <mergeCell ref="CB247:CC247"/>
    <mergeCell ref="CD247:CG247"/>
    <mergeCell ref="CH247:CL247"/>
    <mergeCell ref="AX247:BA247"/>
    <mergeCell ref="BJ247:BK247"/>
    <mergeCell ref="CB244:CC244"/>
    <mergeCell ref="CD244:CG244"/>
    <mergeCell ref="CH244:CL244"/>
    <mergeCell ref="CM244:CQ244"/>
    <mergeCell ref="CR244:CV244"/>
    <mergeCell ref="DG244:DK244"/>
    <mergeCell ref="D243:G243"/>
    <mergeCell ref="H243:K243"/>
    <mergeCell ref="L243:O243"/>
    <mergeCell ref="BJ243:BK243"/>
    <mergeCell ref="BL243:BO243"/>
    <mergeCell ref="BP243:BQ243"/>
    <mergeCell ref="CM245:CQ245"/>
    <mergeCell ref="CR245:CV245"/>
    <mergeCell ref="DG245:DK245"/>
    <mergeCell ref="D246:G246"/>
    <mergeCell ref="H246:K246"/>
    <mergeCell ref="L246:O246"/>
    <mergeCell ref="P246:S246"/>
    <mergeCell ref="AB246:AE246"/>
    <mergeCell ref="T246:W246"/>
    <mergeCell ref="X246:AA246"/>
    <mergeCell ref="AL246:AO246"/>
    <mergeCell ref="AP246:AS246"/>
    <mergeCell ref="AT246:AW246"/>
    <mergeCell ref="AX246:BA246"/>
    <mergeCell ref="BJ246:BK246"/>
    <mergeCell ref="BL246:BO246"/>
    <mergeCell ref="BP246:BQ246"/>
    <mergeCell ref="BR246:BU246"/>
    <mergeCell ref="BV246:BW246"/>
    <mergeCell ref="BX246:CA246"/>
    <mergeCell ref="D244:G244"/>
    <mergeCell ref="H244:K244"/>
    <mergeCell ref="L244:O244"/>
    <mergeCell ref="P244:S244"/>
    <mergeCell ref="AB244:AE244"/>
    <mergeCell ref="T244:W244"/>
    <mergeCell ref="X244:AA244"/>
    <mergeCell ref="AL244:AO244"/>
    <mergeCell ref="AP244:AS244"/>
    <mergeCell ref="AT244:AW244"/>
    <mergeCell ref="AX244:BA244"/>
    <mergeCell ref="BJ244:BK244"/>
    <mergeCell ref="BL244:BO244"/>
    <mergeCell ref="BP244:BQ244"/>
    <mergeCell ref="BR244:BU244"/>
    <mergeCell ref="BV244:BW244"/>
    <mergeCell ref="BX244:CA244"/>
    <mergeCell ref="P241:S241"/>
    <mergeCell ref="AB241:AE241"/>
    <mergeCell ref="T241:W241"/>
    <mergeCell ref="BX243:CA243"/>
    <mergeCell ref="CB241:CC241"/>
    <mergeCell ref="CD241:CG241"/>
    <mergeCell ref="CH241:CL241"/>
    <mergeCell ref="X241:AA241"/>
    <mergeCell ref="AL241:AO241"/>
    <mergeCell ref="AP241:AS241"/>
    <mergeCell ref="AT241:AW241"/>
    <mergeCell ref="AX241:BA241"/>
    <mergeCell ref="BJ241:BK241"/>
    <mergeCell ref="BL241:BO241"/>
    <mergeCell ref="BP241:BQ241"/>
    <mergeCell ref="BR241:BU241"/>
    <mergeCell ref="BV241:BW241"/>
    <mergeCell ref="BX241:CA241"/>
    <mergeCell ref="CB243:CC243"/>
    <mergeCell ref="CD243:CG243"/>
    <mergeCell ref="CH243:CL243"/>
    <mergeCell ref="BR243:BU243"/>
    <mergeCell ref="D239:G239"/>
    <mergeCell ref="H239:K239"/>
    <mergeCell ref="L239:O239"/>
    <mergeCell ref="CM241:CQ241"/>
    <mergeCell ref="CR241:CV241"/>
    <mergeCell ref="DG241:DK241"/>
    <mergeCell ref="D242:G242"/>
    <mergeCell ref="H242:K242"/>
    <mergeCell ref="L242:O242"/>
    <mergeCell ref="P242:S242"/>
    <mergeCell ref="AB242:AE242"/>
    <mergeCell ref="T242:W242"/>
    <mergeCell ref="X242:AA242"/>
    <mergeCell ref="AL242:AO242"/>
    <mergeCell ref="AP242:AS242"/>
    <mergeCell ref="AT242:AW242"/>
    <mergeCell ref="AX242:BA242"/>
    <mergeCell ref="BJ242:BK242"/>
    <mergeCell ref="BL242:BO242"/>
    <mergeCell ref="BP242:BQ242"/>
    <mergeCell ref="BR242:BU242"/>
    <mergeCell ref="BV242:BW242"/>
    <mergeCell ref="BX242:CA242"/>
    <mergeCell ref="CB242:CC242"/>
    <mergeCell ref="CD242:CG242"/>
    <mergeCell ref="CH242:CL242"/>
    <mergeCell ref="CM242:CQ242"/>
    <mergeCell ref="CR242:CV242"/>
    <mergeCell ref="DG242:DK242"/>
    <mergeCell ref="D241:G241"/>
    <mergeCell ref="H241:K241"/>
    <mergeCell ref="L241:O241"/>
    <mergeCell ref="L240:O240"/>
    <mergeCell ref="P240:S240"/>
    <mergeCell ref="AB240:AE240"/>
    <mergeCell ref="T240:W240"/>
    <mergeCell ref="X240:AA240"/>
    <mergeCell ref="AL240:AO240"/>
    <mergeCell ref="AP240:AS240"/>
    <mergeCell ref="AT240:AW240"/>
    <mergeCell ref="AX240:BA240"/>
    <mergeCell ref="BJ240:BK240"/>
    <mergeCell ref="BL240:BO240"/>
    <mergeCell ref="BP240:BQ240"/>
    <mergeCell ref="BR240:BU240"/>
    <mergeCell ref="BV240:BW240"/>
    <mergeCell ref="BX240:CA240"/>
    <mergeCell ref="CB240:CC240"/>
    <mergeCell ref="CD240:CG240"/>
    <mergeCell ref="BV237:BW237"/>
    <mergeCell ref="BX237:CA237"/>
    <mergeCell ref="CB237:CC237"/>
    <mergeCell ref="CD237:CG237"/>
    <mergeCell ref="CH237:CL237"/>
    <mergeCell ref="CM237:CQ237"/>
    <mergeCell ref="CR237:CV237"/>
    <mergeCell ref="DG237:DK237"/>
    <mergeCell ref="AB238:AE238"/>
    <mergeCell ref="T238:W238"/>
    <mergeCell ref="X238:AA238"/>
    <mergeCell ref="CB239:CC239"/>
    <mergeCell ref="CD239:CG239"/>
    <mergeCell ref="CH239:CL239"/>
    <mergeCell ref="CM239:CQ239"/>
    <mergeCell ref="CR239:CV239"/>
    <mergeCell ref="DG239:DK239"/>
    <mergeCell ref="D226:G226"/>
    <mergeCell ref="H226:K226"/>
    <mergeCell ref="L226:O226"/>
    <mergeCell ref="P226:S226"/>
    <mergeCell ref="AB226:AE226"/>
    <mergeCell ref="T226:W226"/>
    <mergeCell ref="X226:AA226"/>
    <mergeCell ref="AL226:AO226"/>
    <mergeCell ref="AP226:AS226"/>
    <mergeCell ref="AT226:AW226"/>
    <mergeCell ref="AX226:BA226"/>
    <mergeCell ref="BJ226:BK226"/>
    <mergeCell ref="BL226:BO226"/>
    <mergeCell ref="CB238:CC238"/>
    <mergeCell ref="CD238:CG238"/>
    <mergeCell ref="CH238:CL238"/>
    <mergeCell ref="BV225:BW225"/>
    <mergeCell ref="CB226:CC226"/>
    <mergeCell ref="CD226:CG226"/>
    <mergeCell ref="BX232:CA232"/>
    <mergeCell ref="BJ235:BK235"/>
    <mergeCell ref="BJ236:BK236"/>
    <mergeCell ref="BV229:BW229"/>
    <mergeCell ref="BV230:BW230"/>
    <mergeCell ref="BV231:BW231"/>
    <mergeCell ref="BV232:BW232"/>
    <mergeCell ref="BV236:BW236"/>
    <mergeCell ref="AL235:AO235"/>
    <mergeCell ref="AP235:AS235"/>
    <mergeCell ref="AT235:AW235"/>
    <mergeCell ref="AX235:BA235"/>
    <mergeCell ref="T237:W237"/>
    <mergeCell ref="Y60:AF60"/>
    <mergeCell ref="O60:X60"/>
    <mergeCell ref="O78:Y78"/>
    <mergeCell ref="Z78:AF78"/>
    <mergeCell ref="D222:G222"/>
    <mergeCell ref="H222:K222"/>
    <mergeCell ref="L222:O222"/>
    <mergeCell ref="P222:S222"/>
    <mergeCell ref="AB222:AE222"/>
    <mergeCell ref="T222:W222"/>
    <mergeCell ref="X222:AA222"/>
    <mergeCell ref="AL222:AO222"/>
    <mergeCell ref="AP222:AS222"/>
    <mergeCell ref="AT222:AW222"/>
    <mergeCell ref="AX222:BA222"/>
    <mergeCell ref="BJ222:BK222"/>
    <mergeCell ref="E188:K188"/>
    <mergeCell ref="AT221:AW221"/>
    <mergeCell ref="AX221:BA221"/>
    <mergeCell ref="AX219:BA219"/>
    <mergeCell ref="Z127:AF127"/>
    <mergeCell ref="Z128:AF128"/>
    <mergeCell ref="Z130:AF130"/>
    <mergeCell ref="T214:W214"/>
    <mergeCell ref="AL212:AO212"/>
    <mergeCell ref="AP212:AS212"/>
    <mergeCell ref="AL213:AO213"/>
    <mergeCell ref="AP213:AS213"/>
    <mergeCell ref="AL219:AO219"/>
    <mergeCell ref="AP219:AS219"/>
    <mergeCell ref="AL221:AO221"/>
    <mergeCell ref="L186:P186"/>
    <mergeCell ref="B665:L665"/>
    <mergeCell ref="M665:R665"/>
    <mergeCell ref="S665:X665"/>
    <mergeCell ref="Y665:AE665"/>
    <mergeCell ref="AF665:AI665"/>
    <mergeCell ref="Z376:AG377"/>
    <mergeCell ref="Z378:AG378"/>
    <mergeCell ref="V606:Z606"/>
    <mergeCell ref="V607:Z607"/>
    <mergeCell ref="G606:K606"/>
    <mergeCell ref="G607:K607"/>
    <mergeCell ref="Z598:AC598"/>
    <mergeCell ref="Z599:AC599"/>
    <mergeCell ref="C471:O471"/>
    <mergeCell ref="P471:AI471"/>
    <mergeCell ref="G429:K429"/>
    <mergeCell ref="B562:F562"/>
    <mergeCell ref="B563:F563"/>
    <mergeCell ref="L567:P567"/>
    <mergeCell ref="C552:O552"/>
    <mergeCell ref="P552:AI552"/>
    <mergeCell ref="AA410:AE410"/>
    <mergeCell ref="AA409:AE409"/>
    <mergeCell ref="AA439:AE439"/>
    <mergeCell ref="AA440:AE440"/>
    <mergeCell ref="AA461:AE461"/>
    <mergeCell ref="C415:O415"/>
    <mergeCell ref="AA514:AE514"/>
    <mergeCell ref="AA515:AE515"/>
    <mergeCell ref="AA546:AE546"/>
    <mergeCell ref="AA547:AE547"/>
    <mergeCell ref="AA572:AE572"/>
    <mergeCell ref="AF607:AJ607"/>
    <mergeCell ref="AA628:AE628"/>
    <mergeCell ref="AA629:AE629"/>
    <mergeCell ref="BV259:BW259"/>
    <mergeCell ref="BV234:BW234"/>
    <mergeCell ref="BJ233:BK233"/>
    <mergeCell ref="D237:G237"/>
    <mergeCell ref="H237:K237"/>
    <mergeCell ref="L237:O237"/>
    <mergeCell ref="BV228:BW228"/>
    <mergeCell ref="P239:S239"/>
    <mergeCell ref="AB239:AE239"/>
    <mergeCell ref="T239:W239"/>
    <mergeCell ref="X239:AA239"/>
    <mergeCell ref="AL239:AO239"/>
    <mergeCell ref="AP239:AS239"/>
    <mergeCell ref="AT239:AW239"/>
    <mergeCell ref="AX239:BA239"/>
    <mergeCell ref="BJ239:BK239"/>
    <mergeCell ref="BL239:BO239"/>
    <mergeCell ref="BP239:BQ239"/>
    <mergeCell ref="BR239:BU239"/>
    <mergeCell ref="BV239:BW239"/>
    <mergeCell ref="D238:G238"/>
    <mergeCell ref="H238:K238"/>
    <mergeCell ref="BV243:BW243"/>
    <mergeCell ref="BV247:BW247"/>
    <mergeCell ref="BP251:BQ251"/>
    <mergeCell ref="BR251:BU251"/>
    <mergeCell ref="BV251:BW251"/>
    <mergeCell ref="AL255:AO255"/>
    <mergeCell ref="AP255:AS255"/>
    <mergeCell ref="BJ211:CG211"/>
    <mergeCell ref="BJ212:BK212"/>
    <mergeCell ref="BJ213:BK213"/>
    <mergeCell ref="B77:C93"/>
    <mergeCell ref="O85:Y85"/>
    <mergeCell ref="Z85:AJ85"/>
    <mergeCell ref="D107:AF107"/>
    <mergeCell ref="D119:AF119"/>
    <mergeCell ref="D114:AF114"/>
    <mergeCell ref="D136:AF136"/>
    <mergeCell ref="D192:W194"/>
    <mergeCell ref="O104:X104"/>
    <mergeCell ref="T211:AE211"/>
    <mergeCell ref="AB212:AE212"/>
    <mergeCell ref="L183:P184"/>
    <mergeCell ref="L185:P185"/>
    <mergeCell ref="T188:V188"/>
    <mergeCell ref="Q183:V183"/>
    <mergeCell ref="D104:N104"/>
    <mergeCell ref="O122:Y122"/>
    <mergeCell ref="O124:Y124"/>
    <mergeCell ref="B168:I168"/>
    <mergeCell ref="B169:I169"/>
    <mergeCell ref="O128:Y128"/>
    <mergeCell ref="Z105:AF105"/>
    <mergeCell ref="O82:Y82"/>
    <mergeCell ref="O97:Y97"/>
    <mergeCell ref="O99:Y99"/>
    <mergeCell ref="O100:Y100"/>
    <mergeCell ref="O101:Y101"/>
    <mergeCell ref="Z115:AF115"/>
    <mergeCell ref="D181:AJ181"/>
    <mergeCell ref="BP216:BQ216"/>
    <mergeCell ref="BP217:BQ217"/>
    <mergeCell ref="BP218:BQ218"/>
    <mergeCell ref="AP216:AS216"/>
    <mergeCell ref="AT216:AW216"/>
    <mergeCell ref="AX216:BA216"/>
    <mergeCell ref="BL216:BO216"/>
    <mergeCell ref="BV220:BW220"/>
    <mergeCell ref="AT212:AW212"/>
    <mergeCell ref="AX212:BA212"/>
    <mergeCell ref="BL212:BO212"/>
    <mergeCell ref="BX218:CA218"/>
    <mergeCell ref="BX219:CA219"/>
    <mergeCell ref="BX220:CA220"/>
    <mergeCell ref="BL217:BO217"/>
    <mergeCell ref="BR217:BU217"/>
    <mergeCell ref="BV212:BW212"/>
    <mergeCell ref="BV213:BW213"/>
    <mergeCell ref="BV214:BW214"/>
    <mergeCell ref="BV215:BW215"/>
    <mergeCell ref="BV216:BW216"/>
    <mergeCell ref="BV217:BW217"/>
    <mergeCell ref="BV218:BW218"/>
    <mergeCell ref="BV219:BW219"/>
    <mergeCell ref="BL213:BO213"/>
    <mergeCell ref="CB224:CC224"/>
    <mergeCell ref="CD224:CG224"/>
    <mergeCell ref="CB225:CC225"/>
    <mergeCell ref="CD225:CG225"/>
    <mergeCell ref="CB229:CC229"/>
    <mergeCell ref="CB212:CC212"/>
    <mergeCell ref="CD221:CG221"/>
    <mergeCell ref="CB221:CC221"/>
    <mergeCell ref="CD220:CG220"/>
    <mergeCell ref="CB220:CC220"/>
    <mergeCell ref="CD219:CG219"/>
    <mergeCell ref="CB219:CC219"/>
    <mergeCell ref="CD218:CG218"/>
    <mergeCell ref="BX225:CA225"/>
    <mergeCell ref="BR223:BU223"/>
    <mergeCell ref="BV223:BW223"/>
    <mergeCell ref="BX223:CA223"/>
    <mergeCell ref="BR226:BU226"/>
    <mergeCell ref="BV226:BW226"/>
    <mergeCell ref="BX226:CA226"/>
    <mergeCell ref="BX212:CA212"/>
    <mergeCell ref="BX213:CA213"/>
    <mergeCell ref="BX214:CA214"/>
    <mergeCell ref="BX215:CA215"/>
    <mergeCell ref="BX216:CA216"/>
    <mergeCell ref="BX221:CA221"/>
    <mergeCell ref="BX227:CA227"/>
    <mergeCell ref="CD212:CG212"/>
    <mergeCell ref="BX217:CA217"/>
    <mergeCell ref="CB218:CC218"/>
    <mergeCell ref="CD217:CG217"/>
    <mergeCell ref="CB217:CC217"/>
    <mergeCell ref="BV221:BW221"/>
    <mergeCell ref="BV227:BW227"/>
    <mergeCell ref="BV233:BW233"/>
    <mergeCell ref="BL233:BO233"/>
    <mergeCell ref="BR233:BU233"/>
    <mergeCell ref="BX236:CA236"/>
    <mergeCell ref="BX233:CA233"/>
    <mergeCell ref="BX234:CA234"/>
    <mergeCell ref="BP224:BQ224"/>
    <mergeCell ref="BR224:BU224"/>
    <mergeCell ref="BP234:BQ234"/>
    <mergeCell ref="BV222:BW222"/>
    <mergeCell ref="BV224:BW224"/>
    <mergeCell ref="BJ225:BK225"/>
    <mergeCell ref="BL225:BO225"/>
    <mergeCell ref="BP225:BQ225"/>
    <mergeCell ref="BR225:BU225"/>
    <mergeCell ref="BR234:BU234"/>
    <mergeCell ref="BL235:BO235"/>
    <mergeCell ref="BR235:BU235"/>
    <mergeCell ref="BP235:BQ235"/>
    <mergeCell ref="BV235:BW235"/>
    <mergeCell ref="BX235:CA235"/>
    <mergeCell ref="BR221:BU221"/>
    <mergeCell ref="BX222:CA222"/>
    <mergeCell ref="BX224:CA224"/>
    <mergeCell ref="BX231:CA231"/>
    <mergeCell ref="BR231:BU231"/>
    <mergeCell ref="BR232:BU232"/>
    <mergeCell ref="AL236:AO236"/>
    <mergeCell ref="BX239:CA239"/>
    <mergeCell ref="BL238:BO238"/>
    <mergeCell ref="BP238:BQ238"/>
    <mergeCell ref="BR238:BU238"/>
    <mergeCell ref="BV238:BW238"/>
    <mergeCell ref="BX238:CA238"/>
    <mergeCell ref="AL243:AO243"/>
    <mergeCell ref="AP243:AS243"/>
    <mergeCell ref="AT243:AW243"/>
    <mergeCell ref="AX243:BA243"/>
    <mergeCell ref="BP220:BQ220"/>
    <mergeCell ref="BP221:BQ221"/>
    <mergeCell ref="BP227:BQ227"/>
    <mergeCell ref="BP228:BQ228"/>
    <mergeCell ref="BP229:BQ229"/>
    <mergeCell ref="BP230:BQ230"/>
    <mergeCell ref="BP231:BQ231"/>
    <mergeCell ref="BP232:BQ232"/>
    <mergeCell ref="BP233:BQ233"/>
    <mergeCell ref="BX228:CA228"/>
    <mergeCell ref="BX229:CA229"/>
    <mergeCell ref="BX230:CA230"/>
    <mergeCell ref="BJ220:BK220"/>
    <mergeCell ref="BJ221:BK221"/>
    <mergeCell ref="BJ227:BK227"/>
    <mergeCell ref="BJ228:BK228"/>
    <mergeCell ref="BJ229:BK229"/>
    <mergeCell ref="BJ230:BK230"/>
    <mergeCell ref="AP230:AS230"/>
    <mergeCell ref="BL236:BO236"/>
    <mergeCell ref="BR236:BU236"/>
    <mergeCell ref="BP236:BQ236"/>
    <mergeCell ref="AL238:AO238"/>
    <mergeCell ref="AP238:AS238"/>
    <mergeCell ref="AT238:AW238"/>
    <mergeCell ref="AX238:BA238"/>
    <mergeCell ref="BJ238:BK238"/>
    <mergeCell ref="BF234:BI234"/>
    <mergeCell ref="BF235:BI235"/>
    <mergeCell ref="BF236:BI236"/>
    <mergeCell ref="BF237:BI237"/>
    <mergeCell ref="BF238:BI238"/>
    <mergeCell ref="BB234:BE234"/>
    <mergeCell ref="BB235:BE235"/>
    <mergeCell ref="BB236:BE236"/>
    <mergeCell ref="BB237:BE237"/>
    <mergeCell ref="BB238:BE238"/>
    <mergeCell ref="BJ234:BK234"/>
    <mergeCell ref="AT234:AW234"/>
    <mergeCell ref="AX234:BA234"/>
    <mergeCell ref="BL234:BO234"/>
    <mergeCell ref="AL237:AO237"/>
    <mergeCell ref="AP237:AS237"/>
    <mergeCell ref="AT237:AW237"/>
    <mergeCell ref="AX237:BA237"/>
    <mergeCell ref="BJ237:BK237"/>
    <mergeCell ref="BL237:BO237"/>
    <mergeCell ref="BP237:BQ237"/>
    <mergeCell ref="BR237:BU237"/>
    <mergeCell ref="B389:L389"/>
    <mergeCell ref="M389:R389"/>
    <mergeCell ref="S389:X389"/>
    <mergeCell ref="Y389:AE389"/>
    <mergeCell ref="AF389:AI389"/>
    <mergeCell ref="AM468:AY468"/>
    <mergeCell ref="P468:AI468"/>
    <mergeCell ref="AL231:AO231"/>
    <mergeCell ref="AP231:AS231"/>
    <mergeCell ref="AT231:AW231"/>
    <mergeCell ref="AX231:BA231"/>
    <mergeCell ref="BL231:BO231"/>
    <mergeCell ref="AT232:AW232"/>
    <mergeCell ref="AX232:BA232"/>
    <mergeCell ref="BL232:BO232"/>
    <mergeCell ref="AL233:AO233"/>
    <mergeCell ref="AP233:AS233"/>
    <mergeCell ref="AT233:AW233"/>
    <mergeCell ref="AX233:BA233"/>
    <mergeCell ref="AL234:AO234"/>
    <mergeCell ref="AP234:AS234"/>
    <mergeCell ref="D234:G234"/>
    <mergeCell ref="P234:S234"/>
    <mergeCell ref="AT236:AW236"/>
    <mergeCell ref="BL259:BO259"/>
    <mergeCell ref="AL232:AO232"/>
    <mergeCell ref="AP232:AS232"/>
    <mergeCell ref="BF231:BI231"/>
    <mergeCell ref="BF232:BI232"/>
    <mergeCell ref="BF233:BI233"/>
    <mergeCell ref="BJ232:BK232"/>
    <mergeCell ref="BJ231:BK231"/>
    <mergeCell ref="AL227:AO227"/>
    <mergeCell ref="AP227:AS227"/>
    <mergeCell ref="AT227:AW227"/>
    <mergeCell ref="AX227:BA227"/>
    <mergeCell ref="BL227:BO227"/>
    <mergeCell ref="BR227:BU227"/>
    <mergeCell ref="AT228:AW228"/>
    <mergeCell ref="AX228:BA228"/>
    <mergeCell ref="BL228:BO228"/>
    <mergeCell ref="BR228:BU228"/>
    <mergeCell ref="AL229:AO229"/>
    <mergeCell ref="AP229:AS229"/>
    <mergeCell ref="AT229:AW229"/>
    <mergeCell ref="AX229:BA229"/>
    <mergeCell ref="BL229:BO229"/>
    <mergeCell ref="BR229:BU229"/>
    <mergeCell ref="BL222:BO222"/>
    <mergeCell ref="BP222:BQ222"/>
    <mergeCell ref="BR222:BU222"/>
    <mergeCell ref="AL224:AO224"/>
    <mergeCell ref="BL223:BO223"/>
    <mergeCell ref="BP223:BQ223"/>
    <mergeCell ref="AT224:AW224"/>
    <mergeCell ref="AX224:BA224"/>
    <mergeCell ref="BJ224:BK224"/>
    <mergeCell ref="BL224:BO224"/>
    <mergeCell ref="BP226:BQ226"/>
    <mergeCell ref="AX225:BA225"/>
    <mergeCell ref="AP228:AS228"/>
    <mergeCell ref="AP225:AS225"/>
    <mergeCell ref="BR213:BU213"/>
    <mergeCell ref="AL214:AO214"/>
    <mergeCell ref="AP214:AS214"/>
    <mergeCell ref="AT214:AW214"/>
    <mergeCell ref="AT215:AW215"/>
    <mergeCell ref="AX215:BA215"/>
    <mergeCell ref="BL215:BO215"/>
    <mergeCell ref="BR215:BU215"/>
    <mergeCell ref="AL216:AO216"/>
    <mergeCell ref="AL215:AO215"/>
    <mergeCell ref="AP215:AS215"/>
    <mergeCell ref="AX214:BA214"/>
    <mergeCell ref="BL214:BO214"/>
    <mergeCell ref="T213:W213"/>
    <mergeCell ref="BR212:BU212"/>
    <mergeCell ref="BR219:BU219"/>
    <mergeCell ref="BR214:BU214"/>
    <mergeCell ref="BJ214:BK214"/>
    <mergeCell ref="BJ215:BK215"/>
    <mergeCell ref="BJ216:BK216"/>
    <mergeCell ref="BJ217:BK217"/>
    <mergeCell ref="BJ218:BK218"/>
    <mergeCell ref="BJ219:BK219"/>
    <mergeCell ref="BP212:BQ212"/>
    <mergeCell ref="BL218:BO218"/>
    <mergeCell ref="BR218:BU218"/>
    <mergeCell ref="T218:W218"/>
    <mergeCell ref="AB213:AE213"/>
    <mergeCell ref="BR216:BU216"/>
    <mergeCell ref="BP213:BQ213"/>
    <mergeCell ref="BP214:BQ214"/>
    <mergeCell ref="BP215:BQ215"/>
    <mergeCell ref="H218:K218"/>
    <mergeCell ref="BP219:BQ219"/>
    <mergeCell ref="AT230:AW230"/>
    <mergeCell ref="AX230:BA230"/>
    <mergeCell ref="BL230:BO230"/>
    <mergeCell ref="BR230:BU230"/>
    <mergeCell ref="AT225:AW225"/>
    <mergeCell ref="T217:W217"/>
    <mergeCell ref="X220:AA220"/>
    <mergeCell ref="L220:O220"/>
    <mergeCell ref="BF227:BI227"/>
    <mergeCell ref="BF228:BI228"/>
    <mergeCell ref="BF229:BI229"/>
    <mergeCell ref="BF230:BI230"/>
    <mergeCell ref="AL220:AO220"/>
    <mergeCell ref="AP220:AS220"/>
    <mergeCell ref="AT220:AW220"/>
    <mergeCell ref="AX220:BA220"/>
    <mergeCell ref="BL220:BO220"/>
    <mergeCell ref="BR220:BU220"/>
    <mergeCell ref="X219:AA219"/>
    <mergeCell ref="L218:O218"/>
    <mergeCell ref="L219:O219"/>
    <mergeCell ref="BL221:BO221"/>
    <mergeCell ref="AL228:AO228"/>
    <mergeCell ref="BL219:BO219"/>
    <mergeCell ref="AT219:AW219"/>
    <mergeCell ref="AT223:AW223"/>
    <mergeCell ref="AX223:BA223"/>
    <mergeCell ref="BJ223:BK223"/>
    <mergeCell ref="AB223:AE223"/>
    <mergeCell ref="T225:W225"/>
    <mergeCell ref="AM469:AY469"/>
    <mergeCell ref="P469:AI469"/>
    <mergeCell ref="AB227:AE227"/>
    <mergeCell ref="T227:W227"/>
    <mergeCell ref="X227:AA227"/>
    <mergeCell ref="B373:F373"/>
    <mergeCell ref="G373:K373"/>
    <mergeCell ref="L373:P373"/>
    <mergeCell ref="Q373:U373"/>
    <mergeCell ref="AF386:AI386"/>
    <mergeCell ref="B386:L386"/>
    <mergeCell ref="M386:R386"/>
    <mergeCell ref="Y386:AE386"/>
    <mergeCell ref="B383:L384"/>
    <mergeCell ref="G374:K374"/>
    <mergeCell ref="L374:P374"/>
    <mergeCell ref="D402:AJ402"/>
    <mergeCell ref="C392:AJ392"/>
    <mergeCell ref="Q374:U374"/>
    <mergeCell ref="AP236:AS236"/>
    <mergeCell ref="J434:M434"/>
    <mergeCell ref="J435:M435"/>
    <mergeCell ref="N434:Q434"/>
    <mergeCell ref="N435:Q435"/>
    <mergeCell ref="B451:F451"/>
    <mergeCell ref="B452:F452"/>
    <mergeCell ref="G451:K451"/>
    <mergeCell ref="G452:K452"/>
    <mergeCell ref="B430:F430"/>
    <mergeCell ref="AN423:AZ423"/>
    <mergeCell ref="AX236:BA236"/>
    <mergeCell ref="AL230:AO230"/>
    <mergeCell ref="AM467:AY467"/>
    <mergeCell ref="D437:AJ437"/>
    <mergeCell ref="B439:F439"/>
    <mergeCell ref="G439:K439"/>
    <mergeCell ref="L439:P439"/>
    <mergeCell ref="D231:G231"/>
    <mergeCell ref="P231:S231"/>
    <mergeCell ref="AB231:AE231"/>
    <mergeCell ref="T231:W231"/>
    <mergeCell ref="T230:W230"/>
    <mergeCell ref="X230:AA230"/>
    <mergeCell ref="B427:F427"/>
    <mergeCell ref="G427:K427"/>
    <mergeCell ref="L427:P427"/>
    <mergeCell ref="Q427:U427"/>
    <mergeCell ref="V427:Z427"/>
    <mergeCell ref="AA427:AE427"/>
    <mergeCell ref="D432:AJ432"/>
    <mergeCell ref="AE435:AI435"/>
    <mergeCell ref="R434:U434"/>
    <mergeCell ref="AT259:AW259"/>
    <mergeCell ref="AX259:BA259"/>
    <mergeCell ref="P235:S235"/>
    <mergeCell ref="AB235:AE235"/>
    <mergeCell ref="T235:W235"/>
    <mergeCell ref="X235:AA235"/>
    <mergeCell ref="L235:O235"/>
    <mergeCell ref="L409:P409"/>
    <mergeCell ref="AB234:AE234"/>
    <mergeCell ref="Q439:U439"/>
    <mergeCell ref="V439:Z439"/>
    <mergeCell ref="X255:AA255"/>
    <mergeCell ref="B691:AJ691"/>
    <mergeCell ref="B666:L666"/>
    <mergeCell ref="M666:R666"/>
    <mergeCell ref="S666:X666"/>
    <mergeCell ref="Y666:AE666"/>
    <mergeCell ref="AF666:AI666"/>
    <mergeCell ref="B667:L667"/>
    <mergeCell ref="X228:AA228"/>
    <mergeCell ref="D229:G229"/>
    <mergeCell ref="P229:S229"/>
    <mergeCell ref="AB229:AE229"/>
    <mergeCell ref="T229:W229"/>
    <mergeCell ref="R435:U435"/>
    <mergeCell ref="V434:Y434"/>
    <mergeCell ref="V435:Y435"/>
    <mergeCell ref="Z434:AD434"/>
    <mergeCell ref="B440:F440"/>
    <mergeCell ref="G440:K440"/>
    <mergeCell ref="L440:P440"/>
    <mergeCell ref="Q440:U440"/>
    <mergeCell ref="V440:Z440"/>
    <mergeCell ref="B661:L662"/>
    <mergeCell ref="M661:R662"/>
    <mergeCell ref="S661:X662"/>
    <mergeCell ref="P470:AI470"/>
    <mergeCell ref="B664:L664"/>
    <mergeCell ref="M664:R664"/>
    <mergeCell ref="S664:X664"/>
    <mergeCell ref="Y664:AE664"/>
    <mergeCell ref="AF664:AI664"/>
    <mergeCell ref="AA573:AE573"/>
    <mergeCell ref="AF606:AJ606"/>
    <mergeCell ref="B47:AI47"/>
    <mergeCell ref="O120:Y120"/>
    <mergeCell ref="Z120:AF120"/>
    <mergeCell ref="O63:AF63"/>
    <mergeCell ref="O110:Y110"/>
    <mergeCell ref="Z111:AF111"/>
    <mergeCell ref="O112:Y112"/>
    <mergeCell ref="Z113:AF113"/>
    <mergeCell ref="O113:Y113"/>
    <mergeCell ref="Z109:AF109"/>
    <mergeCell ref="O109:Y109"/>
    <mergeCell ref="Z117:AF117"/>
    <mergeCell ref="O117:Y117"/>
    <mergeCell ref="Z118:AF118"/>
    <mergeCell ref="O73:Y73"/>
    <mergeCell ref="D224:G224"/>
    <mergeCell ref="H224:K224"/>
    <mergeCell ref="L224:O224"/>
    <mergeCell ref="P224:S224"/>
    <mergeCell ref="AB224:AE224"/>
    <mergeCell ref="T224:W224"/>
    <mergeCell ref="X224:AA224"/>
    <mergeCell ref="T212:W212"/>
    <mergeCell ref="P211:S212"/>
    <mergeCell ref="AF174:AI174"/>
    <mergeCell ref="AF172:AI172"/>
    <mergeCell ref="X174:AA174"/>
    <mergeCell ref="AB174:AE174"/>
    <mergeCell ref="L174:O174"/>
    <mergeCell ref="P174:S174"/>
    <mergeCell ref="T174:W174"/>
    <mergeCell ref="H215:K215"/>
    <mergeCell ref="KY939:KY940"/>
    <mergeCell ref="D259:G259"/>
    <mergeCell ref="H259:K259"/>
    <mergeCell ref="L259:O259"/>
    <mergeCell ref="P259:S259"/>
    <mergeCell ref="AB259:AE259"/>
    <mergeCell ref="T259:W259"/>
    <mergeCell ref="X259:AA259"/>
    <mergeCell ref="D639:AJ639"/>
    <mergeCell ref="B641:K641"/>
    <mergeCell ref="B487:E487"/>
    <mergeCell ref="P530:AI530"/>
    <mergeCell ref="D644:AJ644"/>
    <mergeCell ref="B646:F646"/>
    <mergeCell ref="G646:K646"/>
    <mergeCell ref="B637:F637"/>
    <mergeCell ref="G637:K637"/>
    <mergeCell ref="A893:AJ893"/>
    <mergeCell ref="B895:AJ895"/>
    <mergeCell ref="M667:R667"/>
    <mergeCell ref="S667:X667"/>
    <mergeCell ref="Y667:AE667"/>
    <mergeCell ref="AF667:AI667"/>
    <mergeCell ref="V762:Z762"/>
    <mergeCell ref="AA762:AE762"/>
    <mergeCell ref="AF762:AI762"/>
    <mergeCell ref="D764:AJ764"/>
    <mergeCell ref="B766:F766"/>
    <mergeCell ref="G766:K766"/>
    <mergeCell ref="B659:AJ659"/>
    <mergeCell ref="B752:AJ752"/>
    <mergeCell ref="Y661:AE662"/>
    <mergeCell ref="G647:K647"/>
    <mergeCell ref="B618:F618"/>
    <mergeCell ref="B619:F619"/>
    <mergeCell ref="B623:F623"/>
    <mergeCell ref="B624:F624"/>
    <mergeCell ref="G623:K623"/>
    <mergeCell ref="G624:K624"/>
    <mergeCell ref="C614:O614"/>
    <mergeCell ref="P614:AI614"/>
    <mergeCell ref="C616:O616"/>
    <mergeCell ref="P616:AI616"/>
    <mergeCell ref="C615:O615"/>
    <mergeCell ref="P615:AI615"/>
    <mergeCell ref="B647:F647"/>
    <mergeCell ref="L629:P629"/>
    <mergeCell ref="V629:Z629"/>
    <mergeCell ref="D634:AJ634"/>
    <mergeCell ref="B636:F636"/>
    <mergeCell ref="G618:K618"/>
    <mergeCell ref="J642:K642"/>
    <mergeCell ref="B642:H642"/>
    <mergeCell ref="AF661:AI662"/>
    <mergeCell ref="G567:K567"/>
    <mergeCell ref="G568:K568"/>
    <mergeCell ref="B176:K176"/>
    <mergeCell ref="Y524:AE524"/>
    <mergeCell ref="AF524:AI524"/>
    <mergeCell ref="B525:L525"/>
    <mergeCell ref="L536:P536"/>
    <mergeCell ref="D539:AJ539"/>
    <mergeCell ref="C528:AJ528"/>
    <mergeCell ref="D534:AJ534"/>
    <mergeCell ref="B536:F536"/>
    <mergeCell ref="G536:K536"/>
    <mergeCell ref="B518:AJ518"/>
    <mergeCell ref="P532:AI532"/>
    <mergeCell ref="C473:O473"/>
    <mergeCell ref="C474:O474"/>
    <mergeCell ref="R479:V479"/>
    <mergeCell ref="W479:AA479"/>
    <mergeCell ref="G537:K537"/>
    <mergeCell ref="P227:S227"/>
    <mergeCell ref="H216:K216"/>
    <mergeCell ref="H217:K217"/>
    <mergeCell ref="L216:O216"/>
    <mergeCell ref="Q185:S185"/>
    <mergeCell ref="Q186:S186"/>
    <mergeCell ref="T187:V187"/>
    <mergeCell ref="L217:O217"/>
    <mergeCell ref="D223:G223"/>
    <mergeCell ref="H223:K223"/>
    <mergeCell ref="L223:O223"/>
    <mergeCell ref="P223:S223"/>
    <mergeCell ref="L368:P368"/>
    <mergeCell ref="B357:AJ357"/>
    <mergeCell ref="C359:AJ359"/>
    <mergeCell ref="L568:P568"/>
    <mergeCell ref="Q567:U567"/>
    <mergeCell ref="Q568:U568"/>
    <mergeCell ref="V567:Z567"/>
    <mergeCell ref="V568:Z568"/>
    <mergeCell ref="B515:F515"/>
    <mergeCell ref="G515:K515"/>
    <mergeCell ref="L515:P515"/>
    <mergeCell ref="Q515:U515"/>
    <mergeCell ref="V515:Z515"/>
    <mergeCell ref="S523:X523"/>
    <mergeCell ref="Y523:AE523"/>
    <mergeCell ref="AF523:AI523"/>
    <mergeCell ref="B524:L524"/>
    <mergeCell ref="M524:R524"/>
    <mergeCell ref="S524:X524"/>
    <mergeCell ref="AE505:AI505"/>
    <mergeCell ref="P555:AI555"/>
    <mergeCell ref="C553:O553"/>
    <mergeCell ref="P553:AI553"/>
    <mergeCell ref="C554:O554"/>
    <mergeCell ref="P554:AI554"/>
    <mergeCell ref="C555:O555"/>
    <mergeCell ref="V563:Z563"/>
    <mergeCell ref="B388:L388"/>
    <mergeCell ref="M388:R388"/>
    <mergeCell ref="S388:X388"/>
    <mergeCell ref="Y388:AE388"/>
    <mergeCell ref="AF388:AI388"/>
    <mergeCell ref="Z435:AD435"/>
    <mergeCell ref="AE434:AI434"/>
    <mergeCell ref="C465:AJ465"/>
    <mergeCell ref="X270:AA270"/>
    <mergeCell ref="O339:T340"/>
    <mergeCell ref="U339:Z340"/>
    <mergeCell ref="D307:AJ307"/>
    <mergeCell ref="O302:T302"/>
    <mergeCell ref="U302:Z302"/>
    <mergeCell ref="B410:F410"/>
    <mergeCell ref="G410:K410"/>
    <mergeCell ref="L410:P410"/>
    <mergeCell ref="Q410:U410"/>
    <mergeCell ref="V410:Z410"/>
    <mergeCell ref="D407:AJ407"/>
    <mergeCell ref="B399:F399"/>
    <mergeCell ref="B400:F400"/>
    <mergeCell ref="Q409:U409"/>
    <mergeCell ref="V409:Z409"/>
    <mergeCell ref="G409:K409"/>
    <mergeCell ref="Y383:AE384"/>
    <mergeCell ref="Q368:U368"/>
    <mergeCell ref="B369:F369"/>
    <mergeCell ref="G369:K369"/>
    <mergeCell ref="L369:P369"/>
    <mergeCell ref="Q369:U369"/>
    <mergeCell ref="D371:AJ371"/>
    <mergeCell ref="B381:AJ381"/>
    <mergeCell ref="D361:AJ361"/>
    <mergeCell ref="B363:F363"/>
    <mergeCell ref="B364:F364"/>
    <mergeCell ref="D366:AJ366"/>
    <mergeCell ref="L514:P514"/>
    <mergeCell ref="Q514:U514"/>
    <mergeCell ref="V514:Z514"/>
    <mergeCell ref="D507:AJ507"/>
    <mergeCell ref="B504:F504"/>
    <mergeCell ref="G504:J504"/>
    <mergeCell ref="Z504:AD504"/>
    <mergeCell ref="K504:O504"/>
    <mergeCell ref="U504:Y504"/>
    <mergeCell ref="H480:L480"/>
    <mergeCell ref="L482:P482"/>
    <mergeCell ref="L483:P483"/>
    <mergeCell ref="R480:V480"/>
    <mergeCell ref="C556:O556"/>
    <mergeCell ref="P472:AI472"/>
    <mergeCell ref="P473:AI473"/>
    <mergeCell ref="P474:AI474"/>
    <mergeCell ref="B479:G479"/>
    <mergeCell ref="AB480:AF480"/>
    <mergeCell ref="D485:AJ485"/>
    <mergeCell ref="C530:O530"/>
    <mergeCell ref="C532:O532"/>
    <mergeCell ref="C499:O499"/>
    <mergeCell ref="C500:O500"/>
    <mergeCell ref="C496:AJ496"/>
    <mergeCell ref="P498:AI498"/>
    <mergeCell ref="H479:L479"/>
    <mergeCell ref="G688:K688"/>
    <mergeCell ref="L688:P688"/>
    <mergeCell ref="Q688:U688"/>
    <mergeCell ref="V688:Z688"/>
    <mergeCell ref="AA688:AE688"/>
    <mergeCell ref="B678:F678"/>
    <mergeCell ref="G678:K678"/>
    <mergeCell ref="L678:P678"/>
    <mergeCell ref="Q678:U678"/>
    <mergeCell ref="V678:Z678"/>
    <mergeCell ref="AA678:AE678"/>
    <mergeCell ref="B493:F493"/>
    <mergeCell ref="G493:K493"/>
    <mergeCell ref="L493:P493"/>
    <mergeCell ref="Q493:U493"/>
    <mergeCell ref="V493:Z493"/>
    <mergeCell ref="C670:AJ670"/>
    <mergeCell ref="C672:O672"/>
    <mergeCell ref="P672:AI672"/>
    <mergeCell ref="D502:AJ502"/>
    <mergeCell ref="AF688:AI688"/>
    <mergeCell ref="D685:AJ685"/>
    <mergeCell ref="B687:F687"/>
    <mergeCell ref="G687:K687"/>
    <mergeCell ref="I510:M510"/>
    <mergeCell ref="I509:M509"/>
    <mergeCell ref="N510:R510"/>
    <mergeCell ref="N509:R509"/>
    <mergeCell ref="P504:T504"/>
    <mergeCell ref="P505:T505"/>
    <mergeCell ref="AE504:AI504"/>
    <mergeCell ref="B677:F677"/>
    <mergeCell ref="L687:P687"/>
    <mergeCell ref="Q687:U687"/>
    <mergeCell ref="V687:Z687"/>
    <mergeCell ref="AA687:AE687"/>
    <mergeCell ref="AF687:AI687"/>
    <mergeCell ref="D675:AJ675"/>
    <mergeCell ref="R487:U487"/>
    <mergeCell ref="V487:Z487"/>
    <mergeCell ref="AA487:AE487"/>
    <mergeCell ref="D490:AJ490"/>
    <mergeCell ref="B492:F492"/>
    <mergeCell ref="G492:K492"/>
    <mergeCell ref="C498:O498"/>
    <mergeCell ref="W480:AA480"/>
    <mergeCell ref="M479:Q479"/>
    <mergeCell ref="M480:Q480"/>
    <mergeCell ref="B683:F683"/>
    <mergeCell ref="G683:K683"/>
    <mergeCell ref="L683:P683"/>
    <mergeCell ref="Q683:U683"/>
    <mergeCell ref="V683:Z683"/>
    <mergeCell ref="AA683:AE683"/>
    <mergeCell ref="AF683:AI683"/>
    <mergeCell ref="AF678:AI678"/>
    <mergeCell ref="D680:AJ680"/>
    <mergeCell ref="B682:F682"/>
    <mergeCell ref="G682:K682"/>
    <mergeCell ref="L682:P682"/>
    <mergeCell ref="Q682:U682"/>
    <mergeCell ref="V682:Z682"/>
    <mergeCell ref="AA682:AE682"/>
    <mergeCell ref="AF682:AI682"/>
    <mergeCell ref="P467:AI467"/>
    <mergeCell ref="L547:P547"/>
    <mergeCell ref="P445:AI445"/>
    <mergeCell ref="P447:AI447"/>
    <mergeCell ref="B541:F541"/>
    <mergeCell ref="B520:L521"/>
    <mergeCell ref="M520:R521"/>
    <mergeCell ref="S520:X521"/>
    <mergeCell ref="B505:F505"/>
    <mergeCell ref="B510:H510"/>
    <mergeCell ref="B509:H509"/>
    <mergeCell ref="AA462:AE462"/>
    <mergeCell ref="B434:E434"/>
    <mergeCell ref="B435:E435"/>
    <mergeCell ref="F434:I434"/>
    <mergeCell ref="F435:I435"/>
    <mergeCell ref="K505:O505"/>
    <mergeCell ref="V492:Z492"/>
    <mergeCell ref="B483:F483"/>
    <mergeCell ref="G483:K483"/>
    <mergeCell ref="R488:U488"/>
    <mergeCell ref="V488:Z488"/>
    <mergeCell ref="AA488:AE488"/>
    <mergeCell ref="L492:P492"/>
    <mergeCell ref="Q492:U492"/>
    <mergeCell ref="AA492:AE492"/>
    <mergeCell ref="AA493:AE493"/>
    <mergeCell ref="P500:AI500"/>
    <mergeCell ref="B514:F514"/>
    <mergeCell ref="AB479:AF479"/>
    <mergeCell ref="B547:F547"/>
    <mergeCell ref="G514:K514"/>
    <mergeCell ref="C673:O673"/>
    <mergeCell ref="P673:AI673"/>
    <mergeCell ref="G677:K677"/>
    <mergeCell ref="L677:P677"/>
    <mergeCell ref="Q677:U677"/>
    <mergeCell ref="V677:Z677"/>
    <mergeCell ref="AA562:AE562"/>
    <mergeCell ref="AF562:AI562"/>
    <mergeCell ref="B568:F568"/>
    <mergeCell ref="G563:K563"/>
    <mergeCell ref="L563:P563"/>
    <mergeCell ref="Q563:U563"/>
    <mergeCell ref="AA677:AE677"/>
    <mergeCell ref="AF677:AI677"/>
    <mergeCell ref="B542:F542"/>
    <mergeCell ref="B663:L663"/>
    <mergeCell ref="M663:R663"/>
    <mergeCell ref="S663:X663"/>
    <mergeCell ref="Y663:AE663"/>
    <mergeCell ref="AF663:AI663"/>
    <mergeCell ref="B632:AJ632"/>
    <mergeCell ref="Q629:U629"/>
    <mergeCell ref="P556:AI556"/>
    <mergeCell ref="C557:O557"/>
    <mergeCell ref="P557:AI557"/>
    <mergeCell ref="C558:O558"/>
    <mergeCell ref="P558:AI558"/>
    <mergeCell ref="AA563:AE563"/>
    <mergeCell ref="AF563:AI563"/>
    <mergeCell ref="D565:AJ565"/>
    <mergeCell ref="Q547:U547"/>
    <mergeCell ref="V547:Z547"/>
    <mergeCell ref="G430:K430"/>
    <mergeCell ref="C467:O467"/>
    <mergeCell ref="C468:O468"/>
    <mergeCell ref="C469:O469"/>
    <mergeCell ref="C470:O470"/>
    <mergeCell ref="C472:O472"/>
    <mergeCell ref="C445:O445"/>
    <mergeCell ref="C446:O446"/>
    <mergeCell ref="C447:O447"/>
    <mergeCell ref="B456:F456"/>
    <mergeCell ref="B457:F457"/>
    <mergeCell ref="AF522:AI522"/>
    <mergeCell ref="B523:L523"/>
    <mergeCell ref="M523:R523"/>
    <mergeCell ref="G505:J505"/>
    <mergeCell ref="Z505:AD505"/>
    <mergeCell ref="F487:I487"/>
    <mergeCell ref="J487:M487"/>
    <mergeCell ref="N487:Q487"/>
    <mergeCell ref="Y520:AE521"/>
    <mergeCell ref="AF520:AI521"/>
    <mergeCell ref="B522:L522"/>
    <mergeCell ref="M522:R522"/>
    <mergeCell ref="S522:X522"/>
    <mergeCell ref="Y522:AE522"/>
    <mergeCell ref="B480:G480"/>
    <mergeCell ref="P475:AI475"/>
    <mergeCell ref="B488:E488"/>
    <mergeCell ref="F488:I488"/>
    <mergeCell ref="J488:M488"/>
    <mergeCell ref="N488:Q488"/>
    <mergeCell ref="C475:O475"/>
    <mergeCell ref="B429:F429"/>
    <mergeCell ref="S387:X387"/>
    <mergeCell ref="Y387:AE387"/>
    <mergeCell ref="AF387:AI387"/>
    <mergeCell ref="L363:P363"/>
    <mergeCell ref="G364:K364"/>
    <mergeCell ref="Q364:U364"/>
    <mergeCell ref="V364:Z364"/>
    <mergeCell ref="L364:P364"/>
    <mergeCell ref="B378:H378"/>
    <mergeCell ref="I378:Q378"/>
    <mergeCell ref="R378:Y378"/>
    <mergeCell ref="B376:H377"/>
    <mergeCell ref="I376:Q377"/>
    <mergeCell ref="AF383:AI384"/>
    <mergeCell ref="S383:X384"/>
    <mergeCell ref="M383:R384"/>
    <mergeCell ref="S385:X385"/>
    <mergeCell ref="S386:X386"/>
    <mergeCell ref="Q363:U363"/>
    <mergeCell ref="V363:Z363"/>
    <mergeCell ref="D397:AJ397"/>
    <mergeCell ref="AF385:AI385"/>
    <mergeCell ref="B385:L385"/>
    <mergeCell ref="M385:R385"/>
    <mergeCell ref="Y385:AE385"/>
    <mergeCell ref="B409:F409"/>
    <mergeCell ref="C394:O394"/>
    <mergeCell ref="P394:AI394"/>
    <mergeCell ref="C395:O395"/>
    <mergeCell ref="P395:AI395"/>
    <mergeCell ref="B387:L387"/>
    <mergeCell ref="B35:AJ37"/>
    <mergeCell ref="B42:AJ44"/>
    <mergeCell ref="B27:AJ30"/>
    <mergeCell ref="G400:K400"/>
    <mergeCell ref="L400:P400"/>
    <mergeCell ref="B405:F405"/>
    <mergeCell ref="G399:K399"/>
    <mergeCell ref="L399:P399"/>
    <mergeCell ref="B404:F404"/>
    <mergeCell ref="P196:R196"/>
    <mergeCell ref="S196:W196"/>
    <mergeCell ref="P198:R198"/>
    <mergeCell ref="S198:W198"/>
    <mergeCell ref="D196:O196"/>
    <mergeCell ref="D198:O198"/>
    <mergeCell ref="X212:AA212"/>
    <mergeCell ref="X213:AA213"/>
    <mergeCell ref="X214:AA214"/>
    <mergeCell ref="X215:AA215"/>
    <mergeCell ref="X216:AA216"/>
    <mergeCell ref="B374:F374"/>
    <mergeCell ref="AB236:AE236"/>
    <mergeCell ref="T236:W236"/>
    <mergeCell ref="X236:AA236"/>
    <mergeCell ref="B290:AJ290"/>
    <mergeCell ref="L236:O236"/>
    <mergeCell ref="H230:K230"/>
    <mergeCell ref="H231:K231"/>
    <mergeCell ref="P232:S232"/>
    <mergeCell ref="AB232:AE232"/>
    <mergeCell ref="T232:W232"/>
    <mergeCell ref="X221:AA221"/>
    <mergeCell ref="D228:G228"/>
    <mergeCell ref="P228:S228"/>
    <mergeCell ref="D233:G233"/>
    <mergeCell ref="D230:G230"/>
    <mergeCell ref="P230:S230"/>
    <mergeCell ref="AB230:AE230"/>
    <mergeCell ref="X232:AA232"/>
    <mergeCell ref="AB228:AE228"/>
    <mergeCell ref="T228:W228"/>
    <mergeCell ref="X231:AA231"/>
    <mergeCell ref="H235:K235"/>
    <mergeCell ref="H236:K236"/>
    <mergeCell ref="L274:O274"/>
    <mergeCell ref="P274:S274"/>
    <mergeCell ref="AB274:AE274"/>
    <mergeCell ref="L238:O238"/>
    <mergeCell ref="X251:AA251"/>
    <mergeCell ref="P237:S237"/>
    <mergeCell ref="AB237:AE237"/>
    <mergeCell ref="P236:S236"/>
    <mergeCell ref="T234:W234"/>
    <mergeCell ref="X234:AA234"/>
    <mergeCell ref="X229:AA229"/>
    <mergeCell ref="D232:G232"/>
    <mergeCell ref="L273:O273"/>
    <mergeCell ref="P273:S273"/>
    <mergeCell ref="AB273:AE273"/>
    <mergeCell ref="T273:W273"/>
    <mergeCell ref="X273:AA273"/>
    <mergeCell ref="X237:AA237"/>
    <mergeCell ref="D240:G240"/>
    <mergeCell ref="H240:K240"/>
    <mergeCell ref="Z116:AF116"/>
    <mergeCell ref="D116:N116"/>
    <mergeCell ref="T274:W274"/>
    <mergeCell ref="X274:AA274"/>
    <mergeCell ref="D277:G277"/>
    <mergeCell ref="H277:K277"/>
    <mergeCell ref="L277:O277"/>
    <mergeCell ref="P277:S277"/>
    <mergeCell ref="AB277:AE277"/>
    <mergeCell ref="T277:W277"/>
    <mergeCell ref="D236:G236"/>
    <mergeCell ref="AF302:AI302"/>
    <mergeCell ref="B167:I167"/>
    <mergeCell ref="B164:K165"/>
    <mergeCell ref="AB165:AE165"/>
    <mergeCell ref="G363:K363"/>
    <mergeCell ref="B299:N300"/>
    <mergeCell ref="O299:T300"/>
    <mergeCell ref="U299:Z300"/>
    <mergeCell ref="AA299:AE300"/>
    <mergeCell ref="AF299:AI300"/>
    <mergeCell ref="AB221:AE221"/>
    <mergeCell ref="D235:G235"/>
    <mergeCell ref="AA302:AE302"/>
    <mergeCell ref="D337:AJ337"/>
    <mergeCell ref="B339:N340"/>
    <mergeCell ref="P233:S233"/>
    <mergeCell ref="AB233:AE233"/>
    <mergeCell ref="P165:S165"/>
    <mergeCell ref="L172:O172"/>
    <mergeCell ref="P172:S172"/>
    <mergeCell ref="T172:W172"/>
    <mergeCell ref="O83:Y83"/>
    <mergeCell ref="O92:Y92"/>
    <mergeCell ref="O93:Y93"/>
    <mergeCell ref="O74:Y74"/>
    <mergeCell ref="O75:Y75"/>
    <mergeCell ref="Z75:AF75"/>
    <mergeCell ref="O76:Y76"/>
    <mergeCell ref="Z76:AF76"/>
    <mergeCell ref="D99:N102"/>
    <mergeCell ref="B60:C76"/>
    <mergeCell ref="B304:AI304"/>
    <mergeCell ref="AA303:AE303"/>
    <mergeCell ref="AF303:AI303"/>
    <mergeCell ref="P221:S221"/>
    <mergeCell ref="O115:Y115"/>
    <mergeCell ref="T233:W233"/>
    <mergeCell ref="X233:AA233"/>
    <mergeCell ref="P243:S243"/>
    <mergeCell ref="AB243:AE243"/>
    <mergeCell ref="T243:W243"/>
    <mergeCell ref="X243:AA243"/>
    <mergeCell ref="P247:S247"/>
    <mergeCell ref="AB247:AE247"/>
    <mergeCell ref="T247:W247"/>
    <mergeCell ref="X247:AA247"/>
    <mergeCell ref="P251:S251"/>
    <mergeCell ref="P238:S238"/>
    <mergeCell ref="T165:W165"/>
    <mergeCell ref="T221:W221"/>
    <mergeCell ref="Z110:AF110"/>
    <mergeCell ref="D221:G221"/>
    <mergeCell ref="B172:I172"/>
    <mergeCell ref="X172:AA172"/>
    <mergeCell ref="AB172:AE172"/>
    <mergeCell ref="D109:N109"/>
    <mergeCell ref="D117:N117"/>
    <mergeCell ref="O125:Y125"/>
    <mergeCell ref="Z121:AF121"/>
    <mergeCell ref="Z122:AF122"/>
    <mergeCell ref="Z124:AF124"/>
    <mergeCell ref="Z125:AF125"/>
    <mergeCell ref="J172:K172"/>
    <mergeCell ref="D216:G216"/>
    <mergeCell ref="P216:S216"/>
    <mergeCell ref="AB216:AE216"/>
    <mergeCell ref="X173:AA173"/>
    <mergeCell ref="AB173:AE173"/>
    <mergeCell ref="AF173:AI173"/>
    <mergeCell ref="L169:O169"/>
    <mergeCell ref="P169:S169"/>
    <mergeCell ref="L214:O214"/>
    <mergeCell ref="L215:O215"/>
    <mergeCell ref="L187:P187"/>
    <mergeCell ref="L188:P188"/>
    <mergeCell ref="T184:V184"/>
    <mergeCell ref="T185:V185"/>
    <mergeCell ref="T186:V186"/>
    <mergeCell ref="Q187:S187"/>
    <mergeCell ref="Q188:S188"/>
    <mergeCell ref="Q184:S184"/>
    <mergeCell ref="D215:G215"/>
    <mergeCell ref="P215:S215"/>
    <mergeCell ref="AB215:AE215"/>
    <mergeCell ref="H211:O211"/>
    <mergeCell ref="D87:N89"/>
    <mergeCell ref="D98:N98"/>
    <mergeCell ref="D103:N103"/>
    <mergeCell ref="B97:C104"/>
    <mergeCell ref="P166:S166"/>
    <mergeCell ref="P167:S167"/>
    <mergeCell ref="O131:Y131"/>
    <mergeCell ref="Z112:AF112"/>
    <mergeCell ref="D115:N115"/>
    <mergeCell ref="B166:I166"/>
    <mergeCell ref="D129:AF129"/>
    <mergeCell ref="D124:N128"/>
    <mergeCell ref="D130:N131"/>
    <mergeCell ref="Z131:AF131"/>
    <mergeCell ref="D134:N135"/>
    <mergeCell ref="O137:AF141"/>
    <mergeCell ref="B171:I171"/>
    <mergeCell ref="J171:K171"/>
    <mergeCell ref="O105:Y105"/>
    <mergeCell ref="Z104:AF104"/>
    <mergeCell ref="L164:W164"/>
    <mergeCell ref="X164:AI164"/>
    <mergeCell ref="L166:O166"/>
    <mergeCell ref="AB167:AE167"/>
    <mergeCell ref="L171:O171"/>
    <mergeCell ref="P171:S171"/>
    <mergeCell ref="T171:W171"/>
    <mergeCell ref="X171:AA171"/>
    <mergeCell ref="AB171:AE171"/>
    <mergeCell ref="AF171:AI171"/>
    <mergeCell ref="AB168:AE168"/>
    <mergeCell ref="AF168:AI168"/>
    <mergeCell ref="D65:AF65"/>
    <mergeCell ref="D106:N106"/>
    <mergeCell ref="O106:Y106"/>
    <mergeCell ref="Z106:AF106"/>
    <mergeCell ref="O91:Y91"/>
    <mergeCell ref="Z91:AF91"/>
    <mergeCell ref="C95:AJ95"/>
    <mergeCell ref="D105:N105"/>
    <mergeCell ref="D110:N110"/>
    <mergeCell ref="D111:N111"/>
    <mergeCell ref="D112:N112"/>
    <mergeCell ref="O111:Y111"/>
    <mergeCell ref="Z92:AF92"/>
    <mergeCell ref="Z93:AF93"/>
    <mergeCell ref="B105:C141"/>
    <mergeCell ref="D132:AF132"/>
    <mergeCell ref="Z66:AF66"/>
    <mergeCell ref="O68:Y68"/>
    <mergeCell ref="Z68:AF68"/>
    <mergeCell ref="O66:Y66"/>
    <mergeCell ref="Z77:AF77"/>
    <mergeCell ref="Z79:AF79"/>
    <mergeCell ref="Z80:AF80"/>
    <mergeCell ref="Z83:AF83"/>
    <mergeCell ref="O70:Y70"/>
    <mergeCell ref="O71:Y71"/>
    <mergeCell ref="Z82:AF82"/>
    <mergeCell ref="O77:Y77"/>
    <mergeCell ref="O79:Y79"/>
    <mergeCell ref="O80:Y80"/>
    <mergeCell ref="D85:N86"/>
    <mergeCell ref="D81:N83"/>
    <mergeCell ref="A2:M2"/>
    <mergeCell ref="N2:Z2"/>
    <mergeCell ref="AA2:AJ2"/>
    <mergeCell ref="O135:Y135"/>
    <mergeCell ref="Z135:AF135"/>
    <mergeCell ref="A798:AJ798"/>
    <mergeCell ref="B800:AI800"/>
    <mergeCell ref="D804:AJ804"/>
    <mergeCell ref="X217:AA217"/>
    <mergeCell ref="X218:AA218"/>
    <mergeCell ref="L173:O173"/>
    <mergeCell ref="P173:S173"/>
    <mergeCell ref="C179:AJ179"/>
    <mergeCell ref="T215:W215"/>
    <mergeCell ref="T216:W216"/>
    <mergeCell ref="D214:G214"/>
    <mergeCell ref="P214:S214"/>
    <mergeCell ref="L213:O213"/>
    <mergeCell ref="H213:K213"/>
    <mergeCell ref="H214:K214"/>
    <mergeCell ref="X165:AA165"/>
    <mergeCell ref="L168:O168"/>
    <mergeCell ref="P168:S168"/>
    <mergeCell ref="T168:W168"/>
    <mergeCell ref="X168:AA168"/>
    <mergeCell ref="B170:I170"/>
    <mergeCell ref="A3:M3"/>
    <mergeCell ref="D68:N70"/>
    <mergeCell ref="O88:Y88"/>
    <mergeCell ref="O89:Y89"/>
    <mergeCell ref="Z87:AF87"/>
    <mergeCell ref="Z88:AF88"/>
    <mergeCell ref="B810:AI810"/>
    <mergeCell ref="C802:AJ802"/>
    <mergeCell ref="A13:AJ13"/>
    <mergeCell ref="B56:AJ56"/>
    <mergeCell ref="C58:AJ58"/>
    <mergeCell ref="J173:K173"/>
    <mergeCell ref="L176:O176"/>
    <mergeCell ref="C190:AJ190"/>
    <mergeCell ref="E183:K184"/>
    <mergeCell ref="E185:K185"/>
    <mergeCell ref="E186:K186"/>
    <mergeCell ref="E187:K187"/>
    <mergeCell ref="AF167:AI167"/>
    <mergeCell ref="AF165:AI165"/>
    <mergeCell ref="A6:Z6"/>
    <mergeCell ref="A7:Z7"/>
    <mergeCell ref="D97:N97"/>
    <mergeCell ref="O116:Y116"/>
    <mergeCell ref="Z126:AF126"/>
    <mergeCell ref="O61:AF61"/>
    <mergeCell ref="O86:Y86"/>
    <mergeCell ref="D137:N141"/>
    <mergeCell ref="O134:Y134"/>
    <mergeCell ref="Z134:AF134"/>
    <mergeCell ref="O118:Y118"/>
    <mergeCell ref="D120:N122"/>
    <mergeCell ref="O121:Y121"/>
    <mergeCell ref="Z71:AF71"/>
    <mergeCell ref="Z89:AF89"/>
    <mergeCell ref="D72:AF72"/>
    <mergeCell ref="D84:AF84"/>
    <mergeCell ref="Y64:AF64"/>
    <mergeCell ref="N3:Z3"/>
    <mergeCell ref="AA3:AJ4"/>
    <mergeCell ref="A4:M4"/>
    <mergeCell ref="N4:Z4"/>
    <mergeCell ref="A5:Z5"/>
    <mergeCell ref="AA5:AJ5"/>
    <mergeCell ref="AA6:AH6"/>
    <mergeCell ref="AI6:AJ6"/>
    <mergeCell ref="A8:Z8"/>
    <mergeCell ref="A11:AJ11"/>
    <mergeCell ref="D805:AJ805"/>
    <mergeCell ref="D806:AJ806"/>
    <mergeCell ref="O98:Y98"/>
    <mergeCell ref="Z97:AF97"/>
    <mergeCell ref="Z98:AF98"/>
    <mergeCell ref="Z99:AF99"/>
    <mergeCell ref="Z100:AF100"/>
    <mergeCell ref="Z101:AF101"/>
    <mergeCell ref="Z103:AF103"/>
    <mergeCell ref="D113:N113"/>
    <mergeCell ref="O90:Y90"/>
    <mergeCell ref="O102:Y102"/>
    <mergeCell ref="Z90:AF90"/>
    <mergeCell ref="Z102:AF102"/>
    <mergeCell ref="O62:AF62"/>
    <mergeCell ref="O103:Y103"/>
    <mergeCell ref="O64:U64"/>
    <mergeCell ref="L165:O165"/>
    <mergeCell ref="T169:W169"/>
    <mergeCell ref="X169:AA169"/>
    <mergeCell ref="AB169:AE169"/>
    <mergeCell ref="V64:X64"/>
    <mergeCell ref="Z86:AF86"/>
    <mergeCell ref="O87:Y87"/>
    <mergeCell ref="D118:N118"/>
    <mergeCell ref="T173:W173"/>
    <mergeCell ref="B158:AJ158"/>
    <mergeCell ref="C160:AJ160"/>
    <mergeCell ref="D162:AJ162"/>
    <mergeCell ref="AB214:AE214"/>
    <mergeCell ref="J166:K166"/>
    <mergeCell ref="J167:K167"/>
    <mergeCell ref="J168:K168"/>
    <mergeCell ref="D211:G212"/>
    <mergeCell ref="O126:Y126"/>
    <mergeCell ref="O127:Y127"/>
    <mergeCell ref="Z67:AF67"/>
    <mergeCell ref="O67:Y67"/>
    <mergeCell ref="D77:N80"/>
    <mergeCell ref="O81:AF81"/>
    <mergeCell ref="Z69:AF69"/>
    <mergeCell ref="Z70:AF70"/>
    <mergeCell ref="O69:Y69"/>
    <mergeCell ref="Z73:AF73"/>
    <mergeCell ref="Z74:AF74"/>
    <mergeCell ref="O130:Y130"/>
    <mergeCell ref="D90:N93"/>
    <mergeCell ref="L167:O167"/>
    <mergeCell ref="T166:W166"/>
    <mergeCell ref="X166:AA166"/>
    <mergeCell ref="AB166:AE166"/>
    <mergeCell ref="AF166:AI166"/>
    <mergeCell ref="T167:W167"/>
    <mergeCell ref="X167:AA167"/>
    <mergeCell ref="B15:AI15"/>
    <mergeCell ref="B33:AI33"/>
    <mergeCell ref="B25:AI25"/>
    <mergeCell ref="AF169:AI169"/>
    <mergeCell ref="L170:O170"/>
    <mergeCell ref="P170:S170"/>
    <mergeCell ref="T170:W170"/>
    <mergeCell ref="X170:AA170"/>
    <mergeCell ref="AB170:AE170"/>
    <mergeCell ref="AF170:AI170"/>
    <mergeCell ref="D872:AJ872"/>
    <mergeCell ref="D873:AJ873"/>
    <mergeCell ref="D874:AJ874"/>
    <mergeCell ref="D875:AJ875"/>
    <mergeCell ref="D879:AJ879"/>
    <mergeCell ref="D880:AJ880"/>
    <mergeCell ref="D861:AJ861"/>
    <mergeCell ref="D862:AJ862"/>
    <mergeCell ref="D866:AJ866"/>
    <mergeCell ref="D867:AJ867"/>
    <mergeCell ref="C842:AJ842"/>
    <mergeCell ref="B849:AJ849"/>
    <mergeCell ref="C851:AJ851"/>
    <mergeCell ref="D60:N60"/>
    <mergeCell ref="D64:N64"/>
    <mergeCell ref="D66:N66"/>
    <mergeCell ref="D67:N67"/>
    <mergeCell ref="D61:N63"/>
    <mergeCell ref="D73:N74"/>
    <mergeCell ref="D75:N76"/>
    <mergeCell ref="D71:N71"/>
    <mergeCell ref="A54:AJ54"/>
    <mergeCell ref="AN957:BS958"/>
    <mergeCell ref="AN960:BS961"/>
    <mergeCell ref="AN963:BS964"/>
    <mergeCell ref="AN966:BS967"/>
    <mergeCell ref="D939:AJ940"/>
    <mergeCell ref="AM939:BS940"/>
    <mergeCell ref="D877:AJ877"/>
    <mergeCell ref="D878:AJ878"/>
    <mergeCell ref="B884:AJ884"/>
    <mergeCell ref="D906:AJ906"/>
    <mergeCell ref="D907:AJ907"/>
    <mergeCell ref="D908:AJ908"/>
    <mergeCell ref="D909:AJ909"/>
    <mergeCell ref="D910:AJ910"/>
    <mergeCell ref="D901:AJ901"/>
    <mergeCell ref="D902:AJ902"/>
    <mergeCell ref="D903:AJ903"/>
    <mergeCell ref="D904:AJ904"/>
    <mergeCell ref="D905:AJ905"/>
    <mergeCell ref="B915:AJ915"/>
    <mergeCell ref="C917:AJ921"/>
    <mergeCell ref="D923:AJ926"/>
    <mergeCell ref="AM928:BS937"/>
    <mergeCell ref="C897:AJ897"/>
    <mergeCell ref="AL917:BS921"/>
    <mergeCell ref="AM923:BS926"/>
    <mergeCell ref="H212:K212"/>
    <mergeCell ref="L212:O212"/>
    <mergeCell ref="J169:K169"/>
    <mergeCell ref="J170:K170"/>
    <mergeCell ref="H219:K219"/>
    <mergeCell ref="H220:K220"/>
    <mergeCell ref="H221:K221"/>
    <mergeCell ref="H227:K227"/>
    <mergeCell ref="T223:W223"/>
    <mergeCell ref="X223:AA223"/>
    <mergeCell ref="D225:G225"/>
    <mergeCell ref="H225:K225"/>
    <mergeCell ref="L225:O225"/>
    <mergeCell ref="P225:S225"/>
    <mergeCell ref="AB225:AE225"/>
    <mergeCell ref="T219:W219"/>
    <mergeCell ref="D220:G220"/>
    <mergeCell ref="B173:I173"/>
    <mergeCell ref="B174:K174"/>
    <mergeCell ref="D213:G213"/>
    <mergeCell ref="P213:S213"/>
    <mergeCell ref="X225:AA225"/>
    <mergeCell ref="D219:G219"/>
    <mergeCell ref="P219:S219"/>
    <mergeCell ref="AB219:AE219"/>
    <mergeCell ref="D218:G218"/>
    <mergeCell ref="P218:S218"/>
    <mergeCell ref="AB218:AE218"/>
    <mergeCell ref="D217:G217"/>
    <mergeCell ref="P217:S217"/>
    <mergeCell ref="AB217:AE217"/>
    <mergeCell ref="D227:G227"/>
    <mergeCell ref="P220:S220"/>
    <mergeCell ref="AB220:AE220"/>
    <mergeCell ref="T220:W220"/>
    <mergeCell ref="B301:N301"/>
    <mergeCell ref="O301:T301"/>
    <mergeCell ref="U301:Z301"/>
    <mergeCell ref="AA301:AE301"/>
    <mergeCell ref="AF301:AI301"/>
    <mergeCell ref="AF322:AI322"/>
    <mergeCell ref="B302:N302"/>
    <mergeCell ref="AA339:AE340"/>
    <mergeCell ref="AF339:AI340"/>
    <mergeCell ref="B341:N341"/>
    <mergeCell ref="O341:T341"/>
    <mergeCell ref="AF332:AI332"/>
    <mergeCell ref="T251:W251"/>
    <mergeCell ref="O322:T322"/>
    <mergeCell ref="AA333:AE333"/>
    <mergeCell ref="H232:K232"/>
    <mergeCell ref="H233:K233"/>
    <mergeCell ref="H234:K234"/>
    <mergeCell ref="L221:O221"/>
    <mergeCell ref="L227:O227"/>
    <mergeCell ref="L228:O228"/>
    <mergeCell ref="L229:O229"/>
    <mergeCell ref="L230:O230"/>
    <mergeCell ref="L231:O231"/>
    <mergeCell ref="L232:O232"/>
    <mergeCell ref="L233:O233"/>
    <mergeCell ref="L234:O234"/>
    <mergeCell ref="U322:Z322"/>
    <mergeCell ref="B334:AI334"/>
    <mergeCell ref="D297:AJ297"/>
    <mergeCell ref="AA322:AE322"/>
    <mergeCell ref="D273:G273"/>
    <mergeCell ref="H273:K273"/>
    <mergeCell ref="H276:K276"/>
    <mergeCell ref="L276:O276"/>
    <mergeCell ref="P276:S276"/>
    <mergeCell ref="AB276:AE276"/>
    <mergeCell ref="T276:W276"/>
    <mergeCell ref="X276:AA276"/>
    <mergeCell ref="X277:AA277"/>
    <mergeCell ref="H228:K228"/>
    <mergeCell ref="H229:K229"/>
    <mergeCell ref="U505:Y505"/>
    <mergeCell ref="D512:AJ512"/>
    <mergeCell ref="M525:R525"/>
    <mergeCell ref="S525:X525"/>
    <mergeCell ref="Y525:AE525"/>
    <mergeCell ref="AF525:AI525"/>
    <mergeCell ref="P446:AI446"/>
    <mergeCell ref="P499:AI499"/>
    <mergeCell ref="D477:AJ477"/>
    <mergeCell ref="B482:F482"/>
    <mergeCell ref="G482:K482"/>
    <mergeCell ref="M387:R387"/>
    <mergeCell ref="C347:AJ354"/>
    <mergeCell ref="AF312:AI312"/>
    <mergeCell ref="B319:N320"/>
    <mergeCell ref="O319:T320"/>
    <mergeCell ref="U319:Z320"/>
    <mergeCell ref="AA319:AE320"/>
    <mergeCell ref="AF319:AI320"/>
    <mergeCell ref="B321:N321"/>
    <mergeCell ref="D317:AJ317"/>
    <mergeCell ref="D327:AJ327"/>
    <mergeCell ref="O321:T321"/>
    <mergeCell ref="U321:Z321"/>
    <mergeCell ref="AA321:AE321"/>
    <mergeCell ref="AF321:AI321"/>
    <mergeCell ref="B322:N322"/>
    <mergeCell ref="U341:Z341"/>
    <mergeCell ref="R376:Y377"/>
    <mergeCell ref="B368:F368"/>
    <mergeCell ref="G368:K368"/>
    <mergeCell ref="G426:K426"/>
    <mergeCell ref="L426:P426"/>
    <mergeCell ref="Q426:U426"/>
    <mergeCell ref="V426:Z426"/>
    <mergeCell ref="AA426:AE426"/>
    <mergeCell ref="P418:AI418"/>
    <mergeCell ref="P419:AI419"/>
    <mergeCell ref="P415:AI415"/>
    <mergeCell ref="C417:O417"/>
    <mergeCell ref="C418:O418"/>
    <mergeCell ref="C419:O419"/>
    <mergeCell ref="C420:O420"/>
    <mergeCell ref="C421:O421"/>
    <mergeCell ref="C422:O422"/>
    <mergeCell ref="P416:AI416"/>
    <mergeCell ref="P420:AI420"/>
    <mergeCell ref="P421:AI421"/>
    <mergeCell ref="P422:AI422"/>
    <mergeCell ref="P417:AI417"/>
    <mergeCell ref="C416:O416"/>
    <mergeCell ref="L607:P607"/>
    <mergeCell ref="Q607:U607"/>
    <mergeCell ref="AA607:AE607"/>
    <mergeCell ref="D596:AJ596"/>
    <mergeCell ref="P583:AI583"/>
    <mergeCell ref="C584:O584"/>
    <mergeCell ref="P585:AI585"/>
    <mergeCell ref="G562:K562"/>
    <mergeCell ref="L562:P562"/>
    <mergeCell ref="Q562:U562"/>
    <mergeCell ref="V562:Z562"/>
    <mergeCell ref="R599:U599"/>
    <mergeCell ref="V599:Y599"/>
    <mergeCell ref="AD599:AG599"/>
    <mergeCell ref="C580:O580"/>
    <mergeCell ref="P580:AI580"/>
    <mergeCell ref="C581:O581"/>
    <mergeCell ref="P581:AI581"/>
    <mergeCell ref="C576:AJ576"/>
    <mergeCell ref="D588:AJ588"/>
    <mergeCell ref="C582:O582"/>
    <mergeCell ref="P582:AI582"/>
    <mergeCell ref="G573:K573"/>
    <mergeCell ref="L573:P573"/>
    <mergeCell ref="V573:Z573"/>
    <mergeCell ref="G593:K593"/>
    <mergeCell ref="B590:F590"/>
    <mergeCell ref="B594:F594"/>
    <mergeCell ref="G594:K594"/>
    <mergeCell ref="B591:F591"/>
    <mergeCell ref="B573:F573"/>
    <mergeCell ref="V572:Z572"/>
    <mergeCell ref="B1080:O1080"/>
    <mergeCell ref="C443:AJ443"/>
    <mergeCell ref="D449:AJ449"/>
    <mergeCell ref="D454:AJ454"/>
    <mergeCell ref="D459:AJ459"/>
    <mergeCell ref="B461:F461"/>
    <mergeCell ref="G461:K461"/>
    <mergeCell ref="L461:P461"/>
    <mergeCell ref="Q461:U461"/>
    <mergeCell ref="V461:Z461"/>
    <mergeCell ref="B462:F462"/>
    <mergeCell ref="G462:K462"/>
    <mergeCell ref="L462:P462"/>
    <mergeCell ref="Q462:U462"/>
    <mergeCell ref="V462:Z462"/>
    <mergeCell ref="C754:AJ754"/>
    <mergeCell ref="D759:AJ759"/>
    <mergeCell ref="B761:F761"/>
    <mergeCell ref="G761:K761"/>
    <mergeCell ref="L761:P761"/>
    <mergeCell ref="Q761:U761"/>
    <mergeCell ref="V761:Z761"/>
    <mergeCell ref="AA761:AE761"/>
    <mergeCell ref="AF761:AI761"/>
    <mergeCell ref="C757:O757"/>
    <mergeCell ref="P757:AI757"/>
    <mergeCell ref="B762:F762"/>
    <mergeCell ref="G762:K762"/>
    <mergeCell ref="L762:P762"/>
    <mergeCell ref="Q762:U762"/>
    <mergeCell ref="G636:K636"/>
    <mergeCell ref="B767:F767"/>
    <mergeCell ref="B1078:O1078"/>
    <mergeCell ref="B1079:O1079"/>
    <mergeCell ref="G767:K767"/>
    <mergeCell ref="L767:P767"/>
    <mergeCell ref="Q767:U767"/>
    <mergeCell ref="V767:Z767"/>
    <mergeCell ref="AA767:AE767"/>
    <mergeCell ref="AF767:AI767"/>
    <mergeCell ref="D769:AJ769"/>
    <mergeCell ref="B771:F771"/>
    <mergeCell ref="B996:Q996"/>
    <mergeCell ref="R996:W996"/>
    <mergeCell ref="X996:AC996"/>
    <mergeCell ref="AD996:AI996"/>
    <mergeCell ref="AD598:AG598"/>
    <mergeCell ref="B601:F601"/>
    <mergeCell ref="L766:P766"/>
    <mergeCell ref="Q766:U766"/>
    <mergeCell ref="V766:Z766"/>
    <mergeCell ref="AA766:AE766"/>
    <mergeCell ref="AF766:AI766"/>
    <mergeCell ref="AD993:AI993"/>
    <mergeCell ref="X974:AC974"/>
    <mergeCell ref="R974:W974"/>
    <mergeCell ref="B974:Q974"/>
    <mergeCell ref="B975:Q975"/>
    <mergeCell ref="R975:W975"/>
    <mergeCell ref="D876:AJ876"/>
    <mergeCell ref="B688:F688"/>
    <mergeCell ref="B629:F629"/>
    <mergeCell ref="G629:K629"/>
    <mergeCell ref="B607:F607"/>
    <mergeCell ref="B40:AI40"/>
    <mergeCell ref="D604:AJ604"/>
    <mergeCell ref="B606:F606"/>
    <mergeCell ref="L606:P606"/>
    <mergeCell ref="Q606:U606"/>
    <mergeCell ref="AA606:AE606"/>
    <mergeCell ref="L590:P590"/>
    <mergeCell ref="V590:Z590"/>
    <mergeCell ref="L593:P593"/>
    <mergeCell ref="AA590:AE590"/>
    <mergeCell ref="V591:Z591"/>
    <mergeCell ref="L594:P594"/>
    <mergeCell ref="AA591:AE591"/>
    <mergeCell ref="C578:O578"/>
    <mergeCell ref="P578:AI578"/>
    <mergeCell ref="C579:O579"/>
    <mergeCell ref="P579:AI579"/>
    <mergeCell ref="C550:AJ550"/>
    <mergeCell ref="D560:AJ560"/>
    <mergeCell ref="D544:AJ544"/>
    <mergeCell ref="B546:F546"/>
    <mergeCell ref="G546:K546"/>
    <mergeCell ref="L546:P546"/>
    <mergeCell ref="Q546:U546"/>
    <mergeCell ref="V546:Z546"/>
    <mergeCell ref="B537:F537"/>
    <mergeCell ref="L537:P537"/>
    <mergeCell ref="AA313:AE313"/>
    <mergeCell ref="AF313:AI313"/>
    <mergeCell ref="B314:AI314"/>
    <mergeCell ref="B567:F567"/>
    <mergeCell ref="AA312:AE312"/>
    <mergeCell ref="Q715:U715"/>
    <mergeCell ref="V715:Z715"/>
    <mergeCell ref="AA715:AE715"/>
    <mergeCell ref="AF715:AI715"/>
    <mergeCell ref="AA323:AE323"/>
    <mergeCell ref="AF323:AI323"/>
    <mergeCell ref="B324:AI324"/>
    <mergeCell ref="B329:N330"/>
    <mergeCell ref="O329:T330"/>
    <mergeCell ref="U329:Z330"/>
    <mergeCell ref="AA329:AE330"/>
    <mergeCell ref="AF329:AI330"/>
    <mergeCell ref="B331:N331"/>
    <mergeCell ref="O331:T331"/>
    <mergeCell ref="U331:Z331"/>
    <mergeCell ref="AA331:AE331"/>
    <mergeCell ref="G590:K590"/>
    <mergeCell ref="C586:O586"/>
    <mergeCell ref="P586:AI586"/>
    <mergeCell ref="P584:AI584"/>
    <mergeCell ref="C585:O585"/>
    <mergeCell ref="L618:P618"/>
    <mergeCell ref="G619:K619"/>
    <mergeCell ref="L619:P619"/>
    <mergeCell ref="D621:AJ621"/>
    <mergeCell ref="D626:AJ626"/>
    <mergeCell ref="B628:F628"/>
    <mergeCell ref="G628:K628"/>
    <mergeCell ref="L628:P628"/>
    <mergeCell ref="Q628:U628"/>
    <mergeCell ref="AA714:AE714"/>
    <mergeCell ref="D612:AJ612"/>
    <mergeCell ref="B715:F715"/>
    <mergeCell ref="C756:O756"/>
    <mergeCell ref="P756:AI756"/>
    <mergeCell ref="C731:AJ731"/>
    <mergeCell ref="C733:O733"/>
    <mergeCell ref="P733:AI733"/>
    <mergeCell ref="C734:O734"/>
    <mergeCell ref="P734:AI734"/>
    <mergeCell ref="G547:K547"/>
    <mergeCell ref="B599:E599"/>
    <mergeCell ref="J599:M599"/>
    <mergeCell ref="Q573:U573"/>
    <mergeCell ref="D570:AJ570"/>
    <mergeCell ref="B572:F572"/>
    <mergeCell ref="G572:K572"/>
    <mergeCell ref="L572:P572"/>
    <mergeCell ref="Q572:U572"/>
    <mergeCell ref="V628:Z628"/>
    <mergeCell ref="B598:E598"/>
    <mergeCell ref="G591:K591"/>
    <mergeCell ref="Q590:U590"/>
    <mergeCell ref="C583:O583"/>
    <mergeCell ref="J598:M598"/>
    <mergeCell ref="R598:U598"/>
    <mergeCell ref="V598:Y598"/>
    <mergeCell ref="B602:F602"/>
    <mergeCell ref="L591:P591"/>
    <mergeCell ref="Q591:U591"/>
    <mergeCell ref="B593:F593"/>
    <mergeCell ref="C610:AJ610"/>
    <mergeCell ref="G715:K715"/>
    <mergeCell ref="L715:P715"/>
    <mergeCell ref="B17:AJ22"/>
    <mergeCell ref="C292:AJ294"/>
    <mergeCell ref="B309:N310"/>
    <mergeCell ref="O309:T310"/>
    <mergeCell ref="U309:Z310"/>
    <mergeCell ref="AA309:AE310"/>
    <mergeCell ref="AF309:AI310"/>
    <mergeCell ref="B311:N311"/>
    <mergeCell ref="O311:T311"/>
    <mergeCell ref="U311:Z311"/>
    <mergeCell ref="AA311:AE311"/>
    <mergeCell ref="AF311:AI311"/>
    <mergeCell ref="B312:N312"/>
    <mergeCell ref="O312:T312"/>
    <mergeCell ref="U312:Z312"/>
    <mergeCell ref="Y725:AE725"/>
    <mergeCell ref="AF725:AI725"/>
    <mergeCell ref="C413:AJ413"/>
    <mergeCell ref="D424:AJ424"/>
    <mergeCell ref="AA332:AE332"/>
    <mergeCell ref="AF333:AI333"/>
    <mergeCell ref="B426:F426"/>
    <mergeCell ref="C702:AJ702"/>
    <mergeCell ref="AA341:AE341"/>
    <mergeCell ref="AF341:AI341"/>
    <mergeCell ref="C650:AJ656"/>
    <mergeCell ref="D712:AJ712"/>
    <mergeCell ref="B714:F714"/>
    <mergeCell ref="G714:K714"/>
    <mergeCell ref="L714:P714"/>
    <mergeCell ref="Q714:U714"/>
    <mergeCell ref="V714:Z714"/>
    <mergeCell ref="GZ928:IF937"/>
    <mergeCell ref="GZ945:IF946"/>
    <mergeCell ref="B313:Z313"/>
    <mergeCell ref="B323:Z323"/>
    <mergeCell ref="B333:Z333"/>
    <mergeCell ref="B343:Z343"/>
    <mergeCell ref="B342:N342"/>
    <mergeCell ref="O342:T342"/>
    <mergeCell ref="U342:Z342"/>
    <mergeCell ref="AA342:AE342"/>
    <mergeCell ref="AF342:AI342"/>
    <mergeCell ref="AA343:AE343"/>
    <mergeCell ref="AF343:AI343"/>
    <mergeCell ref="B344:AI344"/>
    <mergeCell ref="B744:F744"/>
    <mergeCell ref="G744:K744"/>
    <mergeCell ref="L744:P744"/>
    <mergeCell ref="Q744:U744"/>
    <mergeCell ref="V744:Z744"/>
    <mergeCell ref="AF331:AI331"/>
    <mergeCell ref="B332:N332"/>
    <mergeCell ref="O332:T332"/>
    <mergeCell ref="U332:Z332"/>
    <mergeCell ref="D736:AJ736"/>
    <mergeCell ref="B738:F738"/>
    <mergeCell ref="G738:K738"/>
    <mergeCell ref="L738:P738"/>
    <mergeCell ref="Q738:U738"/>
    <mergeCell ref="V738:Z738"/>
    <mergeCell ref="AA738:AE738"/>
    <mergeCell ref="AF738:AI738"/>
    <mergeCell ref="L710:P710"/>
    <mergeCell ref="V710:Z710"/>
    <mergeCell ref="CN948:EE949"/>
    <mergeCell ref="CN951:EE952"/>
    <mergeCell ref="FR957:GW958"/>
    <mergeCell ref="FR960:GW961"/>
    <mergeCell ref="FR963:GW964"/>
    <mergeCell ref="FR966:GW967"/>
    <mergeCell ref="EI948:FN949"/>
    <mergeCell ref="EI951:FN952"/>
    <mergeCell ref="EI957:FN958"/>
    <mergeCell ref="EI963:FN964"/>
    <mergeCell ref="EI966:FN967"/>
    <mergeCell ref="AA795:AE795"/>
    <mergeCell ref="AF795:AI795"/>
    <mergeCell ref="G790:K790"/>
    <mergeCell ref="L790:P790"/>
    <mergeCell ref="AF748:AI748"/>
    <mergeCell ref="AA744:AE744"/>
    <mergeCell ref="AF744:AI744"/>
    <mergeCell ref="B728:L728"/>
    <mergeCell ref="M728:R728"/>
    <mergeCell ref="S728:X728"/>
    <mergeCell ref="Y728:AE728"/>
    <mergeCell ref="AF728:AI728"/>
    <mergeCell ref="S725:X725"/>
    <mergeCell ref="AA710:AE710"/>
    <mergeCell ref="AF710:AI710"/>
    <mergeCell ref="AF772:AI772"/>
    <mergeCell ref="B726:L726"/>
    <mergeCell ref="B772:F772"/>
    <mergeCell ref="G772:K772"/>
    <mergeCell ref="AF714:AI714"/>
    <mergeCell ref="IJ954:JO955"/>
    <mergeCell ref="JR942:KX943"/>
    <mergeCell ref="FQ939:GW940"/>
    <mergeCell ref="GZ939:IF940"/>
    <mergeCell ref="II939:JO940"/>
    <mergeCell ref="JR923:KX926"/>
    <mergeCell ref="JS948:KX949"/>
    <mergeCell ref="EH945:FN946"/>
    <mergeCell ref="HA948:IF949"/>
    <mergeCell ref="HA951:IF952"/>
    <mergeCell ref="HA954:IF955"/>
    <mergeCell ref="JR939:KX940"/>
    <mergeCell ref="GY917:IF921"/>
    <mergeCell ref="GZ923:IF926"/>
    <mergeCell ref="D717:AJ717"/>
    <mergeCell ref="B719:F719"/>
    <mergeCell ref="G719:K719"/>
    <mergeCell ref="L719:P719"/>
    <mergeCell ref="Q719:U719"/>
    <mergeCell ref="V748:Z748"/>
    <mergeCell ref="AA748:AE748"/>
    <mergeCell ref="B785:F785"/>
    <mergeCell ref="G785:K785"/>
    <mergeCell ref="L785:P785"/>
    <mergeCell ref="Q785:U785"/>
    <mergeCell ref="V785:Z785"/>
    <mergeCell ref="AA785:AE785"/>
    <mergeCell ref="AF785:AI785"/>
    <mergeCell ref="AN954:BS955"/>
    <mergeCell ref="E824:AJ824"/>
    <mergeCell ref="D820:AJ820"/>
    <mergeCell ref="D807:AJ807"/>
    <mergeCell ref="HA966:IF967"/>
    <mergeCell ref="FR948:GW949"/>
    <mergeCell ref="FR951:GW952"/>
    <mergeCell ref="FR954:GW955"/>
    <mergeCell ref="JR945:KX946"/>
    <mergeCell ref="IJ957:JO958"/>
    <mergeCell ref="IJ960:JO961"/>
    <mergeCell ref="IJ966:JO967"/>
    <mergeCell ref="C869:AJ870"/>
    <mergeCell ref="C886:AJ887"/>
    <mergeCell ref="D889:AJ890"/>
    <mergeCell ref="IH917:JO921"/>
    <mergeCell ref="JS960:KX961"/>
    <mergeCell ref="JS963:KX964"/>
    <mergeCell ref="JS966:KX967"/>
    <mergeCell ref="CL917:EE921"/>
    <mergeCell ref="CM923:EE926"/>
    <mergeCell ref="CM928:EE937"/>
    <mergeCell ref="CM945:EE946"/>
    <mergeCell ref="EG917:FN921"/>
    <mergeCell ref="EH923:FN926"/>
    <mergeCell ref="EH928:FN937"/>
    <mergeCell ref="EI954:FN955"/>
    <mergeCell ref="FP917:GW921"/>
    <mergeCell ref="FQ942:GW943"/>
    <mergeCell ref="GZ942:IF943"/>
    <mergeCell ref="II942:JO943"/>
    <mergeCell ref="JS951:KX952"/>
    <mergeCell ref="JS954:KX955"/>
    <mergeCell ref="JQ917:KX921"/>
    <mergeCell ref="JR928:KX937"/>
    <mergeCell ref="II923:JO926"/>
    <mergeCell ref="P705:AI705"/>
    <mergeCell ref="D707:AJ707"/>
    <mergeCell ref="FQ923:GW926"/>
    <mergeCell ref="FQ928:GW937"/>
    <mergeCell ref="FQ945:GW946"/>
    <mergeCell ref="CM939:EE940"/>
    <mergeCell ref="EH939:FN940"/>
    <mergeCell ref="B794:F794"/>
    <mergeCell ref="G794:K794"/>
    <mergeCell ref="L794:P794"/>
    <mergeCell ref="Q794:U794"/>
    <mergeCell ref="AA794:AE794"/>
    <mergeCell ref="AF794:AI794"/>
    <mergeCell ref="B795:F795"/>
    <mergeCell ref="C812:AJ813"/>
    <mergeCell ref="D815:AJ817"/>
    <mergeCell ref="D818:AJ819"/>
    <mergeCell ref="E822:AJ823"/>
    <mergeCell ref="F826:AJ827"/>
    <mergeCell ref="F828:AJ829"/>
    <mergeCell ref="D835:AJ839"/>
    <mergeCell ref="D844:AJ846"/>
    <mergeCell ref="D853:AJ855"/>
    <mergeCell ref="C857:AJ859"/>
    <mergeCell ref="D863:AJ865"/>
    <mergeCell ref="D928:AJ937"/>
    <mergeCell ref="D945:AJ946"/>
    <mergeCell ref="AM945:BS946"/>
    <mergeCell ref="G795:K795"/>
    <mergeCell ref="L795:P795"/>
    <mergeCell ref="Q795:U795"/>
    <mergeCell ref="Q710:U710"/>
    <mergeCell ref="M698:R698"/>
    <mergeCell ref="G771:K771"/>
    <mergeCell ref="B696:L696"/>
    <mergeCell ref="M696:R696"/>
    <mergeCell ref="S696:X696"/>
    <mergeCell ref="Y696:AE696"/>
    <mergeCell ref="AF696:AI696"/>
    <mergeCell ref="B697:L697"/>
    <mergeCell ref="M697:R697"/>
    <mergeCell ref="S697:X697"/>
    <mergeCell ref="Y697:AE697"/>
    <mergeCell ref="G743:K743"/>
    <mergeCell ref="L743:P743"/>
    <mergeCell ref="Q743:U743"/>
    <mergeCell ref="V743:Z743"/>
    <mergeCell ref="AA743:AE743"/>
    <mergeCell ref="AF743:AI743"/>
    <mergeCell ref="AF723:AI724"/>
    <mergeCell ref="B725:L725"/>
    <mergeCell ref="M725:R725"/>
    <mergeCell ref="V719:Z719"/>
    <mergeCell ref="AA719:AE719"/>
    <mergeCell ref="AF719:AI719"/>
    <mergeCell ref="V709:Z709"/>
    <mergeCell ref="AA709:AE709"/>
    <mergeCell ref="AF709:AI709"/>
    <mergeCell ref="B710:F710"/>
    <mergeCell ref="G710:K710"/>
    <mergeCell ref="B709:F709"/>
    <mergeCell ref="C705:O705"/>
    <mergeCell ref="V720:Z720"/>
    <mergeCell ref="AA720:AE720"/>
    <mergeCell ref="D1003:T1003"/>
    <mergeCell ref="K1012:U1012"/>
    <mergeCell ref="B1012:I1012"/>
    <mergeCell ref="B985:Q985"/>
    <mergeCell ref="R985:W985"/>
    <mergeCell ref="X985:AC985"/>
    <mergeCell ref="D911:AJ911"/>
    <mergeCell ref="D912:AJ912"/>
    <mergeCell ref="C972:AJ972"/>
    <mergeCell ref="V784:Z784"/>
    <mergeCell ref="AA784:AE784"/>
    <mergeCell ref="AF784:AI784"/>
    <mergeCell ref="B970:AJ970"/>
    <mergeCell ref="E957:AJ958"/>
    <mergeCell ref="E960:AJ961"/>
    <mergeCell ref="Z108:AF108"/>
    <mergeCell ref="D899:AJ899"/>
    <mergeCell ref="D900:AJ900"/>
    <mergeCell ref="D881:AJ881"/>
    <mergeCell ref="D108:N108"/>
    <mergeCell ref="O108:Y108"/>
    <mergeCell ref="AF697:AI697"/>
    <mergeCell ref="B693:L694"/>
    <mergeCell ref="M693:R694"/>
    <mergeCell ref="S693:X694"/>
    <mergeCell ref="Y693:AE694"/>
    <mergeCell ref="AF693:AI694"/>
    <mergeCell ref="B695:L695"/>
    <mergeCell ref="M695:R695"/>
    <mergeCell ref="S695:X695"/>
    <mergeCell ref="Y695:AE695"/>
    <mergeCell ref="G709:K709"/>
    <mergeCell ref="V1014:Z1014"/>
    <mergeCell ref="V1015:Z1015"/>
    <mergeCell ref="AA1014:AI1014"/>
    <mergeCell ref="AA1015:AI1015"/>
    <mergeCell ref="G1015:K1015"/>
    <mergeCell ref="L1015:P1015"/>
    <mergeCell ref="F830:AJ831"/>
    <mergeCell ref="R981:W981"/>
    <mergeCell ref="E951:AJ952"/>
    <mergeCell ref="E954:AJ955"/>
    <mergeCell ref="E948:AJ949"/>
    <mergeCell ref="C991:AJ991"/>
    <mergeCell ref="E963:AJ964"/>
    <mergeCell ref="E966:AJ967"/>
    <mergeCell ref="B995:Q995"/>
    <mergeCell ref="AD995:AI995"/>
    <mergeCell ref="B994:Q994"/>
    <mergeCell ref="R994:W994"/>
    <mergeCell ref="X994:AC994"/>
    <mergeCell ref="AD994:AI994"/>
    <mergeCell ref="R995:W995"/>
    <mergeCell ref="X975:AC975"/>
    <mergeCell ref="B984:Q984"/>
    <mergeCell ref="R984:W984"/>
    <mergeCell ref="X986:AC986"/>
    <mergeCell ref="B989:AJ989"/>
    <mergeCell ref="D833:AJ834"/>
    <mergeCell ref="D1004:T1004"/>
    <mergeCell ref="C1005:T1005"/>
    <mergeCell ref="C1006:T1006"/>
    <mergeCell ref="B982:Q982"/>
    <mergeCell ref="D1002:T1002"/>
    <mergeCell ref="L772:P772"/>
    <mergeCell ref="Q772:U772"/>
    <mergeCell ref="R983:W983"/>
    <mergeCell ref="B775:AJ775"/>
    <mergeCell ref="C777:AJ777"/>
    <mergeCell ref="R982:W982"/>
    <mergeCell ref="CB213:CC213"/>
    <mergeCell ref="CD215:CG215"/>
    <mergeCell ref="CB215:CC215"/>
    <mergeCell ref="CD214:CG214"/>
    <mergeCell ref="CB214:CC214"/>
    <mergeCell ref="CB228:CC228"/>
    <mergeCell ref="CD227:CG227"/>
    <mergeCell ref="CD228:CG228"/>
    <mergeCell ref="CD229:CG229"/>
    <mergeCell ref="CD230:CG230"/>
    <mergeCell ref="CD231:CG231"/>
    <mergeCell ref="CD232:CG232"/>
    <mergeCell ref="CD233:CG233"/>
    <mergeCell ref="CD234:CG234"/>
    <mergeCell ref="CD235:CG235"/>
    <mergeCell ref="CB235:CC235"/>
    <mergeCell ref="CB227:CC227"/>
    <mergeCell ref="CD216:CG216"/>
    <mergeCell ref="CB216:CC216"/>
    <mergeCell ref="CD213:CG213"/>
    <mergeCell ref="CB222:CC222"/>
    <mergeCell ref="CD222:CG222"/>
    <mergeCell ref="CB223:CC223"/>
    <mergeCell ref="CD223:CG223"/>
    <mergeCell ref="B983:Q983"/>
    <mergeCell ref="X981:AC981"/>
    <mergeCell ref="C779:O779"/>
    <mergeCell ref="R986:W986"/>
    <mergeCell ref="CM229:CQ229"/>
    <mergeCell ref="CR229:CV229"/>
    <mergeCell ref="DG229:DK229"/>
    <mergeCell ref="D1017:AJ1017"/>
    <mergeCell ref="A1043:AJ1043"/>
    <mergeCell ref="D1009:AJ1009"/>
    <mergeCell ref="B1014:F1014"/>
    <mergeCell ref="G1014:K1014"/>
    <mergeCell ref="L748:P748"/>
    <mergeCell ref="Q748:U748"/>
    <mergeCell ref="B1025:H1025"/>
    <mergeCell ref="G1019:P1019"/>
    <mergeCell ref="G1020:P1020"/>
    <mergeCell ref="V772:Z772"/>
    <mergeCell ref="AA772:AE772"/>
    <mergeCell ref="D787:AJ787"/>
    <mergeCell ref="B789:F789"/>
    <mergeCell ref="G789:K789"/>
    <mergeCell ref="L789:P789"/>
    <mergeCell ref="Q789:U789"/>
    <mergeCell ref="V789:Z789"/>
    <mergeCell ref="AA789:AE789"/>
    <mergeCell ref="L771:P771"/>
    <mergeCell ref="Q771:U771"/>
    <mergeCell ref="CB236:CC236"/>
    <mergeCell ref="CB234:CC234"/>
    <mergeCell ref="CB233:CC233"/>
    <mergeCell ref="CB232:CC232"/>
    <mergeCell ref="CB231:CC231"/>
    <mergeCell ref="CB230:CC230"/>
    <mergeCell ref="EI960:FN961"/>
    <mergeCell ref="CN957:EE958"/>
    <mergeCell ref="CN960:EE961"/>
    <mergeCell ref="CN963:EE964"/>
    <mergeCell ref="IJ963:JO964"/>
    <mergeCell ref="AM942:BS943"/>
    <mergeCell ref="CM942:EE943"/>
    <mergeCell ref="EH942:FN943"/>
    <mergeCell ref="CD236:CG236"/>
    <mergeCell ref="V771:Z771"/>
    <mergeCell ref="AA771:AE771"/>
    <mergeCell ref="AF771:AI771"/>
    <mergeCell ref="AF695:AI695"/>
    <mergeCell ref="AF720:AI720"/>
    <mergeCell ref="P704:AI704"/>
    <mergeCell ref="V795:Z795"/>
    <mergeCell ref="HA957:IF958"/>
    <mergeCell ref="HA960:IF961"/>
    <mergeCell ref="HA963:IF964"/>
    <mergeCell ref="II928:JO937"/>
    <mergeCell ref="II945:JO946"/>
    <mergeCell ref="IJ948:JO949"/>
    <mergeCell ref="IJ951:JO952"/>
    <mergeCell ref="L709:P709"/>
    <mergeCell ref="CH259:CL259"/>
    <mergeCell ref="CM259:CQ259"/>
    <mergeCell ref="CR259:CV259"/>
    <mergeCell ref="DG259:DK259"/>
    <mergeCell ref="CR272:CV272"/>
    <mergeCell ref="DG272:DK272"/>
    <mergeCell ref="CD272:CG272"/>
    <mergeCell ref="CH272:CL272"/>
    <mergeCell ref="C1028:AJ1040"/>
    <mergeCell ref="CN966:EE967"/>
    <mergeCell ref="X980:AC980"/>
    <mergeCell ref="B981:Q981"/>
    <mergeCell ref="X983:AC983"/>
    <mergeCell ref="B1019:F1019"/>
    <mergeCell ref="B1024:H1024"/>
    <mergeCell ref="D1022:AJ1022"/>
    <mergeCell ref="CN954:EE955"/>
    <mergeCell ref="AN948:BS949"/>
    <mergeCell ref="AN951:BS952"/>
    <mergeCell ref="KY942:KY943"/>
    <mergeCell ref="AM1011:BF1011"/>
    <mergeCell ref="B976:Q976"/>
    <mergeCell ref="R976:W976"/>
    <mergeCell ref="X976:AC976"/>
    <mergeCell ref="B977:Q977"/>
    <mergeCell ref="R977:W977"/>
    <mergeCell ref="X977:AC977"/>
    <mergeCell ref="B978:Q978"/>
    <mergeCell ref="R978:W978"/>
    <mergeCell ref="X978:AC978"/>
    <mergeCell ref="B979:Q979"/>
    <mergeCell ref="R979:W979"/>
    <mergeCell ref="X979:AC979"/>
    <mergeCell ref="B980:Q980"/>
    <mergeCell ref="R980:W980"/>
    <mergeCell ref="D1000:T1000"/>
    <mergeCell ref="D1001:T1001"/>
    <mergeCell ref="JS957:KX958"/>
    <mergeCell ref="C1007:T1007"/>
    <mergeCell ref="B1011:U1011"/>
    <mergeCell ref="X982:AC982"/>
    <mergeCell ref="D1050:AJ1051"/>
    <mergeCell ref="C1047:AJ1048"/>
    <mergeCell ref="D942:AJ943"/>
    <mergeCell ref="B1020:F1020"/>
    <mergeCell ref="Q1015:U1015"/>
    <mergeCell ref="X995:AC995"/>
    <mergeCell ref="B993:Q993"/>
    <mergeCell ref="R993:W993"/>
    <mergeCell ref="X993:AC993"/>
    <mergeCell ref="P779:AI779"/>
    <mergeCell ref="C780:O780"/>
    <mergeCell ref="P780:AI780"/>
    <mergeCell ref="D782:AJ782"/>
    <mergeCell ref="B784:F784"/>
    <mergeCell ref="G784:K784"/>
    <mergeCell ref="L784:P784"/>
    <mergeCell ref="Q784:U784"/>
    <mergeCell ref="L1014:P1014"/>
    <mergeCell ref="Q1014:U1014"/>
    <mergeCell ref="B1015:F1015"/>
    <mergeCell ref="C998:AJ998"/>
    <mergeCell ref="AF789:AI789"/>
    <mergeCell ref="B790:F790"/>
    <mergeCell ref="AA790:AE790"/>
    <mergeCell ref="V794:Z794"/>
    <mergeCell ref="D792:AJ792"/>
    <mergeCell ref="V790:Z790"/>
    <mergeCell ref="Q790:U790"/>
    <mergeCell ref="AF790:AI790"/>
    <mergeCell ref="B1045:AJ1045"/>
    <mergeCell ref="X984:AC984"/>
    <mergeCell ref="B986:Q986"/>
    <mergeCell ref="AK108:AN108"/>
    <mergeCell ref="L175:O175"/>
    <mergeCell ref="P175:S175"/>
    <mergeCell ref="T175:W175"/>
    <mergeCell ref="X175:AA175"/>
    <mergeCell ref="AB175:AE175"/>
    <mergeCell ref="AF175:AI175"/>
    <mergeCell ref="M726:R726"/>
    <mergeCell ref="S726:X726"/>
    <mergeCell ref="Y726:AE726"/>
    <mergeCell ref="AF726:AI726"/>
    <mergeCell ref="B727:L727"/>
    <mergeCell ref="M727:R727"/>
    <mergeCell ref="S727:X727"/>
    <mergeCell ref="Y727:AE727"/>
    <mergeCell ref="AF727:AI727"/>
    <mergeCell ref="C149:AJ155"/>
    <mergeCell ref="G601:K601"/>
    <mergeCell ref="G602:K602"/>
    <mergeCell ref="S698:X698"/>
    <mergeCell ref="Y698:AE698"/>
    <mergeCell ref="AF698:AI698"/>
    <mergeCell ref="B699:L699"/>
    <mergeCell ref="M699:R699"/>
    <mergeCell ref="S699:X699"/>
    <mergeCell ref="Y699:AE699"/>
    <mergeCell ref="AF699:AI699"/>
    <mergeCell ref="C704:O704"/>
    <mergeCell ref="D201:W208"/>
    <mergeCell ref="D274:G274"/>
    <mergeCell ref="H274:K274"/>
    <mergeCell ref="B49:AJ52"/>
    <mergeCell ref="C284:AJ288"/>
    <mergeCell ref="B749:F749"/>
    <mergeCell ref="G749:K749"/>
    <mergeCell ref="L749:P749"/>
    <mergeCell ref="Q749:U749"/>
    <mergeCell ref="V749:Z749"/>
    <mergeCell ref="AA749:AE749"/>
    <mergeCell ref="AF749:AI749"/>
    <mergeCell ref="B739:F739"/>
    <mergeCell ref="G739:K739"/>
    <mergeCell ref="L739:P739"/>
    <mergeCell ref="Q739:U739"/>
    <mergeCell ref="V739:Z739"/>
    <mergeCell ref="AA739:AE739"/>
    <mergeCell ref="AF739:AI739"/>
    <mergeCell ref="D741:AJ741"/>
    <mergeCell ref="B743:F743"/>
    <mergeCell ref="D746:AJ746"/>
    <mergeCell ref="B748:F748"/>
    <mergeCell ref="G748:K748"/>
    <mergeCell ref="Q709:U709"/>
    <mergeCell ref="B723:L724"/>
    <mergeCell ref="M723:R724"/>
    <mergeCell ref="S723:X724"/>
    <mergeCell ref="Y723:AE724"/>
    <mergeCell ref="B303:Z303"/>
    <mergeCell ref="B720:F720"/>
    <mergeCell ref="G720:K720"/>
    <mergeCell ref="L720:P720"/>
    <mergeCell ref="Q720:U720"/>
    <mergeCell ref="B698:L698"/>
    <mergeCell ref="CH212:CL212"/>
    <mergeCell ref="CH213:CL213"/>
    <mergeCell ref="CM212:CQ212"/>
    <mergeCell ref="CM213:CQ213"/>
    <mergeCell ref="CR212:CV212"/>
    <mergeCell ref="CR213:CV213"/>
    <mergeCell ref="DG212:DK212"/>
    <mergeCell ref="DG213:DK213"/>
    <mergeCell ref="CH220:CL220"/>
    <mergeCell ref="CH221:CL221"/>
    <mergeCell ref="CH222:CL222"/>
    <mergeCell ref="CH223:CL223"/>
    <mergeCell ref="CH224:CL224"/>
    <mergeCell ref="CR219:CV219"/>
    <mergeCell ref="DG219:DK219"/>
    <mergeCell ref="CM220:CQ220"/>
    <mergeCell ref="CR220:CV220"/>
    <mergeCell ref="DG220:DK220"/>
    <mergeCell ref="CH214:CL214"/>
    <mergeCell ref="CH215:CL215"/>
    <mergeCell ref="DB212:DF212"/>
    <mergeCell ref="DB213:DF213"/>
    <mergeCell ref="DB214:DF214"/>
    <mergeCell ref="DB215:DF215"/>
    <mergeCell ref="DB216:DF216"/>
    <mergeCell ref="DB217:DF217"/>
    <mergeCell ref="DB218:DF218"/>
    <mergeCell ref="DB219:DF219"/>
    <mergeCell ref="DB220:DF220"/>
    <mergeCell ref="DB221:DF221"/>
    <mergeCell ref="DB222:DF222"/>
    <mergeCell ref="DB223:DF223"/>
    <mergeCell ref="CR227:CV227"/>
    <mergeCell ref="DG227:DK227"/>
    <mergeCell ref="CM228:CQ228"/>
    <mergeCell ref="CR228:CV228"/>
    <mergeCell ref="DG228:DK228"/>
    <mergeCell ref="DG225:DK225"/>
    <mergeCell ref="CM226:CQ226"/>
    <mergeCell ref="CR226:CV226"/>
    <mergeCell ref="CM230:CQ230"/>
    <mergeCell ref="CM221:CQ221"/>
    <mergeCell ref="CR221:CV221"/>
    <mergeCell ref="DG221:DK221"/>
    <mergeCell ref="CM222:CQ222"/>
    <mergeCell ref="CR222:CV222"/>
    <mergeCell ref="DG222:DK222"/>
    <mergeCell ref="CM223:CQ223"/>
    <mergeCell ref="CR223:CV223"/>
    <mergeCell ref="DG223:DK223"/>
    <mergeCell ref="CM224:CQ224"/>
    <mergeCell ref="CR224:CV224"/>
    <mergeCell ref="DG224:DK224"/>
    <mergeCell ref="CW228:DA228"/>
    <mergeCell ref="CW229:DA229"/>
    <mergeCell ref="CW230:DA230"/>
    <mergeCell ref="DB224:DF224"/>
    <mergeCell ref="DB225:DF225"/>
    <mergeCell ref="DB226:DF226"/>
    <mergeCell ref="DB227:DF227"/>
    <mergeCell ref="DB228:DF228"/>
    <mergeCell ref="DB229:DF229"/>
    <mergeCell ref="DB230:DF230"/>
    <mergeCell ref="CH211:DK211"/>
    <mergeCell ref="N598:Q598"/>
    <mergeCell ref="N599:Q599"/>
    <mergeCell ref="F598:I598"/>
    <mergeCell ref="F599:I599"/>
    <mergeCell ref="AH598:AJ598"/>
    <mergeCell ref="AH599:AJ599"/>
    <mergeCell ref="CM215:CQ215"/>
    <mergeCell ref="CR215:CV215"/>
    <mergeCell ref="DG215:DK215"/>
    <mergeCell ref="CM216:CQ216"/>
    <mergeCell ref="CR216:CV216"/>
    <mergeCell ref="DG216:DK216"/>
    <mergeCell ref="CM217:CQ217"/>
    <mergeCell ref="CR217:CV217"/>
    <mergeCell ref="DG217:DK217"/>
    <mergeCell ref="CM218:CQ218"/>
    <mergeCell ref="CR218:CV218"/>
    <mergeCell ref="DG218:DK218"/>
    <mergeCell ref="CM219:CQ219"/>
    <mergeCell ref="CR230:CV230"/>
    <mergeCell ref="DG230:DK230"/>
    <mergeCell ref="CM231:CQ231"/>
    <mergeCell ref="CR231:CV231"/>
    <mergeCell ref="DG231:DK231"/>
    <mergeCell ref="CM232:CQ232"/>
    <mergeCell ref="CR232:CV232"/>
    <mergeCell ref="DG232:DK232"/>
    <mergeCell ref="CM225:CQ225"/>
    <mergeCell ref="CR225:CV225"/>
    <mergeCell ref="DG226:DK226"/>
    <mergeCell ref="CM227:CQ227"/>
    <mergeCell ref="EC212:EE212"/>
    <mergeCell ref="EC213:EE213"/>
    <mergeCell ref="EC214:EE214"/>
    <mergeCell ref="EC215:EE215"/>
    <mergeCell ref="EC216:EE216"/>
    <mergeCell ref="CM214:CQ214"/>
    <mergeCell ref="CR214:CV214"/>
    <mergeCell ref="DG214:DK214"/>
    <mergeCell ref="DL213:DN213"/>
    <mergeCell ref="DL214:DN214"/>
    <mergeCell ref="DL215:DN215"/>
    <mergeCell ref="DL216:DN216"/>
    <mergeCell ref="DL212:DN212"/>
    <mergeCell ref="DL217:DN217"/>
    <mergeCell ref="DL218:DN218"/>
    <mergeCell ref="DL219:DN219"/>
    <mergeCell ref="DO217:DQ217"/>
    <mergeCell ref="DR217:DT217"/>
    <mergeCell ref="DO218:DQ218"/>
    <mergeCell ref="DZ221:EB221"/>
    <mergeCell ref="DZ226:EB226"/>
    <mergeCell ref="DZ231:EB231"/>
    <mergeCell ref="DL220:DN220"/>
    <mergeCell ref="DL221:DN221"/>
    <mergeCell ref="DL222:DN222"/>
    <mergeCell ref="CH216:CL216"/>
    <mergeCell ref="CH217:CL217"/>
    <mergeCell ref="CH218:CL218"/>
    <mergeCell ref="CH219:CL219"/>
    <mergeCell ref="DO214:DQ214"/>
    <mergeCell ref="DO215:DQ215"/>
    <mergeCell ref="DO216:DQ216"/>
    <mergeCell ref="DO212:DQ212"/>
    <mergeCell ref="DR212:DT212"/>
    <mergeCell ref="DR213:DT213"/>
    <mergeCell ref="DR214:DT214"/>
    <mergeCell ref="DR215:DT215"/>
    <mergeCell ref="DR216:DT216"/>
    <mergeCell ref="CH225:CL225"/>
    <mergeCell ref="CH226:CL226"/>
    <mergeCell ref="CH227:CL227"/>
    <mergeCell ref="CH228:CL228"/>
    <mergeCell ref="CH229:CL229"/>
    <mergeCell ref="CH230:CL230"/>
    <mergeCell ref="CH231:CL231"/>
    <mergeCell ref="DO213:DQ213"/>
    <mergeCell ref="DL230:DN230"/>
    <mergeCell ref="DL231:DN231"/>
    <mergeCell ref="DZ229:EB229"/>
    <mergeCell ref="DO219:DQ219"/>
    <mergeCell ref="DO220:DQ220"/>
    <mergeCell ref="CH232:CL232"/>
    <mergeCell ref="CH233:CL233"/>
    <mergeCell ref="CH234:CL234"/>
    <mergeCell ref="D272:G272"/>
    <mergeCell ref="H272:K272"/>
    <mergeCell ref="L272:O272"/>
    <mergeCell ref="P272:S272"/>
    <mergeCell ref="AB272:AE272"/>
    <mergeCell ref="T272:W272"/>
    <mergeCell ref="X272:AA272"/>
    <mergeCell ref="AL272:AO272"/>
    <mergeCell ref="AP272:AS272"/>
    <mergeCell ref="AT272:AW272"/>
    <mergeCell ref="AX272:BA272"/>
    <mergeCell ref="BJ272:BK272"/>
    <mergeCell ref="BL272:BO272"/>
    <mergeCell ref="BP272:BQ272"/>
    <mergeCell ref="BR272:BU272"/>
    <mergeCell ref="BV272:BW272"/>
    <mergeCell ref="BX272:CA272"/>
    <mergeCell ref="CB272:CC272"/>
    <mergeCell ref="BF239:BI239"/>
    <mergeCell ref="BF240:BI240"/>
    <mergeCell ref="BF241:BI241"/>
    <mergeCell ref="BF242:BI242"/>
    <mergeCell ref="BF243:BI243"/>
    <mergeCell ref="BF244:BI244"/>
    <mergeCell ref="BF245:BI245"/>
    <mergeCell ref="BF246:BI246"/>
    <mergeCell ref="BF247:BI247"/>
    <mergeCell ref="BF248:BI248"/>
    <mergeCell ref="BF249:BI249"/>
    <mergeCell ref="CM233:CQ233"/>
    <mergeCell ref="CR233:CV233"/>
    <mergeCell ref="DG233:DK233"/>
    <mergeCell ref="CM234:CQ234"/>
    <mergeCell ref="CR234:CV234"/>
    <mergeCell ref="DG234:DK234"/>
    <mergeCell ref="CM235:CQ235"/>
    <mergeCell ref="CR235:CV235"/>
    <mergeCell ref="DG235:DK235"/>
    <mergeCell ref="CM236:CQ236"/>
    <mergeCell ref="CR236:CV236"/>
    <mergeCell ref="DG236:DK236"/>
    <mergeCell ref="CH235:CL235"/>
    <mergeCell ref="DL263:DN263"/>
    <mergeCell ref="DL264:DN264"/>
    <mergeCell ref="DL265:DN265"/>
    <mergeCell ref="DL266:DN266"/>
    <mergeCell ref="DL260:DN260"/>
    <mergeCell ref="DL261:DN261"/>
    <mergeCell ref="DL262:DN262"/>
    <mergeCell ref="CH236:CL236"/>
    <mergeCell ref="CM238:CQ238"/>
    <mergeCell ref="CR238:CV238"/>
    <mergeCell ref="DG238:DK238"/>
    <mergeCell ref="CH240:CL240"/>
    <mergeCell ref="CM240:CQ240"/>
    <mergeCell ref="CR240:CV240"/>
    <mergeCell ref="DG240:DK240"/>
    <mergeCell ref="CM243:CQ243"/>
    <mergeCell ref="CR243:CV243"/>
    <mergeCell ref="DG243:DK243"/>
    <mergeCell ref="CM251:CQ251"/>
    <mergeCell ref="DL267:DN267"/>
    <mergeCell ref="DL268:DN268"/>
    <mergeCell ref="DL269:DN269"/>
    <mergeCell ref="CR273:CV273"/>
    <mergeCell ref="DL270:DN270"/>
    <mergeCell ref="DL271:DN271"/>
    <mergeCell ref="DL272:DN272"/>
    <mergeCell ref="DO230:DQ230"/>
    <mergeCell ref="DR230:DT230"/>
    <mergeCell ref="DO231:DQ231"/>
    <mergeCell ref="DR231:DT231"/>
    <mergeCell ref="DO232:DQ232"/>
    <mergeCell ref="DZ212:EB212"/>
    <mergeCell ref="DZ213:EB213"/>
    <mergeCell ref="DZ214:EB214"/>
    <mergeCell ref="DZ215:EB215"/>
    <mergeCell ref="DZ216:EB216"/>
    <mergeCell ref="DL223:DN223"/>
    <mergeCell ref="DL224:DN224"/>
    <mergeCell ref="DL225:DN225"/>
    <mergeCell ref="DL226:DN226"/>
    <mergeCell ref="DL227:DN227"/>
    <mergeCell ref="DL228:DN228"/>
    <mergeCell ref="DL235:DN235"/>
    <mergeCell ref="DL236:DN236"/>
    <mergeCell ref="DL237:DN237"/>
    <mergeCell ref="DL238:DN238"/>
    <mergeCell ref="DL239:DN239"/>
    <mergeCell ref="DL240:DN240"/>
    <mergeCell ref="DL241:DN241"/>
    <mergeCell ref="DL242:DN242"/>
    <mergeCell ref="DL229:DN229"/>
    <mergeCell ref="D275:G275"/>
    <mergeCell ref="H275:K275"/>
    <mergeCell ref="L275:O275"/>
    <mergeCell ref="P275:S275"/>
    <mergeCell ref="AB275:AE275"/>
    <mergeCell ref="T275:W275"/>
    <mergeCell ref="X275:AA275"/>
    <mergeCell ref="D276:G276"/>
    <mergeCell ref="CR275:CV275"/>
    <mergeCell ref="DG275:DK275"/>
    <mergeCell ref="BB273:BE273"/>
    <mergeCell ref="DG273:DK273"/>
    <mergeCell ref="AL274:AO274"/>
    <mergeCell ref="AP274:AS274"/>
    <mergeCell ref="AT274:AW274"/>
    <mergeCell ref="AX274:BA274"/>
    <mergeCell ref="BJ274:BK274"/>
    <mergeCell ref="BL274:BO274"/>
    <mergeCell ref="BP274:BQ274"/>
    <mergeCell ref="BR274:BU274"/>
    <mergeCell ref="BV274:BW274"/>
    <mergeCell ref="BX274:CA274"/>
    <mergeCell ref="CB274:CC274"/>
    <mergeCell ref="CD274:CG274"/>
    <mergeCell ref="CH274:CL274"/>
    <mergeCell ref="CM274:CQ274"/>
    <mergeCell ref="CR274:CV274"/>
    <mergeCell ref="DG274:DK274"/>
    <mergeCell ref="BJ277:BK277"/>
    <mergeCell ref="BL277:BO277"/>
    <mergeCell ref="BP277:BQ277"/>
    <mergeCell ref="BR277:BU277"/>
    <mergeCell ref="BV277:BW277"/>
    <mergeCell ref="BX277:CA277"/>
    <mergeCell ref="CB277:CC277"/>
    <mergeCell ref="CD277:CG277"/>
    <mergeCell ref="CH277:CL277"/>
    <mergeCell ref="CM277:CQ277"/>
    <mergeCell ref="CR277:CV277"/>
    <mergeCell ref="DG277:DK277"/>
    <mergeCell ref="BB277:BE277"/>
    <mergeCell ref="AL275:AO275"/>
    <mergeCell ref="AP275:AS275"/>
    <mergeCell ref="AT275:AW275"/>
    <mergeCell ref="AX275:BA275"/>
    <mergeCell ref="BJ275:BK275"/>
    <mergeCell ref="BL275:BO275"/>
    <mergeCell ref="BP275:BQ275"/>
    <mergeCell ref="BR275:BU275"/>
    <mergeCell ref="BV275:BW275"/>
    <mergeCell ref="BX275:CA275"/>
    <mergeCell ref="CB276:CC276"/>
    <mergeCell ref="CD276:CG276"/>
    <mergeCell ref="CH276:CL276"/>
    <mergeCell ref="CM276:CQ276"/>
    <mergeCell ref="CR276:CV276"/>
    <mergeCell ref="DG276:DK276"/>
    <mergeCell ref="CH281:CL281"/>
    <mergeCell ref="CM281:CQ281"/>
    <mergeCell ref="CR281:CV281"/>
    <mergeCell ref="DG281:DK281"/>
    <mergeCell ref="D279:G279"/>
    <mergeCell ref="H279:K279"/>
    <mergeCell ref="L279:O279"/>
    <mergeCell ref="P279:S279"/>
    <mergeCell ref="AB279:AE279"/>
    <mergeCell ref="T279:W279"/>
    <mergeCell ref="X279:AA279"/>
    <mergeCell ref="AL279:AO279"/>
    <mergeCell ref="AP279:AS279"/>
    <mergeCell ref="AT279:AW279"/>
    <mergeCell ref="AX279:BA279"/>
    <mergeCell ref="BJ279:BK279"/>
    <mergeCell ref="BL279:BO279"/>
    <mergeCell ref="BP279:BQ279"/>
    <mergeCell ref="BR279:BU279"/>
    <mergeCell ref="BV279:BW279"/>
    <mergeCell ref="BX279:CA279"/>
    <mergeCell ref="D281:G281"/>
    <mergeCell ref="H281:K281"/>
    <mergeCell ref="L281:O281"/>
    <mergeCell ref="P281:S281"/>
    <mergeCell ref="AB281:AE281"/>
    <mergeCell ref="T281:W281"/>
    <mergeCell ref="X281:AA281"/>
    <mergeCell ref="AL281:AO281"/>
    <mergeCell ref="AP281:AS281"/>
    <mergeCell ref="AT281:AW281"/>
    <mergeCell ref="AX281:BA281"/>
    <mergeCell ref="BJ281:BK281"/>
    <mergeCell ref="BL281:BO281"/>
    <mergeCell ref="BP281:BQ281"/>
    <mergeCell ref="BR281:BU281"/>
    <mergeCell ref="BV281:BW281"/>
    <mergeCell ref="BX281:CA281"/>
    <mergeCell ref="CM280:CQ280"/>
    <mergeCell ref="CR280:CV280"/>
    <mergeCell ref="DG280:DK280"/>
    <mergeCell ref="D278:G278"/>
    <mergeCell ref="H278:K278"/>
    <mergeCell ref="L278:O278"/>
    <mergeCell ref="P278:S278"/>
    <mergeCell ref="AB278:AE278"/>
    <mergeCell ref="T278:W278"/>
    <mergeCell ref="X278:AA278"/>
    <mergeCell ref="AL278:AO278"/>
    <mergeCell ref="AP278:AS278"/>
    <mergeCell ref="AT278:AW278"/>
    <mergeCell ref="AX278:BA278"/>
    <mergeCell ref="BJ278:BK278"/>
    <mergeCell ref="BL278:BO278"/>
    <mergeCell ref="BP278:BQ278"/>
    <mergeCell ref="BR278:BU278"/>
    <mergeCell ref="BV278:BW278"/>
    <mergeCell ref="BX278:CA278"/>
    <mergeCell ref="CB279:CC279"/>
    <mergeCell ref="CD279:CG279"/>
    <mergeCell ref="CH279:CL279"/>
    <mergeCell ref="CM279:CQ279"/>
    <mergeCell ref="CR279:CV279"/>
    <mergeCell ref="DG279:DK279"/>
    <mergeCell ref="CB278:CC278"/>
    <mergeCell ref="CD278:CG278"/>
    <mergeCell ref="CH278:CL278"/>
    <mergeCell ref="CM278:CQ278"/>
    <mergeCell ref="CR278:CV278"/>
    <mergeCell ref="DG278:DK278"/>
    <mergeCell ref="D280:G280"/>
    <mergeCell ref="H280:K280"/>
    <mergeCell ref="L280:O280"/>
    <mergeCell ref="P280:S280"/>
    <mergeCell ref="AB280:AE280"/>
    <mergeCell ref="T280:W280"/>
    <mergeCell ref="X280:AA280"/>
    <mergeCell ref="AL280:AO280"/>
    <mergeCell ref="AP280:AS280"/>
    <mergeCell ref="AT280:AW280"/>
    <mergeCell ref="AX280:BA280"/>
    <mergeCell ref="BJ280:BK280"/>
    <mergeCell ref="BL280:BO280"/>
    <mergeCell ref="BP280:BQ280"/>
    <mergeCell ref="BR280:BU280"/>
    <mergeCell ref="BV280:BW280"/>
    <mergeCell ref="BX280:CA280"/>
    <mergeCell ref="CB280:CC280"/>
    <mergeCell ref="CD280:CG280"/>
    <mergeCell ref="CH280:CL280"/>
    <mergeCell ref="BF279:BI279"/>
    <mergeCell ref="BF280:BI280"/>
    <mergeCell ref="BB279:BE279"/>
    <mergeCell ref="BB280:BE280"/>
    <mergeCell ref="DB280:DF280"/>
    <mergeCell ref="DL232:DN232"/>
    <mergeCell ref="DL233:DN233"/>
    <mergeCell ref="DL234:DN234"/>
    <mergeCell ref="DL243:DN243"/>
    <mergeCell ref="DL244:DN244"/>
    <mergeCell ref="DL245:DN245"/>
    <mergeCell ref="DL246:DN246"/>
    <mergeCell ref="DL247:DN247"/>
    <mergeCell ref="DL251:DN251"/>
    <mergeCell ref="DL252:DN252"/>
    <mergeCell ref="DL253:DN253"/>
    <mergeCell ref="DL254:DN254"/>
    <mergeCell ref="DL255:DN255"/>
    <mergeCell ref="DL256:DN256"/>
    <mergeCell ref="DL257:DN257"/>
    <mergeCell ref="DL258:DN258"/>
    <mergeCell ref="DL259:DN259"/>
    <mergeCell ref="DL248:DN248"/>
    <mergeCell ref="DL249:DN249"/>
    <mergeCell ref="DL250:DN250"/>
    <mergeCell ref="DL273:DN273"/>
    <mergeCell ref="DL274:DN274"/>
    <mergeCell ref="DL275:DN275"/>
    <mergeCell ref="DL276:DN276"/>
    <mergeCell ref="DL277:DN277"/>
    <mergeCell ref="DL278:DN278"/>
    <mergeCell ref="DL279:DN279"/>
    <mergeCell ref="DL280:DN280"/>
    <mergeCell ref="DL281:DN281"/>
    <mergeCell ref="DL282:DN282"/>
    <mergeCell ref="DZ217:EB217"/>
    <mergeCell ref="EC217:EE217"/>
    <mergeCell ref="DZ218:EB218"/>
    <mergeCell ref="EC218:EE218"/>
    <mergeCell ref="DZ219:EB219"/>
    <mergeCell ref="EC219:EE219"/>
    <mergeCell ref="DZ220:EB220"/>
    <mergeCell ref="EC220:EE220"/>
    <mergeCell ref="EC221:EE221"/>
    <mergeCell ref="DZ222:EB222"/>
    <mergeCell ref="EC222:EE222"/>
    <mergeCell ref="DZ223:EB223"/>
    <mergeCell ref="EC223:EE223"/>
    <mergeCell ref="DZ224:EB224"/>
    <mergeCell ref="EC224:EE224"/>
    <mergeCell ref="DZ225:EB225"/>
    <mergeCell ref="EC225:EE225"/>
    <mergeCell ref="EC226:EE226"/>
    <mergeCell ref="DZ227:EB227"/>
    <mergeCell ref="EC227:EE227"/>
    <mergeCell ref="DZ228:EB228"/>
    <mergeCell ref="EC228:EE228"/>
    <mergeCell ref="EC229:EE229"/>
    <mergeCell ref="DZ230:EB230"/>
    <mergeCell ref="EC230:EE230"/>
    <mergeCell ref="EC231:EE231"/>
    <mergeCell ref="DZ232:EB232"/>
    <mergeCell ref="EC232:EE232"/>
    <mergeCell ref="DZ233:EB233"/>
    <mergeCell ref="EC233:EE233"/>
    <mergeCell ref="DZ234:EB234"/>
    <mergeCell ref="EC234:EE234"/>
    <mergeCell ref="DZ235:EB235"/>
    <mergeCell ref="EC235:EE235"/>
    <mergeCell ref="EC236:EE236"/>
    <mergeCell ref="DZ237:EB237"/>
    <mergeCell ref="EC237:EE237"/>
    <mergeCell ref="DZ236:EB236"/>
    <mergeCell ref="DZ238:EB238"/>
    <mergeCell ref="EC238:EE238"/>
    <mergeCell ref="DZ239:EB239"/>
    <mergeCell ref="EC239:EE239"/>
    <mergeCell ref="DZ240:EB240"/>
    <mergeCell ref="EC240:EE240"/>
    <mergeCell ref="DZ241:EB241"/>
    <mergeCell ref="EC241:EE241"/>
    <mergeCell ref="DZ242:EB242"/>
    <mergeCell ref="EC242:EE242"/>
    <mergeCell ref="DZ243:EB243"/>
    <mergeCell ref="EC243:EE243"/>
    <mergeCell ref="DZ244:EB244"/>
    <mergeCell ref="EC244:EE244"/>
    <mergeCell ref="DZ245:EB245"/>
    <mergeCell ref="EC245:EE245"/>
    <mergeCell ref="DZ246:EB246"/>
    <mergeCell ref="EC246:EE246"/>
    <mergeCell ref="DZ247:EB247"/>
    <mergeCell ref="EC247:EE247"/>
    <mergeCell ref="DZ248:EB248"/>
    <mergeCell ref="EC248:EE248"/>
    <mergeCell ref="DZ249:EB249"/>
    <mergeCell ref="EC249:EE249"/>
    <mergeCell ref="DZ250:EB250"/>
    <mergeCell ref="EC250:EE250"/>
    <mergeCell ref="DZ251:EB251"/>
    <mergeCell ref="EC251:EE251"/>
    <mergeCell ref="DZ252:EB252"/>
    <mergeCell ref="EC252:EE252"/>
    <mergeCell ref="DZ253:EB253"/>
    <mergeCell ref="EC253:EE253"/>
    <mergeCell ref="DZ254:EB254"/>
    <mergeCell ref="EC254:EE254"/>
    <mergeCell ref="DZ255:EB255"/>
    <mergeCell ref="EC255:EE255"/>
    <mergeCell ref="DZ256:EB256"/>
    <mergeCell ref="EC256:EE256"/>
    <mergeCell ref="EC272:EE272"/>
    <mergeCell ref="DZ273:EB273"/>
    <mergeCell ref="EC273:EE273"/>
    <mergeCell ref="DZ274:EB274"/>
    <mergeCell ref="EC274:EE274"/>
    <mergeCell ref="DZ257:EB257"/>
    <mergeCell ref="EC257:EE257"/>
    <mergeCell ref="DZ258:EB258"/>
    <mergeCell ref="EC258:EE258"/>
    <mergeCell ref="DZ259:EB259"/>
    <mergeCell ref="EC259:EE259"/>
    <mergeCell ref="DZ260:EB260"/>
    <mergeCell ref="EC260:EE260"/>
    <mergeCell ref="DZ261:EB261"/>
    <mergeCell ref="EC261:EE261"/>
    <mergeCell ref="DZ262:EB262"/>
    <mergeCell ref="EC262:EE262"/>
    <mergeCell ref="DZ263:EB263"/>
    <mergeCell ref="EC263:EE263"/>
    <mergeCell ref="DZ264:EB264"/>
    <mergeCell ref="EC264:EE264"/>
    <mergeCell ref="DZ265:EB265"/>
    <mergeCell ref="EC265:EE265"/>
    <mergeCell ref="DZ275:EB275"/>
    <mergeCell ref="EC275:EE275"/>
    <mergeCell ref="DZ276:EB276"/>
    <mergeCell ref="EC276:EE276"/>
    <mergeCell ref="DZ277:EB277"/>
    <mergeCell ref="EC277:EE277"/>
    <mergeCell ref="DZ278:EB278"/>
    <mergeCell ref="EC278:EE278"/>
    <mergeCell ref="DZ279:EB279"/>
    <mergeCell ref="EC279:EE279"/>
    <mergeCell ref="DZ280:EB280"/>
    <mergeCell ref="EC280:EE280"/>
    <mergeCell ref="DZ281:EB281"/>
    <mergeCell ref="EC281:EE281"/>
    <mergeCell ref="DZ282:EB282"/>
    <mergeCell ref="EC282:EE282"/>
    <mergeCell ref="DR218:DT218"/>
    <mergeCell ref="DR219:DT219"/>
    <mergeCell ref="DR220:DT220"/>
    <mergeCell ref="DZ266:EB266"/>
    <mergeCell ref="EC266:EE266"/>
    <mergeCell ref="DZ267:EB267"/>
    <mergeCell ref="EC267:EE267"/>
    <mergeCell ref="DZ268:EB268"/>
    <mergeCell ref="EC268:EE268"/>
    <mergeCell ref="DZ269:EB269"/>
    <mergeCell ref="EC269:EE269"/>
    <mergeCell ref="DZ270:EB270"/>
    <mergeCell ref="EC270:EE270"/>
    <mergeCell ref="DZ271:EB271"/>
    <mergeCell ref="EC271:EE271"/>
    <mergeCell ref="DZ272:EB272"/>
    <mergeCell ref="DO221:DQ221"/>
    <mergeCell ref="DR221:DT221"/>
    <mergeCell ref="DO222:DQ222"/>
    <mergeCell ref="DR222:DT222"/>
    <mergeCell ref="DO223:DQ223"/>
    <mergeCell ref="DR223:DT223"/>
    <mergeCell ref="DO224:DQ224"/>
    <mergeCell ref="DR224:DT224"/>
    <mergeCell ref="DO225:DQ225"/>
    <mergeCell ref="DR225:DT225"/>
    <mergeCell ref="DO226:DQ226"/>
    <mergeCell ref="DR226:DT226"/>
    <mergeCell ref="DO227:DQ227"/>
    <mergeCell ref="DR227:DT227"/>
    <mergeCell ref="DO228:DQ228"/>
    <mergeCell ref="DR228:DT228"/>
    <mergeCell ref="DR232:DT232"/>
    <mergeCell ref="DO233:DQ233"/>
    <mergeCell ref="DR233:DT233"/>
    <mergeCell ref="DO234:DQ234"/>
    <mergeCell ref="DR234:DT234"/>
    <mergeCell ref="DO235:DQ235"/>
    <mergeCell ref="DR235:DT235"/>
    <mergeCell ref="DO236:DQ236"/>
    <mergeCell ref="DR236:DT236"/>
    <mergeCell ref="DO237:DQ237"/>
    <mergeCell ref="DR237:DT237"/>
    <mergeCell ref="DO238:DQ238"/>
    <mergeCell ref="DR238:DT238"/>
    <mergeCell ref="DO229:DQ229"/>
    <mergeCell ref="DR229:DT229"/>
    <mergeCell ref="DO239:DQ239"/>
    <mergeCell ref="DR239:DT239"/>
    <mergeCell ref="DO240:DQ240"/>
    <mergeCell ref="DR240:DT240"/>
    <mergeCell ref="DO241:DQ241"/>
    <mergeCell ref="DR241:DT241"/>
    <mergeCell ref="DO242:DQ242"/>
    <mergeCell ref="DR242:DT242"/>
    <mergeCell ref="DO243:DQ243"/>
    <mergeCell ref="DR243:DT243"/>
    <mergeCell ref="DO244:DQ244"/>
    <mergeCell ref="DR244:DT244"/>
    <mergeCell ref="DO245:DQ245"/>
    <mergeCell ref="DR245:DT245"/>
    <mergeCell ref="DO246:DQ246"/>
    <mergeCell ref="DR246:DT246"/>
    <mergeCell ref="DO247:DQ247"/>
    <mergeCell ref="DR247:DT247"/>
    <mergeCell ref="DO248:DQ248"/>
    <mergeCell ref="DR248:DT248"/>
    <mergeCell ref="DO249:DQ249"/>
    <mergeCell ref="DR249:DT249"/>
    <mergeCell ref="DO250:DQ250"/>
    <mergeCell ref="DR250:DT250"/>
    <mergeCell ref="DO251:DQ251"/>
    <mergeCell ref="DR251:DT251"/>
    <mergeCell ref="DO252:DQ252"/>
    <mergeCell ref="DR252:DT252"/>
    <mergeCell ref="DO253:DQ253"/>
    <mergeCell ref="DR253:DT253"/>
    <mergeCell ref="DO254:DQ254"/>
    <mergeCell ref="DR254:DT254"/>
    <mergeCell ref="DO255:DQ255"/>
    <mergeCell ref="DR255:DT255"/>
    <mergeCell ref="DO256:DQ256"/>
    <mergeCell ref="DR256:DT256"/>
    <mergeCell ref="DO257:DQ257"/>
    <mergeCell ref="DR257:DT257"/>
    <mergeCell ref="DO258:DQ258"/>
    <mergeCell ref="DR258:DT258"/>
    <mergeCell ref="DO259:DQ259"/>
    <mergeCell ref="DR259:DT259"/>
    <mergeCell ref="DO260:DQ260"/>
    <mergeCell ref="DR260:DT260"/>
    <mergeCell ref="DO261:DQ261"/>
    <mergeCell ref="DR261:DT261"/>
    <mergeCell ref="DO262:DQ262"/>
    <mergeCell ref="DR262:DT262"/>
    <mergeCell ref="DO263:DQ263"/>
    <mergeCell ref="DR263:DT263"/>
    <mergeCell ref="DO264:DQ264"/>
    <mergeCell ref="DR264:DT264"/>
    <mergeCell ref="DO267:DQ267"/>
    <mergeCell ref="DR267:DT267"/>
    <mergeCell ref="DO265:DQ265"/>
    <mergeCell ref="DR265:DT265"/>
    <mergeCell ref="DO266:DQ266"/>
    <mergeCell ref="DR266:DT266"/>
    <mergeCell ref="DO277:DQ277"/>
    <mergeCell ref="DR277:DT277"/>
    <mergeCell ref="DO278:DQ278"/>
    <mergeCell ref="DR278:DT278"/>
    <mergeCell ref="DO279:DQ279"/>
    <mergeCell ref="DR279:DT279"/>
    <mergeCell ref="DO280:DQ280"/>
    <mergeCell ref="DR280:DT280"/>
    <mergeCell ref="DO281:DQ281"/>
    <mergeCell ref="DR281:DT281"/>
    <mergeCell ref="DO282:DQ282"/>
    <mergeCell ref="DR282:DT282"/>
    <mergeCell ref="DO268:DQ268"/>
    <mergeCell ref="DR268:DT268"/>
    <mergeCell ref="DO269:DQ269"/>
    <mergeCell ref="DR269:DT269"/>
    <mergeCell ref="DO270:DQ270"/>
    <mergeCell ref="DR270:DT270"/>
    <mergeCell ref="DO271:DQ271"/>
    <mergeCell ref="DR271:DT271"/>
    <mergeCell ref="DO272:DQ272"/>
    <mergeCell ref="DR272:DT272"/>
    <mergeCell ref="DO273:DQ273"/>
    <mergeCell ref="DR273:DT273"/>
    <mergeCell ref="DO274:DQ274"/>
    <mergeCell ref="DR274:DT274"/>
    <mergeCell ref="DO275:DQ275"/>
    <mergeCell ref="DR275:DT275"/>
    <mergeCell ref="DO276:DQ276"/>
    <mergeCell ref="DR276:DT276"/>
    <mergeCell ref="AK121:AL121"/>
    <mergeCell ref="AK122:AL122"/>
    <mergeCell ref="BF213:BI213"/>
    <mergeCell ref="BF212:BI212"/>
    <mergeCell ref="BF214:BI214"/>
    <mergeCell ref="BF215:BI215"/>
    <mergeCell ref="BF216:BI216"/>
    <mergeCell ref="BF217:BI217"/>
    <mergeCell ref="BF218:BI218"/>
    <mergeCell ref="BF219:BI219"/>
    <mergeCell ref="BF220:BI220"/>
    <mergeCell ref="BF221:BI221"/>
    <mergeCell ref="BF222:BI222"/>
    <mergeCell ref="BF223:BI223"/>
    <mergeCell ref="BF224:BI224"/>
    <mergeCell ref="BF225:BI225"/>
    <mergeCell ref="BF226:BI226"/>
    <mergeCell ref="AP221:AS221"/>
    <mergeCell ref="AP224:AS224"/>
    <mergeCell ref="AL217:AO217"/>
    <mergeCell ref="AP217:AS217"/>
    <mergeCell ref="AT217:AW217"/>
    <mergeCell ref="AX217:BA217"/>
    <mergeCell ref="AL218:AO218"/>
    <mergeCell ref="AP218:AS218"/>
    <mergeCell ref="AT218:AW218"/>
    <mergeCell ref="AX218:BA218"/>
    <mergeCell ref="AT213:AW213"/>
    <mergeCell ref="AX213:BA213"/>
    <mergeCell ref="AL223:AO223"/>
    <mergeCell ref="AP223:AS223"/>
    <mergeCell ref="AL225:AO225"/>
    <mergeCell ref="BF281:BI281"/>
    <mergeCell ref="BF282:BI282"/>
    <mergeCell ref="BB212:BE212"/>
    <mergeCell ref="AL211:BI211"/>
    <mergeCell ref="BB213:BE213"/>
    <mergeCell ref="BB214:BE214"/>
    <mergeCell ref="BB215:BE215"/>
    <mergeCell ref="BB216:BE216"/>
    <mergeCell ref="BB217:BE217"/>
    <mergeCell ref="BB218:BE218"/>
    <mergeCell ref="BB219:BE219"/>
    <mergeCell ref="BB220:BE220"/>
    <mergeCell ref="BB221:BE221"/>
    <mergeCell ref="BB222:BE222"/>
    <mergeCell ref="BB223:BE223"/>
    <mergeCell ref="BB224:BE224"/>
    <mergeCell ref="BB225:BE225"/>
    <mergeCell ref="BB226:BE226"/>
    <mergeCell ref="BB227:BE227"/>
    <mergeCell ref="BB228:BE228"/>
    <mergeCell ref="BB229:BE229"/>
    <mergeCell ref="BB230:BE230"/>
    <mergeCell ref="BB231:BE231"/>
    <mergeCell ref="BB232:BE232"/>
    <mergeCell ref="BB233:BE233"/>
    <mergeCell ref="BF256:BI256"/>
    <mergeCell ref="BF257:BI257"/>
    <mergeCell ref="BF258:BI258"/>
    <mergeCell ref="AL277:AO277"/>
    <mergeCell ref="AP277:AS277"/>
    <mergeCell ref="AT277:AW277"/>
    <mergeCell ref="AX277:BA277"/>
    <mergeCell ref="BB248:BE248"/>
    <mergeCell ref="BB255:BE255"/>
    <mergeCell ref="BF274:BI274"/>
    <mergeCell ref="BF275:BI275"/>
    <mergeCell ref="BF276:BI276"/>
    <mergeCell ref="BF277:BI277"/>
    <mergeCell ref="BF278:BI278"/>
    <mergeCell ref="BF261:BI261"/>
    <mergeCell ref="BF262:BI262"/>
    <mergeCell ref="BF263:BI263"/>
    <mergeCell ref="BF264:BI264"/>
    <mergeCell ref="BF265:BI265"/>
    <mergeCell ref="BF266:BI266"/>
    <mergeCell ref="BF267:BI267"/>
    <mergeCell ref="BF268:BI268"/>
    <mergeCell ref="BF269:BI269"/>
    <mergeCell ref="BF270:BI270"/>
    <mergeCell ref="BF271:BI271"/>
    <mergeCell ref="BF272:BI272"/>
    <mergeCell ref="BB274:BE274"/>
    <mergeCell ref="BB275:BE275"/>
    <mergeCell ref="BB276:BE276"/>
    <mergeCell ref="BB278:BE278"/>
    <mergeCell ref="BF252:BI252"/>
    <mergeCell ref="BF253:BI253"/>
    <mergeCell ref="BF254:BI254"/>
    <mergeCell ref="BF255:BI255"/>
    <mergeCell ref="BB281:BE281"/>
    <mergeCell ref="BB282:BE282"/>
    <mergeCell ref="D123:AF123"/>
    <mergeCell ref="BB256:BE256"/>
    <mergeCell ref="BB257:BE257"/>
    <mergeCell ref="BB258:BE258"/>
    <mergeCell ref="BB259:BE259"/>
    <mergeCell ref="BB260:BE260"/>
    <mergeCell ref="BB261:BE261"/>
    <mergeCell ref="BB262:BE262"/>
    <mergeCell ref="BB263:BE263"/>
    <mergeCell ref="BB264:BE264"/>
    <mergeCell ref="BB265:BE265"/>
    <mergeCell ref="BB266:BE266"/>
    <mergeCell ref="BB267:BE267"/>
    <mergeCell ref="BB268:BE268"/>
    <mergeCell ref="BB269:BE269"/>
    <mergeCell ref="BB270:BE270"/>
    <mergeCell ref="BB271:BE271"/>
    <mergeCell ref="BB272:BE272"/>
    <mergeCell ref="BB239:BE239"/>
    <mergeCell ref="BB240:BE240"/>
    <mergeCell ref="BB241:BE241"/>
    <mergeCell ref="BB242:BE242"/>
    <mergeCell ref="BB243:BE243"/>
    <mergeCell ref="B144:AJ144"/>
    <mergeCell ref="BB244:BE244"/>
    <mergeCell ref="BB245:BE245"/>
    <mergeCell ref="BB246:BE246"/>
    <mergeCell ref="BB252:BE252"/>
    <mergeCell ref="BB253:BE253"/>
    <mergeCell ref="BB254:BE254"/>
  </mergeCells>
  <conditionalFormatting sqref="V64">
    <cfRule type="expression" dxfId="46" priority="284">
      <formula>AND($V$64&lt;6,($V$64-INT($V$64))=0)</formula>
    </cfRule>
    <cfRule type="expression" dxfId="45" priority="285">
      <formula>($V$64-INT($V$64))&gt;0</formula>
    </cfRule>
  </conditionalFormatting>
  <conditionalFormatting sqref="B374">
    <cfRule type="iconSet" priority="279">
      <iconSet iconSet="3Symbols2" showValue="0">
        <cfvo type="percent" val="0"/>
        <cfvo type="num" val="0.5"/>
        <cfvo type="num" val="1"/>
      </iconSet>
    </cfRule>
  </conditionalFormatting>
  <conditionalFormatting sqref="G374">
    <cfRule type="iconSet" priority="280">
      <iconSet iconSet="3Symbols2" showValue="0">
        <cfvo type="percent" val="0"/>
        <cfvo type="num" val="0.5"/>
        <cfvo type="num" val="1"/>
      </iconSet>
    </cfRule>
  </conditionalFormatting>
  <conditionalFormatting sqref="L374">
    <cfRule type="iconSet" priority="281">
      <iconSet iconSet="3Symbols2" showValue="0">
        <cfvo type="percent" val="0"/>
        <cfvo type="num" val="0.5"/>
        <cfvo type="num" val="1"/>
      </iconSet>
    </cfRule>
  </conditionalFormatting>
  <conditionalFormatting sqref="Q374">
    <cfRule type="iconSet" priority="283">
      <iconSet iconSet="3Symbols2" showValue="0">
        <cfvo type="percent" val="0"/>
        <cfvo type="num" val="0.5"/>
        <cfvo type="num" val="1"/>
      </iconSet>
    </cfRule>
  </conditionalFormatting>
  <conditionalFormatting sqref="O113:AF113 D124:AF128">
    <cfRule type="expression" dxfId="44" priority="254">
      <formula>$O$62&lt;&gt;"Adhesivo"</formula>
    </cfRule>
  </conditionalFormatting>
  <conditionalFormatting sqref="B299:AI304">
    <cfRule type="expression" dxfId="43" priority="130">
      <formula>$D$297=""</formula>
    </cfRule>
  </conditionalFormatting>
  <conditionalFormatting sqref="AA301:AE303">
    <cfRule type="cellIs" dxfId="42" priority="136" operator="greaterThan">
      <formula>100</formula>
    </cfRule>
  </conditionalFormatting>
  <conditionalFormatting sqref="O60:AF62 O64:X64 Z68 Z71 Z90 Z92:AF93 Z97:AF102 D103 Z104 Z108:AF111 Z117 Z120:AF122">
    <cfRule type="containsBlanks" dxfId="41" priority="358">
      <formula>LEN(TRIM(D60))=0</formula>
    </cfRule>
  </conditionalFormatting>
  <conditionalFormatting sqref="B998:AJ1041">
    <cfRule type="expression" dxfId="40" priority="255">
      <formula>$O$62&lt;&gt;"Adhesivo"</formula>
    </cfRule>
  </conditionalFormatting>
  <conditionalFormatting sqref="AA311:AE313">
    <cfRule type="cellIs" dxfId="39" priority="138" operator="greaterThan">
      <formula>100</formula>
    </cfRule>
  </conditionalFormatting>
  <conditionalFormatting sqref="AA321:AE323">
    <cfRule type="cellIs" dxfId="38" priority="140" operator="greaterThan">
      <formula>100</formula>
    </cfRule>
  </conditionalFormatting>
  <conditionalFormatting sqref="AA331:AE333">
    <cfRule type="cellIs" dxfId="37" priority="146" operator="greaterThan">
      <formula>100</formula>
    </cfRule>
  </conditionalFormatting>
  <conditionalFormatting sqref="AA341:AE343">
    <cfRule type="cellIs" dxfId="36" priority="253" operator="greaterThan">
      <formula>100</formula>
    </cfRule>
  </conditionalFormatting>
  <conditionalFormatting sqref="B309:AI314">
    <cfRule type="expression" dxfId="35" priority="131">
      <formula>$D$307=""</formula>
    </cfRule>
  </conditionalFormatting>
  <conditionalFormatting sqref="B319:AI324">
    <cfRule type="expression" dxfId="34" priority="132">
      <formula>$D$317=""</formula>
    </cfRule>
  </conditionalFormatting>
  <conditionalFormatting sqref="B329:AI334">
    <cfRule type="expression" dxfId="33" priority="133">
      <formula>$D$327=""</formula>
    </cfRule>
  </conditionalFormatting>
  <conditionalFormatting sqref="B339:AI344">
    <cfRule type="expression" dxfId="32" priority="134">
      <formula>$D$337=""</formula>
    </cfRule>
  </conditionalFormatting>
  <conditionalFormatting sqref="B176:AI178">
    <cfRule type="expression" dxfId="31" priority="66">
      <formula>$B$174="Diseño de resistencia (LRFD)"</formula>
    </cfRule>
  </conditionalFormatting>
  <conditionalFormatting sqref="AA409:AE410">
    <cfRule type="expression" dxfId="30" priority="65">
      <formula>$B$174="Diseño de resistencia (LRFD)"</formula>
    </cfRule>
  </conditionalFormatting>
  <conditionalFormatting sqref="AA440:AE440">
    <cfRule type="expression" dxfId="29" priority="64">
      <formula>$B$174="Diseño de resistencia (LRFD)"</formula>
    </cfRule>
  </conditionalFormatting>
  <conditionalFormatting sqref="AA462:AE462">
    <cfRule type="expression" dxfId="28" priority="63">
      <formula>$B$174="Diseño de resistencia (LRFD)"</formula>
    </cfRule>
  </conditionalFormatting>
  <conditionalFormatting sqref="AA493:AE493">
    <cfRule type="expression" dxfId="27" priority="62">
      <formula>$B$174="Diseño de resistencia (LRFD)"</formula>
    </cfRule>
  </conditionalFormatting>
  <conditionalFormatting sqref="AA515:AE515">
    <cfRule type="expression" dxfId="26" priority="61">
      <formula>$B$174="Diseño de resistencia (LRFD)"</formula>
    </cfRule>
  </conditionalFormatting>
  <conditionalFormatting sqref="AA547:AE547">
    <cfRule type="expression" dxfId="25" priority="60">
      <formula>$B$174="Diseño de resistencia (LRFD)"</formula>
    </cfRule>
  </conditionalFormatting>
  <conditionalFormatting sqref="AA573:AE573">
    <cfRule type="expression" dxfId="24" priority="59">
      <formula>$B$174="Diseño de resistencia (LRFD)"</formula>
    </cfRule>
  </conditionalFormatting>
  <conditionalFormatting sqref="AF607:AJ607">
    <cfRule type="expression" dxfId="23" priority="58">
      <formula>$B$174="Diseño de resistencia (LRFD)"</formula>
    </cfRule>
  </conditionalFormatting>
  <conditionalFormatting sqref="AA629:AE629">
    <cfRule type="expression" dxfId="22" priority="57">
      <formula>$B$174="Diseño de resistencia (LRFD)"</formula>
    </cfRule>
  </conditionalFormatting>
  <conditionalFormatting sqref="BJ213:CV282 AL213:BE282 DG214:DY282 DL213:DY213 DZ213:EE282">
    <cfRule type="expression" dxfId="1" priority="21">
      <formula>AND($D213&lt;&gt;"",$D214="")</formula>
    </cfRule>
    <cfRule type="expression" dxfId="0" priority="22">
      <formula>$D213&lt;&gt;""</formula>
    </cfRule>
  </conditionalFormatting>
  <conditionalFormatting sqref="DL215:DT282">
    <cfRule type="expression" dxfId="21" priority="19">
      <formula>AND($D215&lt;&gt;"",$D216="")</formula>
    </cfRule>
    <cfRule type="expression" dxfId="20" priority="20">
      <formula>$D215&lt;&gt;""</formula>
    </cfRule>
  </conditionalFormatting>
  <conditionalFormatting sqref="D213:AE282">
    <cfRule type="expression" dxfId="19" priority="27">
      <formula>AND($D213&lt;&gt;"",$D214="")</formula>
    </cfRule>
    <cfRule type="expression" dxfId="18" priority="28">
      <formula>$D213&lt;&gt;""</formula>
    </cfRule>
  </conditionalFormatting>
  <conditionalFormatting sqref="BF213:BI282">
    <cfRule type="expression" dxfId="17" priority="15">
      <formula>AND($D213&lt;&gt;"",$D214="")</formula>
    </cfRule>
    <cfRule type="expression" dxfId="16" priority="16">
      <formula>$D213&lt;&gt;""</formula>
    </cfRule>
  </conditionalFormatting>
  <conditionalFormatting sqref="AA439:AE439">
    <cfRule type="expression" dxfId="15" priority="14">
      <formula>$B$174="Diseño de resistencia (LRFD)"</formula>
    </cfRule>
  </conditionalFormatting>
  <conditionalFormatting sqref="AA461:AE461">
    <cfRule type="expression" dxfId="14" priority="13">
      <formula>$B$174="Diseño de resistencia (LRFD)"</formula>
    </cfRule>
  </conditionalFormatting>
  <conditionalFormatting sqref="AA492:AE492">
    <cfRule type="expression" dxfId="13" priority="12">
      <formula>$B$174="Diseño de resistencia (LRFD)"</formula>
    </cfRule>
  </conditionalFormatting>
  <conditionalFormatting sqref="AA514:AE514">
    <cfRule type="expression" dxfId="12" priority="11">
      <formula>$B$174="Diseño de resistencia (LRFD)"</formula>
    </cfRule>
  </conditionalFormatting>
  <conditionalFormatting sqref="AA546:AE546">
    <cfRule type="expression" dxfId="11" priority="10">
      <formula>$B$174="Diseño de resistencia (LRFD)"</formula>
    </cfRule>
  </conditionalFormatting>
  <conditionalFormatting sqref="AA572:AE572">
    <cfRule type="expression" dxfId="10" priority="9">
      <formula>$B$174="Diseño de resistencia (LRFD)"</formula>
    </cfRule>
  </conditionalFormatting>
  <conditionalFormatting sqref="AF606:AJ606">
    <cfRule type="expression" dxfId="9" priority="8">
      <formula>$B$174="Diseño de resistencia (LRFD)"</formula>
    </cfRule>
  </conditionalFormatting>
  <conditionalFormatting sqref="AA628:AE628">
    <cfRule type="expression" dxfId="8" priority="7">
      <formula>$B$174="Diseño de resistencia (LRFD)"</formula>
    </cfRule>
  </conditionalFormatting>
  <conditionalFormatting sqref="CW214:DA282">
    <cfRule type="expression" dxfId="7" priority="5">
      <formula>AND($D214&lt;&gt;"",$D215="")</formula>
    </cfRule>
    <cfRule type="expression" dxfId="6" priority="6">
      <formula>$D214&lt;&gt;""</formula>
    </cfRule>
  </conditionalFormatting>
  <conditionalFormatting sqref="DB214:DF282">
    <cfRule type="expression" dxfId="5" priority="3">
      <formula>AND($D214&lt;&gt;"",$D215="")</formula>
    </cfRule>
    <cfRule type="expression" dxfId="4" priority="4">
      <formula>$D214&lt;&gt;""</formula>
    </cfRule>
  </conditionalFormatting>
  <conditionalFormatting sqref="CW214:DA282 CW213:DK213">
    <cfRule type="expression" dxfId="3" priority="1">
      <formula>AND($D213&lt;&gt;"",$D214="")</formula>
    </cfRule>
    <cfRule type="expression" dxfId="2" priority="2">
      <formula>$D213&lt;&gt;""</formula>
    </cfRule>
  </conditionalFormatting>
  <dataValidations count="39">
    <dataValidation type="whole" operator="greaterThanOrEqual" allowBlank="1" showInputMessage="1" showErrorMessage="1" sqref="Y64:AF64 Z87:AF89 Z73:AF76 Z83:AF83 Z66:AF71">
      <formula1>0</formula1>
    </dataValidation>
    <dataValidation type="list" allowBlank="1" showInputMessage="1" sqref="Z92:AF92">
      <formula1>"Libre,Restringido"</formula1>
    </dataValidation>
    <dataValidation type="decimal" errorStyle="warning" allowBlank="1" showInputMessage="1" showErrorMessage="1" error="La resistencia del material base no se encuentra dentro del rango certificado por ICC._x000a__x000a_Esta condición requiere pruebas de resistencia para su validación." sqref="Z97">
      <formula1>17.2</formula1>
      <formula2>58.6</formula2>
    </dataValidation>
    <dataValidation type="list" allowBlank="1" showInputMessage="1" showErrorMessage="1" sqref="O63:AF63">
      <formula1>INDIRECT($O$62)</formula1>
    </dataValidation>
    <dataValidation type="list" allowBlank="1" showInputMessage="1" showErrorMessage="1" sqref="Z102">
      <formula1>"N/A,DMI (SDC A-B),DMO (SDC C),DES (SDC D-F)"</formula1>
    </dataValidation>
    <dataValidation type="decimal" allowBlank="1" sqref="Z82:AF82">
      <formula1>17.2</formula1>
      <formula2>58.6</formula2>
    </dataValidation>
    <dataValidation type="list" allowBlank="1" showInputMessage="1" showErrorMessage="1" sqref="Z86">
      <formula1>"Reducido,Completo"</formula1>
    </dataValidation>
    <dataValidation type="list" allowBlank="1" showInputMessage="1" showErrorMessage="1" sqref="Z90">
      <formula1>"Alta,Moderada,Baja"</formula1>
    </dataValidation>
    <dataValidation type="decimal" operator="greaterThan" allowBlank="1" sqref="V64">
      <formula1>0</formula1>
    </dataValidation>
    <dataValidation type="list" allowBlank="1" showInputMessage="1" showErrorMessage="1" sqref="Z100">
      <formula1>"Confinado,Inconfinado"</formula1>
    </dataValidation>
    <dataValidation type="decimal" allowBlank="1" showInputMessage="1" showErrorMessage="1" sqref="Z103">
      <formula1>0</formula1>
      <formula2>1</formula2>
    </dataValidation>
    <dataValidation type="list" allowBlank="1" showInputMessage="1" showErrorMessage="1" sqref="Z101">
      <formula1>"A,B"</formula1>
    </dataValidation>
    <dataValidation type="list" allowBlank="1" showInputMessage="1" showErrorMessage="1" sqref="Z99">
      <formula1>"Fisurado, No fisurado"</formula1>
    </dataValidation>
    <dataValidation type="decimal" errorStyle="warning" operator="greaterThan" allowBlank="1" showErrorMessage="1" errorTitle="¡ Error de validación !" error="El valor de espesor del elemento es inválido._x000a__x000a_Verifique la información y vuelva a intentarlo." sqref="Z104">
      <formula1>3*Z$66/2</formula1>
    </dataValidation>
    <dataValidation type="list" allowBlank="1" showInputMessage="1" showErrorMessage="1" sqref="P118:X118 AA118:AF118">
      <formula1>"Superficie seca,Superficie humeda,Superficie saturada de agua,Superficie sumergida (bajo agua)"</formula1>
    </dataValidation>
    <dataValidation type="list" allowBlank="1" showInputMessage="1" showErrorMessage="1" sqref="O105:Y105">
      <formula1>"ICC - ,EOTA - ,EJ -,Otra"</formula1>
    </dataValidation>
    <dataValidation type="list" allowBlank="1" showInputMessage="1" showErrorMessage="1" sqref="B174:K174">
      <formula1>"Diseño de resistencia (LRFD),Diseño admisible (ASD)"</formula1>
    </dataValidation>
    <dataValidation type="list" showInputMessage="1" showErrorMessage="1" sqref="D337:AK337 D307:AK307 D317:AK317 D327:AK327 D297:AK297">
      <formula1>"Diseño estático,Diseño sísmico,Diseño dinámico a fatiga/impacto,Diseño a cargas permanentes (largo plazo),Diseño a prueba de fuego"</formula1>
    </dataValidation>
    <dataValidation type="list" allowBlank="1" showInputMessage="1" showErrorMessage="1" sqref="D103:N103">
      <formula1>"Peso Normal,Ligero arenoso,Otro ligero"</formula1>
    </dataValidation>
    <dataValidation type="list" allowBlank="1" showInputMessage="1" showErrorMessage="1" sqref="O62:AF62">
      <formula1>INDIRECT($O$61)</formula1>
    </dataValidation>
    <dataValidation type="list" errorStyle="warning" allowBlank="1" sqref="O120:Y120">
      <formula1>"ISO 898-1 Clase 5.8,ASTM A193 Grado B7,ASTM F593 CW1 (304/316),ISO 3506-1 A4,ASTM A615 Grado 60,ASTM 706 Grado 60,Otro (indicado)"</formula1>
    </dataValidation>
    <dataValidation type="list" allowBlank="1" showInputMessage="1" showErrorMessage="1" sqref="O106:Y106">
      <mc:AlternateContent xmlns:x12ac="http://schemas.microsoft.com/office/spreadsheetml/2011/1/ac" xmlns:mc="http://schemas.openxmlformats.org/markup-compatibility/2006">
        <mc:Choice Requires="x12ac">
          <x12ac:list>"ACI 318-14 (NSR-10, apéndice D)",ETAG,Hilti SOFA,Juicio de ingeniería/Otro</x12ac:list>
        </mc:Choice>
        <mc:Fallback>
          <formula1>"ACI 318-14 (NSR-10, apéndice D),ETAG,Hilti SOFA,Juicio de ingeniería/Otro"</formula1>
        </mc:Fallback>
      </mc:AlternateContent>
    </dataValidation>
    <dataValidation type="list" allowBlank="1" showErrorMessage="1" sqref="AA1015">
      <formula1>"Dispensador Manual,Dispensador Inalámbrico"</formula1>
    </dataValidation>
    <dataValidation type="list" allowBlank="1" sqref="L1015:P1015">
      <formula1>"300,500,1400"</formula1>
    </dataValidation>
    <dataValidation type="whole" operator="greaterThan" allowBlank="1" showInputMessage="1" showErrorMessage="1" sqref="Z91:AF91">
      <formula1>0</formula1>
    </dataValidation>
    <dataValidation type="list" allowBlank="1" showInputMessage="1" showErrorMessage="1" sqref="Y104">
      <formula1>"≥,≈,≤"</formula1>
    </dataValidation>
    <dataValidation type="list" allowBlank="1" showInputMessage="1" showErrorMessage="1" sqref="O81:AF81">
      <formula1>"Ninguna,Vacio sin restricción, Vacio con restricción,Relleno con Grout"</formula1>
    </dataValidation>
    <dataValidation type="list" allowBlank="1" showInputMessage="1" showErrorMessage="1" sqref="O61:AF61">
      <formula1>"Embebido,Postinstalado"</formula1>
    </dataValidation>
    <dataValidation type="list" allowBlank="1" showInputMessage="1" sqref="Z93:AF93">
      <formula1>"Libre,Restringida"</formula1>
    </dataValidation>
    <dataValidation type="list" allowBlank="1" sqref="O64:U64">
      <formula1>INDIRECT($AL$61)</formula1>
    </dataValidation>
    <dataValidation type="list" allowBlank="1" showInputMessage="1" showErrorMessage="1" sqref="Z85:AJ85">
      <formula1>"con broca de carburo,con broca de diamante,autolimpiable (broca hueca HDB)"</formula1>
    </dataValidation>
    <dataValidation type="list" allowBlank="1" showInputMessage="1" showErrorMessage="1" sqref="O85:Y85">
      <formula1>"Perforación seca,Perforación humeda,Perforación saturada de agua,Perforación sumergida (bajo agua)"</formula1>
    </dataValidation>
    <dataValidation type="list" allowBlank="1" showInputMessage="1" sqref="Z77:AF77">
      <formula1>"Rectangular,Circular,Triangular,Otra/Irregular"</formula1>
    </dataValidation>
    <dataValidation type="list" allowBlank="1" showInputMessage="1" showErrorMessage="1" sqref="Z120:AF120">
      <formula1>"(dúctil),(no dúctil)"</formula1>
    </dataValidation>
    <dataValidation type="decimal" operator="greaterThanOrEqual" allowBlank="1" showInputMessage="1" sqref="Z98:AF98">
      <formula1>0</formula1>
    </dataValidation>
    <dataValidation type="list" allowBlank="1" showInputMessage="1" showErrorMessage="1" sqref="BJ213:BK282 BP213:BQ282 BV213:BW282 CB213:CC282">
      <formula1>OFFSET($D$213,0,0,COUNTA($D$213:$G$282),1)</formula1>
    </dataValidation>
    <dataValidation type="whole" operator="greaterThanOrEqual" allowBlank="1" showInputMessage="1" sqref="Z78:AF80">
      <formula1>0</formula1>
    </dataValidation>
    <dataValidation type="decimal" operator="greaterThan" allowBlank="1" showInputMessage="1" showErrorMessage="1" sqref="Z124:AF125">
      <formula1>0</formula1>
    </dataValidation>
    <dataValidation type="list" allowBlank="1" showInputMessage="1" showErrorMessage="1" sqref="Q594:U594">
      <formula1>"1,2,3"</formula1>
    </dataValidation>
  </dataValidations>
  <pageMargins left="0.51181102362204722" right="0.51181102362204722" top="0.98425196850393704" bottom="0.6692913385826772" header="0.31496062992125984" footer="0.31496062992125984"/>
  <pageSetup fitToHeight="0" orientation="portrait" horizontalDpi="300" verticalDpi="300" r:id="rId1"/>
  <headerFooter>
    <oddHeader>&amp;L&amp;8
&amp;F
&amp;"Arial,Negrita"&amp;A&amp;C&amp;8&amp;KFF0000
— ESTE DOCUMENTO ES CONFIDENCIAL —
(FORMATO PARA USO INTERNO)&amp;R
&amp;G</oddHeader>
    <oddFooter xml:space="preserve">&amp;L&amp;9    Los datos de entrada y resultados deben ser verificados por parte del responsable del diseño.
    Hilti es una marca registrada de Hilti AG, Schaan&amp;C&amp;G&amp;R&amp;P de &amp;N                   </oddFooter>
  </headerFooter>
  <rowBreaks count="26" manualBreakCount="26">
    <brk id="45" max="35" man="1"/>
    <brk id="53" max="35" man="1"/>
    <brk id="94" max="35" man="1"/>
    <brk id="157" max="35" man="1"/>
    <brk id="206" max="35" man="1"/>
    <brk id="289" max="35" man="1"/>
    <brk id="356" max="35" man="1"/>
    <brk id="380" max="35" man="1"/>
    <brk id="412" max="35" man="1"/>
    <brk id="442" max="35" man="1"/>
    <brk id="464" max="35" man="1"/>
    <brk id="495" max="35" man="1"/>
    <brk id="517" max="35" man="1"/>
    <brk id="549" max="35" man="1"/>
    <brk id="575" max="35" man="1"/>
    <brk id="609" max="35" man="1"/>
    <brk id="631" max="35" man="1"/>
    <brk id="658" max="35" man="1"/>
    <brk id="690" max="35" man="1"/>
    <brk id="721" max="35" man="1"/>
    <brk id="751" max="35" man="1"/>
    <brk id="774" max="35" man="1"/>
    <brk id="797" max="35" man="1"/>
    <brk id="892" max="35" man="1"/>
    <brk id="987" max="35" man="1"/>
    <brk id="1042" max="35" man="1"/>
  </rowBreaks>
  <colBreaks count="1" manualBreakCount="1">
    <brk id="1" max="967" man="1"/>
  </colBreaks>
  <ignoredErrors>
    <ignoredError sqref="AI6" numberStoredAsText="1"/>
    <ignoredError sqref="O301:Z302" evalError="1"/>
  </ignoredErrors>
  <drawing r:id="rId2"/>
  <legacyDrawing r:id="rId3"/>
  <legacyDrawingHF r:id="rId4"/>
  <extLst>
    <ext xmlns:x14="http://schemas.microsoft.com/office/spreadsheetml/2009/9/main" uri="{CCE6A557-97BC-4b89-ADB6-D9C93CAAB3DF}">
      <x14:dataValidations xmlns:xm="http://schemas.microsoft.com/office/excel/2006/main" count="5">
        <x14:dataValidation type="list" allowBlank="1" showInputMessage="1">
          <x14:formula1>
            <xm:f>OFFSET(INDIRECT("Definiciones!F"&amp;MATCH($O$64,Definiciones!AI:AI,0),TRUE),0,0,COUNTIF(Definiciones!AI:AI,$O$64),1)</xm:f>
          </x14:formula1>
          <xm:sqref>K1012</xm:sqref>
        </x14:dataValidation>
        <x14:dataValidation type="list" allowBlank="1" showInputMessage="1">
          <x14:formula1>
            <xm:f>OFFSET(INDIRECT("Definiciones!F"&amp;MATCH($O$64,Definiciones!C:C,0),TRUE),0,0,COUNTIF(Definiciones!C:C,$O$64),1)</xm:f>
          </x14:formula1>
          <xm:sqref>AM1011:BF1011</xm:sqref>
        </x14:dataValidation>
        <x14:dataValidation type="list" allowBlank="1">
          <x14:formula1>
            <xm:f>OFFSET(INDIRECT("Definiciones!e"&amp;MATCH($O$64,Definiciones!C:C,0),TRUE),0,0,COUNTIF(Definiciones!C:C,$O$64),1)</xm:f>
          </x14:formula1>
          <xm:sqref>B975:Q978 B980:Q986</xm:sqref>
        </x14:dataValidation>
        <x14:dataValidation type="list" allowBlank="1">
          <x14:formula1>
            <xm:f>OFFSET(INDIRECT("Definiciones!E"&amp;MATCH($O$64,Definiciones!C:C,0),TRUE),0,0,COUNTIF(Definiciones!C:C,$O$64),1)</xm:f>
          </x14:formula1>
          <xm:sqref>B979:Q979</xm:sqref>
        </x14:dataValidation>
        <x14:dataValidation type="list" allowBlank="1" showInputMessage="1">
          <x14:formula1>
            <xm:f>OFFSET(INDIRECT("Definiciones!E"&amp;MATCH($O$64,Definiciones!C:C,0),TRUE),0,-2,1,1)</xm:f>
          </x14:formula1>
          <xm:sqref>B1012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C1"/>
  <sheetViews>
    <sheetView workbookViewId="0">
      <selection activeCell="E11" sqref="A3:E11"/>
    </sheetView>
  </sheetViews>
  <sheetFormatPr defaultColWidth="8.85546875" defaultRowHeight="12.75" x14ac:dyDescent="0.2"/>
  <cols>
    <col min="1" max="1" width="28.5703125" customWidth="1"/>
    <col min="2" max="2" width="11.42578125" style="200" customWidth="1"/>
    <col min="3" max="3" width="17.140625" style="20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85"/>
  <sheetViews>
    <sheetView zoomScaleNormal="100" zoomScalePageLayoutView="90" workbookViewId="0">
      <selection activeCell="F23" sqref="F23"/>
    </sheetView>
  </sheetViews>
  <sheetFormatPr defaultColWidth="8.85546875" defaultRowHeight="12.75" x14ac:dyDescent="0.2"/>
  <cols>
    <col min="1" max="1" width="2.85546875" style="1" customWidth="1"/>
    <col min="2" max="2" width="28.5703125" style="1" customWidth="1"/>
    <col min="3" max="3" width="18.85546875" style="1" customWidth="1"/>
    <col min="4" max="4" width="10.7109375" style="1" customWidth="1"/>
    <col min="5" max="5" width="6.7109375" style="1" customWidth="1"/>
    <col min="6" max="6" width="25.85546875" style="1" bestFit="1" customWidth="1"/>
    <col min="7" max="7" width="20.7109375" style="1" customWidth="1"/>
    <col min="8" max="8" width="9.7109375" style="1" customWidth="1"/>
    <col min="9" max="9" width="10.7109375" style="1" customWidth="1"/>
    <col min="10" max="11" width="9.7109375" style="1" customWidth="1"/>
    <col min="12" max="12" width="12.7109375" style="1" customWidth="1"/>
    <col min="13" max="13" width="14.7109375" style="1" customWidth="1"/>
    <col min="14" max="14" width="5.7109375" style="1" customWidth="1"/>
    <col min="15" max="15" width="14.7109375" style="1" customWidth="1"/>
    <col min="16" max="16" width="9.7109375" style="1" customWidth="1"/>
    <col min="17" max="17" width="35.7109375" style="1" customWidth="1"/>
    <col min="18" max="18" width="2.7109375" style="1" customWidth="1"/>
    <col min="19" max="16384" width="8.85546875" style="1"/>
  </cols>
  <sheetData>
    <row r="1" spans="1:19" s="6" customFormat="1" ht="12" thickBot="1" x14ac:dyDescent="0.25"/>
    <row r="2" spans="1:19" s="7" customFormat="1" ht="22.5" customHeight="1" x14ac:dyDescent="0.2">
      <c r="A2" s="538"/>
      <c r="B2" s="536" t="s">
        <v>272</v>
      </c>
      <c r="C2" s="536" t="s">
        <v>273</v>
      </c>
      <c r="D2" s="536" t="s">
        <v>274</v>
      </c>
      <c r="E2" s="540" t="s">
        <v>275</v>
      </c>
      <c r="F2" s="536" t="s">
        <v>281</v>
      </c>
      <c r="G2" s="536" t="s">
        <v>283</v>
      </c>
      <c r="H2" s="52" t="s">
        <v>289</v>
      </c>
      <c r="I2" s="53" t="s">
        <v>290</v>
      </c>
      <c r="J2" s="53" t="s">
        <v>291</v>
      </c>
      <c r="K2" s="52" t="s">
        <v>292</v>
      </c>
      <c r="L2" s="544" t="s">
        <v>287</v>
      </c>
      <c r="M2" s="544"/>
      <c r="N2" s="52" t="s">
        <v>295</v>
      </c>
      <c r="O2" s="542" t="s">
        <v>286</v>
      </c>
      <c r="P2" s="542" t="s">
        <v>285</v>
      </c>
      <c r="Q2" s="542" t="s">
        <v>276</v>
      </c>
      <c r="R2" s="542"/>
      <c r="S2" s="43"/>
    </row>
    <row r="3" spans="1:19" s="8" customFormat="1" ht="23.25" thickBot="1" x14ac:dyDescent="0.25">
      <c r="A3" s="539"/>
      <c r="B3" s="537"/>
      <c r="C3" s="537"/>
      <c r="D3" s="537"/>
      <c r="E3" s="541"/>
      <c r="F3" s="537"/>
      <c r="G3" s="537"/>
      <c r="H3" s="40" t="s">
        <v>259</v>
      </c>
      <c r="I3" s="40" t="s">
        <v>293</v>
      </c>
      <c r="J3" s="40" t="s">
        <v>294</v>
      </c>
      <c r="K3" s="40" t="s">
        <v>0</v>
      </c>
      <c r="L3" s="51" t="s">
        <v>288</v>
      </c>
      <c r="M3" s="51" t="s">
        <v>284</v>
      </c>
      <c r="N3" s="40" t="s">
        <v>296</v>
      </c>
      <c r="O3" s="543"/>
      <c r="P3" s="543"/>
      <c r="Q3" s="543"/>
      <c r="R3" s="543"/>
      <c r="S3" s="44"/>
    </row>
    <row r="4" spans="1:19" s="9" customFormat="1" ht="11.25" x14ac:dyDescent="0.2">
      <c r="A4" s="534"/>
      <c r="B4" s="534"/>
      <c r="C4" s="534"/>
      <c r="D4" s="534"/>
      <c r="E4" s="534"/>
      <c r="F4" s="534"/>
      <c r="G4" s="534"/>
      <c r="H4" s="534"/>
      <c r="I4" s="534"/>
      <c r="J4" s="534"/>
      <c r="K4" s="534"/>
      <c r="L4" s="534"/>
      <c r="M4" s="534"/>
      <c r="N4" s="534"/>
      <c r="O4" s="534"/>
      <c r="P4" s="534"/>
      <c r="Q4" s="534"/>
      <c r="R4" s="534"/>
    </row>
    <row r="5" spans="1:19" s="6" customFormat="1" ht="11.25" x14ac:dyDescent="0.2">
      <c r="A5" s="535" t="s">
        <v>277</v>
      </c>
      <c r="B5" s="535"/>
      <c r="C5" s="535"/>
      <c r="D5" s="535"/>
      <c r="E5" s="535"/>
      <c r="F5" s="535"/>
      <c r="G5" s="535"/>
      <c r="H5" s="535"/>
      <c r="I5" s="535"/>
      <c r="J5" s="535"/>
      <c r="K5" s="535"/>
      <c r="L5" s="535"/>
      <c r="M5" s="535"/>
      <c r="N5" s="535"/>
      <c r="O5" s="535"/>
      <c r="P5" s="535"/>
      <c r="Q5" s="535"/>
      <c r="R5" s="41"/>
    </row>
    <row r="6" spans="1:19" s="6" customFormat="1" ht="11.25" x14ac:dyDescent="0.2">
      <c r="A6" s="534"/>
      <c r="B6" s="10"/>
      <c r="C6" s="11"/>
      <c r="D6" s="12"/>
      <c r="E6" s="12"/>
      <c r="F6" s="12"/>
      <c r="G6" s="12"/>
      <c r="H6" s="12"/>
      <c r="I6" s="12"/>
      <c r="J6" s="12"/>
      <c r="K6" s="12"/>
      <c r="L6" s="12"/>
      <c r="M6" s="12"/>
      <c r="N6" s="12"/>
      <c r="O6" s="12"/>
      <c r="P6" s="12"/>
      <c r="Q6" s="13"/>
      <c r="R6" s="41"/>
    </row>
    <row r="7" spans="1:19" s="6" customFormat="1" ht="25.5" x14ac:dyDescent="0.2">
      <c r="A7" s="534"/>
      <c r="B7" s="25" t="s">
        <v>280</v>
      </c>
      <c r="C7" s="26" t="s">
        <v>278</v>
      </c>
      <c r="D7" s="27" t="s">
        <v>279</v>
      </c>
      <c r="E7" s="28">
        <v>0</v>
      </c>
      <c r="F7" s="29" t="s">
        <v>282</v>
      </c>
      <c r="G7" s="27" t="s">
        <v>170</v>
      </c>
      <c r="H7" s="46" t="e">
        <f>IF(F7="","",LOOKUP(G7,Definiciones!#REF!,Definiciones!#REF!)/10)</f>
        <v>#REF!</v>
      </c>
      <c r="I7" s="46">
        <v>15</v>
      </c>
      <c r="J7" s="30"/>
      <c r="K7" s="47">
        <f>IF(F7="","",ROUNDUP(J7+I7,1))</f>
        <v>15</v>
      </c>
      <c r="L7" s="48" t="e">
        <f>IF(F7="","",(PI()*(H7^2)/4)*I7)</f>
        <v>#REF!</v>
      </c>
      <c r="M7" s="48" t="e">
        <f>IF(F7="","",(L7*2/3)*(1+N7))</f>
        <v>#REF!</v>
      </c>
      <c r="N7" s="49">
        <v>0</v>
      </c>
      <c r="O7" s="50" t="e">
        <f>IF(F7="","",$E7*M7)</f>
        <v>#REF!</v>
      </c>
      <c r="P7" s="47">
        <f t="shared" ref="P7:P17" si="0">IF(G7="","",J7+K7)</f>
        <v>15</v>
      </c>
      <c r="Q7" s="31"/>
      <c r="R7" s="41"/>
    </row>
    <row r="8" spans="1:19" s="6" customFormat="1" ht="11.25" customHeight="1" x14ac:dyDescent="0.2">
      <c r="A8" s="534"/>
      <c r="B8" s="25"/>
      <c r="C8" s="26"/>
      <c r="D8" s="27"/>
      <c r="E8" s="32"/>
      <c r="F8" s="29"/>
      <c r="G8" s="27"/>
      <c r="H8" s="46" t="str">
        <f>IF(F8="","",LOOKUP(G8,Definiciones!#REF!,Definiciones!#REF!)/10)</f>
        <v/>
      </c>
      <c r="I8" s="46">
        <v>15</v>
      </c>
      <c r="J8" s="30"/>
      <c r="K8" s="47" t="str">
        <f t="shared" ref="K8:K17" si="1">IF(F8="","",ROUNDUP(J8+I8,1))</f>
        <v/>
      </c>
      <c r="L8" s="48" t="str">
        <f t="shared" ref="L8:L17" si="2">IF(F8="","",(PI()*(H8^2)/4)*I8)</f>
        <v/>
      </c>
      <c r="M8" s="48" t="str">
        <f t="shared" ref="M8:M17" si="3">IF(F8="","",(L8*2/3)*(1+N8))</f>
        <v/>
      </c>
      <c r="N8" s="49">
        <v>0</v>
      </c>
      <c r="O8" s="50" t="str">
        <f t="shared" ref="O8:O17" si="4">IF(F8="","",$E8*M8)</f>
        <v/>
      </c>
      <c r="P8" s="47" t="str">
        <f t="shared" si="0"/>
        <v/>
      </c>
      <c r="Q8" s="31"/>
      <c r="R8" s="41"/>
    </row>
    <row r="9" spans="1:19" s="6" customFormat="1" ht="11.25" customHeight="1" x14ac:dyDescent="0.2">
      <c r="A9" s="534"/>
      <c r="B9" s="25"/>
      <c r="C9" s="26"/>
      <c r="D9" s="27"/>
      <c r="E9" s="32"/>
      <c r="F9" s="29"/>
      <c r="G9" s="27"/>
      <c r="H9" s="46" t="str">
        <f>IF(F9="","",LOOKUP(G9,Definiciones!#REF!,Definiciones!#REF!)/10)</f>
        <v/>
      </c>
      <c r="I9" s="46">
        <v>15</v>
      </c>
      <c r="J9" s="30"/>
      <c r="K9" s="47" t="str">
        <f t="shared" si="1"/>
        <v/>
      </c>
      <c r="L9" s="48" t="str">
        <f t="shared" si="2"/>
        <v/>
      </c>
      <c r="M9" s="48" t="str">
        <f t="shared" si="3"/>
        <v/>
      </c>
      <c r="N9" s="49">
        <v>0</v>
      </c>
      <c r="O9" s="50" t="str">
        <f t="shared" si="4"/>
        <v/>
      </c>
      <c r="P9" s="47" t="str">
        <f t="shared" si="0"/>
        <v/>
      </c>
      <c r="Q9" s="31"/>
      <c r="R9" s="41"/>
    </row>
    <row r="10" spans="1:19" s="6" customFormat="1" ht="11.25" customHeight="1" x14ac:dyDescent="0.2">
      <c r="A10" s="534"/>
      <c r="B10" s="25"/>
      <c r="C10" s="26"/>
      <c r="D10" s="27"/>
      <c r="E10" s="32"/>
      <c r="F10" s="29"/>
      <c r="G10" s="27"/>
      <c r="H10" s="46" t="str">
        <f>IF(F10="","",LOOKUP(G10,Definiciones!#REF!,Definiciones!#REF!)/10)</f>
        <v/>
      </c>
      <c r="I10" s="46">
        <v>15</v>
      </c>
      <c r="J10" s="30"/>
      <c r="K10" s="47" t="str">
        <f t="shared" si="1"/>
        <v/>
      </c>
      <c r="L10" s="48" t="str">
        <f t="shared" si="2"/>
        <v/>
      </c>
      <c r="M10" s="48" t="str">
        <f t="shared" si="3"/>
        <v/>
      </c>
      <c r="N10" s="49">
        <v>0</v>
      </c>
      <c r="O10" s="50" t="str">
        <f t="shared" si="4"/>
        <v/>
      </c>
      <c r="P10" s="47" t="str">
        <f t="shared" si="0"/>
        <v/>
      </c>
      <c r="Q10" s="31"/>
      <c r="R10" s="41"/>
    </row>
    <row r="11" spans="1:19" s="6" customFormat="1" ht="11.25" customHeight="1" x14ac:dyDescent="0.2">
      <c r="A11" s="534"/>
      <c r="B11" s="25"/>
      <c r="C11" s="26"/>
      <c r="D11" s="27"/>
      <c r="E11" s="32"/>
      <c r="F11" s="29"/>
      <c r="G11" s="27"/>
      <c r="H11" s="46" t="str">
        <f>IF(F11="","",LOOKUP(G11,Definiciones!#REF!,Definiciones!#REF!)/10)</f>
        <v/>
      </c>
      <c r="I11" s="46">
        <v>15</v>
      </c>
      <c r="J11" s="30"/>
      <c r="K11" s="47" t="str">
        <f t="shared" si="1"/>
        <v/>
      </c>
      <c r="L11" s="48" t="str">
        <f t="shared" si="2"/>
        <v/>
      </c>
      <c r="M11" s="48" t="str">
        <f t="shared" si="3"/>
        <v/>
      </c>
      <c r="N11" s="49">
        <v>0</v>
      </c>
      <c r="O11" s="50" t="str">
        <f t="shared" si="4"/>
        <v/>
      </c>
      <c r="P11" s="47" t="str">
        <f t="shared" si="0"/>
        <v/>
      </c>
      <c r="Q11" s="31"/>
      <c r="R11" s="41"/>
    </row>
    <row r="12" spans="1:19" s="6" customFormat="1" ht="11.25" customHeight="1" x14ac:dyDescent="0.2">
      <c r="A12" s="534"/>
      <c r="B12" s="25"/>
      <c r="C12" s="26"/>
      <c r="D12" s="27"/>
      <c r="E12" s="32"/>
      <c r="F12" s="29"/>
      <c r="G12" s="27"/>
      <c r="H12" s="46" t="str">
        <f>IF(F12="","",LOOKUP(G12,Definiciones!#REF!,Definiciones!#REF!)/10)</f>
        <v/>
      </c>
      <c r="I12" s="46">
        <v>15</v>
      </c>
      <c r="J12" s="30"/>
      <c r="K12" s="47" t="str">
        <f t="shared" si="1"/>
        <v/>
      </c>
      <c r="L12" s="48" t="str">
        <f t="shared" si="2"/>
        <v/>
      </c>
      <c r="M12" s="48" t="str">
        <f t="shared" si="3"/>
        <v/>
      </c>
      <c r="N12" s="49">
        <v>0</v>
      </c>
      <c r="O12" s="50" t="str">
        <f t="shared" si="4"/>
        <v/>
      </c>
      <c r="P12" s="47" t="str">
        <f t="shared" si="0"/>
        <v/>
      </c>
      <c r="Q12" s="31"/>
      <c r="R12" s="41"/>
    </row>
    <row r="13" spans="1:19" s="6" customFormat="1" ht="11.25" customHeight="1" x14ac:dyDescent="0.2">
      <c r="A13" s="534"/>
      <c r="B13" s="25"/>
      <c r="C13" s="26"/>
      <c r="D13" s="27"/>
      <c r="E13" s="32"/>
      <c r="F13" s="29"/>
      <c r="G13" s="27"/>
      <c r="H13" s="46" t="str">
        <f>IF(F13="","",LOOKUP(G13,Definiciones!#REF!,Definiciones!#REF!)/10)</f>
        <v/>
      </c>
      <c r="I13" s="46">
        <v>15</v>
      </c>
      <c r="J13" s="30"/>
      <c r="K13" s="47" t="str">
        <f t="shared" si="1"/>
        <v/>
      </c>
      <c r="L13" s="48" t="str">
        <f t="shared" si="2"/>
        <v/>
      </c>
      <c r="M13" s="48" t="str">
        <f t="shared" si="3"/>
        <v/>
      </c>
      <c r="N13" s="49">
        <v>0</v>
      </c>
      <c r="O13" s="50" t="str">
        <f t="shared" si="4"/>
        <v/>
      </c>
      <c r="P13" s="47" t="str">
        <f t="shared" si="0"/>
        <v/>
      </c>
      <c r="Q13" s="31"/>
      <c r="R13" s="41"/>
    </row>
    <row r="14" spans="1:19" s="6" customFormat="1" ht="11.25" customHeight="1" x14ac:dyDescent="0.2">
      <c r="A14" s="534"/>
      <c r="B14" s="25"/>
      <c r="C14" s="26"/>
      <c r="D14" s="27"/>
      <c r="E14" s="32"/>
      <c r="F14" s="29"/>
      <c r="G14" s="27"/>
      <c r="H14" s="46" t="str">
        <f>IF(F14="","",LOOKUP(G14,Definiciones!#REF!,Definiciones!#REF!)/10)</f>
        <v/>
      </c>
      <c r="I14" s="46">
        <v>15</v>
      </c>
      <c r="J14" s="30"/>
      <c r="K14" s="47" t="str">
        <f t="shared" si="1"/>
        <v/>
      </c>
      <c r="L14" s="48" t="str">
        <f t="shared" si="2"/>
        <v/>
      </c>
      <c r="M14" s="48" t="str">
        <f t="shared" si="3"/>
        <v/>
      </c>
      <c r="N14" s="49">
        <v>0</v>
      </c>
      <c r="O14" s="50" t="str">
        <f t="shared" si="4"/>
        <v/>
      </c>
      <c r="P14" s="47" t="str">
        <f t="shared" si="0"/>
        <v/>
      </c>
      <c r="Q14" s="31"/>
      <c r="R14" s="41"/>
    </row>
    <row r="15" spans="1:19" s="6" customFormat="1" ht="11.25" customHeight="1" x14ac:dyDescent="0.2">
      <c r="A15" s="534"/>
      <c r="B15" s="25"/>
      <c r="C15" s="26"/>
      <c r="D15" s="27"/>
      <c r="E15" s="32"/>
      <c r="F15" s="29"/>
      <c r="G15" s="27"/>
      <c r="H15" s="46" t="str">
        <f>IF(F15="","",LOOKUP(G15,Definiciones!#REF!,Definiciones!#REF!)/10)</f>
        <v/>
      </c>
      <c r="I15" s="46">
        <v>15</v>
      </c>
      <c r="J15" s="30"/>
      <c r="K15" s="47" t="str">
        <f t="shared" si="1"/>
        <v/>
      </c>
      <c r="L15" s="48" t="str">
        <f t="shared" si="2"/>
        <v/>
      </c>
      <c r="M15" s="48" t="str">
        <f t="shared" si="3"/>
        <v/>
      </c>
      <c r="N15" s="49">
        <v>0</v>
      </c>
      <c r="O15" s="50" t="str">
        <f t="shared" si="4"/>
        <v/>
      </c>
      <c r="P15" s="47" t="str">
        <f t="shared" si="0"/>
        <v/>
      </c>
      <c r="Q15" s="31"/>
      <c r="R15" s="41"/>
    </row>
    <row r="16" spans="1:19" s="6" customFormat="1" ht="11.25" customHeight="1" x14ac:dyDescent="0.2">
      <c r="A16" s="534"/>
      <c r="B16" s="25"/>
      <c r="C16" s="26"/>
      <c r="D16" s="27"/>
      <c r="E16" s="32"/>
      <c r="F16" s="29"/>
      <c r="G16" s="27"/>
      <c r="H16" s="46" t="str">
        <f>IF(F16="","",LOOKUP(G16,Definiciones!#REF!,Definiciones!#REF!)/10)</f>
        <v/>
      </c>
      <c r="I16" s="46">
        <v>15</v>
      </c>
      <c r="J16" s="30"/>
      <c r="K16" s="47" t="str">
        <f t="shared" si="1"/>
        <v/>
      </c>
      <c r="L16" s="48" t="str">
        <f t="shared" si="2"/>
        <v/>
      </c>
      <c r="M16" s="48" t="str">
        <f t="shared" si="3"/>
        <v/>
      </c>
      <c r="N16" s="49">
        <v>0</v>
      </c>
      <c r="O16" s="50" t="str">
        <f t="shared" si="4"/>
        <v/>
      </c>
      <c r="P16" s="47" t="str">
        <f t="shared" si="0"/>
        <v/>
      </c>
      <c r="Q16" s="31"/>
      <c r="R16" s="41"/>
    </row>
    <row r="17" spans="1:18" s="6" customFormat="1" ht="11.25" customHeight="1" x14ac:dyDescent="0.2">
      <c r="A17" s="534"/>
      <c r="B17" s="25"/>
      <c r="C17" s="26"/>
      <c r="D17" s="27"/>
      <c r="E17" s="32"/>
      <c r="F17" s="29"/>
      <c r="G17" s="27"/>
      <c r="H17" s="46" t="str">
        <f>IF(F17="","",LOOKUP(G17,Definiciones!#REF!,Definiciones!#REF!)/10)</f>
        <v/>
      </c>
      <c r="I17" s="46">
        <v>15</v>
      </c>
      <c r="J17" s="30"/>
      <c r="K17" s="47" t="str">
        <f t="shared" si="1"/>
        <v/>
      </c>
      <c r="L17" s="48" t="str">
        <f t="shared" si="2"/>
        <v/>
      </c>
      <c r="M17" s="48" t="str">
        <f t="shared" si="3"/>
        <v/>
      </c>
      <c r="N17" s="49">
        <v>0</v>
      </c>
      <c r="O17" s="50" t="str">
        <f t="shared" si="4"/>
        <v/>
      </c>
      <c r="P17" s="47" t="str">
        <f t="shared" si="0"/>
        <v/>
      </c>
      <c r="Q17" s="31"/>
      <c r="R17" s="41"/>
    </row>
    <row r="18" spans="1:18" s="6" customFormat="1" ht="12" thickBot="1" x14ac:dyDescent="0.25">
      <c r="A18" s="534"/>
      <c r="B18" s="14"/>
      <c r="C18" s="15"/>
      <c r="D18" s="15"/>
      <c r="E18" s="15"/>
      <c r="F18" s="15"/>
      <c r="G18" s="15"/>
      <c r="H18" s="15"/>
      <c r="I18" s="15"/>
      <c r="J18" s="15"/>
      <c r="K18" s="15"/>
      <c r="L18" s="16"/>
      <c r="M18" s="16"/>
      <c r="N18" s="45"/>
      <c r="O18" s="16"/>
      <c r="P18" s="16"/>
      <c r="Q18" s="17"/>
      <c r="R18" s="41"/>
    </row>
    <row r="19" spans="1:18" s="6" customFormat="1" ht="11.25" x14ac:dyDescent="0.2">
      <c r="A19" s="534"/>
      <c r="B19" s="18" t="s">
        <v>1</v>
      </c>
      <c r="C19" s="19"/>
      <c r="D19" s="20"/>
      <c r="E19" s="22">
        <f>SUM(E7:E17)</f>
        <v>0</v>
      </c>
      <c r="F19" s="20" t="s">
        <v>280</v>
      </c>
      <c r="G19" s="20"/>
      <c r="H19" s="20"/>
      <c r="I19" s="20"/>
      <c r="J19" s="20"/>
      <c r="K19" s="20"/>
      <c r="L19" s="19"/>
      <c r="M19" s="22"/>
      <c r="N19" s="20"/>
      <c r="O19" s="21"/>
      <c r="P19" s="21"/>
      <c r="Q19" s="23"/>
      <c r="R19" s="42"/>
    </row>
    <row r="20" spans="1:18" s="6" customFormat="1" ht="11.25" x14ac:dyDescent="0.2">
      <c r="A20" s="24"/>
      <c r="B20" s="24"/>
      <c r="C20" s="24"/>
      <c r="D20" s="24"/>
      <c r="E20" s="24"/>
      <c r="F20" s="24"/>
      <c r="G20" s="24"/>
      <c r="H20" s="24"/>
      <c r="I20" s="24"/>
      <c r="J20" s="24"/>
      <c r="K20" s="24"/>
      <c r="L20" s="24"/>
      <c r="M20" s="24"/>
      <c r="N20" s="24"/>
      <c r="O20" s="24"/>
      <c r="P20" s="24"/>
      <c r="Q20" s="24"/>
      <c r="R20" s="41"/>
    </row>
    <row r="21" spans="1:18" s="6" customFormat="1" ht="11.25" x14ac:dyDescent="0.2"/>
    <row r="25" spans="1:18" ht="12.75" customHeight="1" x14ac:dyDescent="0.2"/>
    <row r="30" spans="1:18" ht="12.75" customHeight="1" x14ac:dyDescent="0.2"/>
    <row r="63" ht="12.75" customHeight="1" x14ac:dyDescent="0.2"/>
    <row r="80" ht="12.75" customHeight="1" x14ac:dyDescent="0.2"/>
    <row r="85" ht="12.75" customHeight="1" x14ac:dyDescent="0.2"/>
  </sheetData>
  <mergeCells count="14">
    <mergeCell ref="A6:A19"/>
    <mergeCell ref="A5:Q5"/>
    <mergeCell ref="B2:B3"/>
    <mergeCell ref="A2:A3"/>
    <mergeCell ref="C2:C3"/>
    <mergeCell ref="D2:D3"/>
    <mergeCell ref="E2:E3"/>
    <mergeCell ref="F2:F3"/>
    <mergeCell ref="G2:G3"/>
    <mergeCell ref="O2:O3"/>
    <mergeCell ref="P2:P3"/>
    <mergeCell ref="Q2:R3"/>
    <mergeCell ref="A4:R4"/>
    <mergeCell ref="L2:M2"/>
  </mergeCells>
  <phoneticPr fontId="5" type="noConversion"/>
  <dataValidations count="2">
    <dataValidation type="list" allowBlank="1" showErrorMessage="1" sqref="G7:G17">
      <formula1>Lista_varillas</formula1>
    </dataValidation>
    <dataValidation type="list" allowBlank="1" showErrorMessage="1" sqref="F7:F17">
      <formula1>Lista_productos</formula1>
    </dataValidation>
  </dataValidations>
  <pageMargins left="0.25" right="0.25" top="0.75" bottom="0.75" header="0.3" footer="0.3"/>
  <pageSetup paperSize="5" scale="41" orientation="portrait" horizontalDpi="90" verticalDpi="9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36257273AC5C749A673C166240F9087" ma:contentTypeVersion="1" ma:contentTypeDescription="Create a new document." ma:contentTypeScope="" ma:versionID="28bd5a4a06438a7facce67953d5bfcf4">
  <xsd:schema xmlns:xsd="http://www.w3.org/2001/XMLSchema" xmlns:xs="http://www.w3.org/2001/XMLSchema" xmlns:p="http://schemas.microsoft.com/office/2006/metadata/properties" xmlns:ns3="d18726ae-e1de-4c85-aaae-5859653903f2" targetNamespace="http://schemas.microsoft.com/office/2006/metadata/properties" ma:root="true" ma:fieldsID="720069ec994b14fa016c797164f19ee6" ns3:_="">
    <xsd:import namespace="d18726ae-e1de-4c85-aaae-5859653903f2"/>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8726ae-e1de-4c85-aaae-5859653903f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1A7216-047F-4FBD-974E-1C462F830525}">
  <ds:schemaRefs>
    <ds:schemaRef ds:uri="http://www.w3.org/XML/1998/namespace"/>
    <ds:schemaRef ds:uri="http://schemas.microsoft.com/office/2006/metadata/properties"/>
    <ds:schemaRef ds:uri="http://purl.org/dc/elements/1.1/"/>
    <ds:schemaRef ds:uri="http://schemas.microsoft.com/office/2006/documentManagement/types"/>
    <ds:schemaRef ds:uri="http://purl.org/dc/dcmitype/"/>
    <ds:schemaRef ds:uri="d18726ae-e1de-4c85-aaae-5859653903f2"/>
    <ds:schemaRef ds:uri="http://schemas.microsoft.com/office/infopath/2007/PartnerControl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FA692C01-DC03-4BA2-B975-0A7BF57E5F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8726ae-e1de-4c85-aaae-5859653903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170E03-03A4-4C53-A951-6DB2732474F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Definiciones</vt:lpstr>
      <vt:lpstr>Informe de cálculo</vt:lpstr>
      <vt:lpstr>observaciones</vt:lpstr>
      <vt:lpstr>Planilla de registro</vt:lpstr>
      <vt:lpstr>Adhesivo</vt:lpstr>
      <vt:lpstr>chem</vt:lpstr>
      <vt:lpstr>despl</vt:lpstr>
      <vt:lpstr>Embebido</vt:lpstr>
      <vt:lpstr>List_Hilti_Anchors</vt:lpstr>
      <vt:lpstr>Mecánico</vt:lpstr>
      <vt:lpstr>mlock</vt:lpstr>
      <vt:lpstr>Postinstalado</vt:lpstr>
      <vt:lpstr>'Informe de cálculo'!Print_Area</vt:lpstr>
      <vt:lpstr>'Informe de cálculo'!Print_Titles</vt:lpstr>
      <vt:lpstr>Table_Hilti_Anchor_Refs</vt:lpstr>
      <vt:lpstr>torque</vt:lpstr>
      <vt:lpstr>undercut</vt:lpstr>
    </vt:vector>
  </TitlesOfParts>
  <Company>Hilti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Camilo Torres</dc:creator>
  <cp:lastModifiedBy>Juan Camilo Torres</cp:lastModifiedBy>
  <cp:lastPrinted>2016-05-12T19:15:13Z</cp:lastPrinted>
  <dcterms:created xsi:type="dcterms:W3CDTF">2010-05-31T11:18:45Z</dcterms:created>
  <dcterms:modified xsi:type="dcterms:W3CDTF">2016-05-18T19:53:05Z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0x010100D36257273AC5C749A673C166240F9087</vt:lpwstr>
  </property>
</Properties>
</file>