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KiCad6_proj\ATMega8_PWM_LCD_E\proj\"/>
    </mc:Choice>
  </mc:AlternateContent>
  <bookViews>
    <workbookView xWindow="120" yWindow="15" windowWidth="19020" windowHeight="1176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M16" i="1" l="1"/>
  <c r="B28" i="1" l="1"/>
  <c r="B29" i="1"/>
  <c r="B30" i="1"/>
  <c r="B31" i="1"/>
  <c r="B32" i="1"/>
  <c r="B27" i="1"/>
  <c r="B17" i="1"/>
  <c r="K2" i="1" l="1"/>
  <c r="O13" i="1" l="1"/>
  <c r="O14" i="1"/>
  <c r="O12" i="1"/>
  <c r="U6" i="1"/>
  <c r="R6" i="1" s="1"/>
  <c r="U4" i="1"/>
  <c r="R4" i="1" s="1"/>
  <c r="U9" i="1"/>
  <c r="R9" i="1" s="1"/>
  <c r="U8" i="1"/>
  <c r="R8" i="1" s="1"/>
  <c r="U10" i="1"/>
  <c r="R10" i="1" s="1"/>
  <c r="U5" i="1"/>
  <c r="R5" i="1" s="1"/>
  <c r="U7" i="1"/>
  <c r="R7" i="1" s="1"/>
  <c r="O7" i="1"/>
  <c r="O8" i="1"/>
  <c r="G16" i="1"/>
  <c r="G19" i="1" s="1"/>
  <c r="G22" i="1" s="1"/>
  <c r="K22" i="1" s="1"/>
  <c r="H30" i="1"/>
  <c r="G15" i="1"/>
  <c r="G1" i="2"/>
  <c r="C12" i="2" s="1"/>
  <c r="T4" i="1" l="1"/>
  <c r="S4" i="1"/>
  <c r="T6" i="1"/>
  <c r="S6" i="1"/>
  <c r="S10" i="1"/>
  <c r="T10" i="1"/>
  <c r="T7" i="1"/>
  <c r="S7" i="1"/>
  <c r="S8" i="1"/>
  <c r="T8" i="1"/>
  <c r="T5" i="1"/>
  <c r="S5" i="1"/>
  <c r="T9" i="1"/>
  <c r="S9" i="1"/>
  <c r="K19" i="1"/>
  <c r="O10" i="1"/>
  <c r="O11" i="1"/>
  <c r="O5" i="1"/>
  <c r="O9" i="1"/>
  <c r="O6" i="1"/>
  <c r="C4" i="2"/>
  <c r="B8" i="2"/>
  <c r="B9" i="2"/>
  <c r="B11" i="2"/>
  <c r="B4" i="2"/>
  <c r="C6" i="2"/>
  <c r="C7" i="2"/>
  <c r="C10" i="2"/>
  <c r="C13" i="2"/>
  <c r="B6" i="2"/>
  <c r="C5" i="2"/>
  <c r="B7" i="2"/>
  <c r="B10" i="2"/>
  <c r="B12" i="2"/>
  <c r="B13" i="2"/>
  <c r="B5" i="2"/>
  <c r="C8" i="2"/>
  <c r="C9" i="2"/>
  <c r="C11" i="2"/>
  <c r="A14" i="2"/>
  <c r="N29" i="1"/>
  <c r="O29" i="1"/>
  <c r="P29" i="1"/>
  <c r="Q29" i="1"/>
  <c r="G8" i="1"/>
  <c r="G11" i="1" s="1"/>
  <c r="G14" i="1" s="1"/>
  <c r="G9" i="1"/>
  <c r="G12" i="1" s="1"/>
  <c r="G18" i="1" s="1"/>
  <c r="G21" i="1" s="1"/>
  <c r="G7" i="1"/>
  <c r="G10" i="1" s="1"/>
  <c r="G13" i="1" s="1"/>
  <c r="F17" i="1"/>
  <c r="B18" i="1"/>
  <c r="F18" i="1" s="1"/>
  <c r="B19" i="1"/>
  <c r="F19" i="1" s="1"/>
  <c r="B20" i="1"/>
  <c r="B21" i="1"/>
  <c r="F21" i="1" s="1"/>
  <c r="B16" i="1"/>
  <c r="F16" i="1" s="1"/>
  <c r="F20" i="1"/>
  <c r="B6" i="1"/>
  <c r="C6" i="1" s="1"/>
  <c r="B7" i="1"/>
  <c r="C7" i="1" s="1"/>
  <c r="B8" i="1"/>
  <c r="C8" i="1" s="1"/>
  <c r="B9" i="1"/>
  <c r="C9" i="1" s="1"/>
  <c r="B10" i="1"/>
  <c r="C10" i="1" s="1"/>
  <c r="B5" i="1"/>
  <c r="E5" i="1" s="1"/>
  <c r="G20" i="1" l="1"/>
  <c r="G17" i="1"/>
  <c r="C5" i="1"/>
  <c r="F5" i="1"/>
  <c r="D5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H31" i="1"/>
  <c r="H32" i="1"/>
  <c r="H33" i="1"/>
  <c r="H34" i="1"/>
  <c r="H24" i="1"/>
  <c r="J24" i="1" s="1"/>
  <c r="H22" i="1"/>
  <c r="J22" i="1" s="1"/>
  <c r="H25" i="1"/>
  <c r="H35" i="1"/>
  <c r="H29" i="1"/>
  <c r="H28" i="1"/>
  <c r="H26" i="1"/>
  <c r="I26" i="1" s="1"/>
  <c r="K4" i="1"/>
  <c r="H4" i="1" s="1"/>
  <c r="K21" i="1"/>
  <c r="H21" i="1" s="1"/>
  <c r="K20" i="1"/>
  <c r="H20" i="1" s="1"/>
  <c r="H19" i="1"/>
  <c r="K18" i="1"/>
  <c r="H18" i="1" s="1"/>
  <c r="K17" i="1"/>
  <c r="H17" i="1" s="1"/>
  <c r="K16" i="1"/>
  <c r="H16" i="1" s="1"/>
  <c r="K15" i="1"/>
  <c r="H15" i="1" s="1"/>
  <c r="K14" i="1"/>
  <c r="H14" i="1" s="1"/>
  <c r="K13" i="1"/>
  <c r="H13" i="1" s="1"/>
  <c r="K12" i="1"/>
  <c r="H12" i="1" s="1"/>
  <c r="K11" i="1"/>
  <c r="H11" i="1" s="1"/>
  <c r="K10" i="1"/>
  <c r="H10" i="1" s="1"/>
  <c r="K9" i="1"/>
  <c r="H9" i="1" s="1"/>
  <c r="K8" i="1"/>
  <c r="H8" i="1" s="1"/>
  <c r="K7" i="1"/>
  <c r="H7" i="1" s="1"/>
  <c r="K6" i="1"/>
  <c r="H6" i="1" s="1"/>
  <c r="K5" i="1"/>
  <c r="H5" i="1" s="1"/>
  <c r="K27" i="1"/>
  <c r="H27" i="1" s="1"/>
  <c r="J26" i="1"/>
  <c r="H23" i="1"/>
  <c r="H40" i="1"/>
  <c r="J40" i="1" s="1"/>
  <c r="H42" i="1"/>
  <c r="H41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I22" i="1" l="1"/>
  <c r="I40" i="1"/>
  <c r="I24" i="1"/>
  <c r="I34" i="1"/>
  <c r="J34" i="1"/>
  <c r="I33" i="1"/>
  <c r="J33" i="1"/>
  <c r="I32" i="1"/>
  <c r="J32" i="1"/>
  <c r="I31" i="1"/>
  <c r="J31" i="1"/>
  <c r="I30" i="1"/>
  <c r="J30" i="1"/>
  <c r="N23" i="1"/>
  <c r="O23" i="1"/>
  <c r="P23" i="1"/>
  <c r="Q23" i="1"/>
  <c r="M23" i="1"/>
  <c r="N26" i="1" s="1"/>
  <c r="I25" i="1"/>
  <c r="J25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4" i="1"/>
  <c r="J4" i="1"/>
  <c r="I23" i="1"/>
  <c r="J23" i="1"/>
  <c r="Q24" i="1" s="1"/>
  <c r="I41" i="1"/>
  <c r="J41" i="1"/>
  <c r="I42" i="1"/>
  <c r="J42" i="1"/>
  <c r="Q26" i="1" l="1"/>
  <c r="Q27" i="1" s="1"/>
  <c r="P26" i="1"/>
  <c r="N28" i="1"/>
  <c r="O26" i="1"/>
  <c r="N24" i="1"/>
  <c r="N27" i="1" s="1"/>
  <c r="O24" i="1"/>
  <c r="P24" i="1"/>
  <c r="M24" i="1"/>
  <c r="I27" i="1"/>
  <c r="J27" i="1"/>
  <c r="O27" i="1" l="1"/>
  <c r="P27" i="1"/>
  <c r="O28" i="1"/>
  <c r="P28" i="1"/>
  <c r="Q28" i="1"/>
  <c r="I28" i="1"/>
  <c r="J28" i="1"/>
  <c r="I29" i="1" l="1"/>
  <c r="J29" i="1"/>
  <c r="I35" i="1" l="1"/>
  <c r="J35" i="1"/>
</calcChain>
</file>

<file path=xl/sharedStrings.xml><?xml version="1.0" encoding="utf-8"?>
<sst xmlns="http://schemas.openxmlformats.org/spreadsheetml/2006/main" count="48" uniqueCount="33">
  <si>
    <t xml:space="preserve">Минимальная частота 8 бит ШИМ, Гц </t>
  </si>
  <si>
    <t>Делитель таймера</t>
  </si>
  <si>
    <t xml:space="preserve">Минимальная частота 16 бит ШИМ, Гц </t>
  </si>
  <si>
    <t>F_CPU, Гц</t>
  </si>
  <si>
    <t>МГц</t>
  </si>
  <si>
    <t>Кол-во имп. F_CPU за период fPWM, Npulses</t>
  </si>
  <si>
    <t>Дискретность ШИМ , %=Дискретность частоты , %</t>
  </si>
  <si>
    <t xml:space="preserve"> Гц</t>
  </si>
  <si>
    <t>Частота fPWM, Гц</t>
  </si>
  <si>
    <t>Частота F_CPU,  МГц</t>
  </si>
  <si>
    <t>ЧастотаF_CPU,  МГц</t>
  </si>
  <si>
    <t>8 бит</t>
  </si>
  <si>
    <t>1 кГц</t>
  </si>
  <si>
    <t>f max</t>
  </si>
  <si>
    <t>f min, 16 бит</t>
  </si>
  <si>
    <t>df=1%</t>
  </si>
  <si>
    <t>df=10%</t>
  </si>
  <si>
    <t>Npulses</t>
  </si>
  <si>
    <t>df=0,1%</t>
  </si>
  <si>
    <t>Дискретность частоты df , %</t>
  </si>
  <si>
    <t>Дискретность частоты df , Гц</t>
  </si>
  <si>
    <t>Контроллеры ATmega8A (16 Мгц) и ATtiny2313 (20 МГц)</t>
  </si>
  <si>
    <t>Максимальная частота ШИМ = F_CPU/4 (из datasheet)</t>
  </si>
  <si>
    <t>f</t>
  </si>
  <si>
    <t>df</t>
  </si>
  <si>
    <t>Дискретность мин частоты , Гц</t>
  </si>
  <si>
    <t>Дискретность макс. частоты , Гц</t>
  </si>
  <si>
    <t>С делителем /256 дискретность частоты= частоте</t>
  </si>
  <si>
    <t>Npulses=65536</t>
  </si>
  <si>
    <t>dPWM=1%</t>
  </si>
  <si>
    <t>Кол-во имп для df=1 Гц</t>
  </si>
  <si>
    <t>Имп</t>
  </si>
  <si>
    <t xml:space="preserve">Максимальная частота с дискретностью 1 Гц, Гц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</si>
</sst>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#,##0.0"/>
    <numFmt numFmtId="166" formatCode="#,##0.0000"/>
    <numFmt numFmtId="167" formatCode="0.0000"/>
    <numFmt numFmtId="168" formatCode="#,##0.000"/>
    <numFmt numFmtId="169" formatCode="0.0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0" fillId="0" borderId="0" xfId="0" applyNumberFormat="1"/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3" fontId="0" fillId="0" borderId="1" xfId="0" applyNumberFormat="1" applyFill="1" applyBorder="1"/>
    <xf numFmtId="4" fontId="0" fillId="0" borderId="1" xfId="0" applyNumberFormat="1" applyBorder="1"/>
    <xf numFmtId="0" fontId="0" fillId="0" borderId="0" xfId="0" applyAlignment="1">
      <alignment horizontal="center"/>
    </xf>
    <xf numFmtId="2" fontId="0" fillId="0" borderId="1" xfId="0" applyNumberFormat="1" applyBorder="1"/>
    <xf numFmtId="168" fontId="0" fillId="0" borderId="1" xfId="0" applyNumberFormat="1" applyBorder="1"/>
    <xf numFmtId="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3" fontId="0" fillId="0" borderId="1" xfId="0" applyNumberFormat="1" applyBorder="1" applyAlignment="1">
      <alignment horizontal="center"/>
    </xf>
    <xf numFmtId="4" fontId="0" fillId="3" borderId="1" xfId="0" applyNumberFormat="1" applyFill="1" applyBorder="1"/>
    <xf numFmtId="164" fontId="0" fillId="3" borderId="1" xfId="0" applyNumberFormat="1" applyFill="1" applyBorder="1"/>
    <xf numFmtId="3" fontId="0" fillId="3" borderId="1" xfId="0" applyNumberFormat="1" applyFill="1" applyBorder="1"/>
    <xf numFmtId="4" fontId="0" fillId="3" borderId="1" xfId="0" applyNumberForma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ill="1" applyBorder="1"/>
    <xf numFmtId="3" fontId="0" fillId="0" borderId="0" xfId="0" applyNumberFormat="1" applyFill="1" applyBorder="1"/>
    <xf numFmtId="168" fontId="0" fillId="3" borderId="1" xfId="0" applyNumberFormat="1" applyFill="1" applyBorder="1"/>
    <xf numFmtId="169" fontId="0" fillId="0" borderId="1" xfId="0" applyNumberFormat="1" applyBorder="1"/>
    <xf numFmtId="0" fontId="0" fillId="3" borderId="1" xfId="0" applyFill="1" applyBorder="1"/>
    <xf numFmtId="0" fontId="0" fillId="0" borderId="1" xfId="0" applyFill="1" applyBorder="1"/>
    <xf numFmtId="168" fontId="0" fillId="0" borderId="0" xfId="0" applyNumberFormat="1" applyBorder="1"/>
    <xf numFmtId="0" fontId="0" fillId="0" borderId="0" xfId="0" applyBorder="1"/>
    <xf numFmtId="0" fontId="0" fillId="0" borderId="2" xfId="0" applyBorder="1" applyAlignment="1">
      <alignment horizontal="center"/>
    </xf>
    <xf numFmtId="166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3" fontId="1" fillId="3" borderId="1" xfId="0" applyNumberFormat="1" applyFont="1" applyFill="1" applyBorder="1"/>
    <xf numFmtId="2" fontId="0" fillId="0" borderId="1" xfId="0" applyNumberFormat="1" applyFill="1" applyBorder="1"/>
    <xf numFmtId="2" fontId="1" fillId="3" borderId="1" xfId="0" applyNumberFormat="1" applyFont="1" applyFill="1" applyBorder="1"/>
    <xf numFmtId="3" fontId="4" fillId="0" borderId="1" xfId="0" applyNumberFormat="1" applyFont="1" applyFill="1" applyBorder="1"/>
    <xf numFmtId="2" fontId="4" fillId="0" borderId="1" xfId="0" applyNumberFormat="1" applyFont="1" applyBorder="1"/>
    <xf numFmtId="3" fontId="4" fillId="0" borderId="1" xfId="0" applyNumberFormat="1" applyFont="1" applyBorder="1"/>
    <xf numFmtId="0" fontId="4" fillId="0" borderId="1" xfId="0" applyFont="1" applyFill="1" applyBorder="1"/>
    <xf numFmtId="0" fontId="2" fillId="0" borderId="2" xfId="0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4" borderId="2" xfId="0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3" fontId="0" fillId="5" borderId="1" xfId="0" applyNumberFormat="1" applyFill="1" applyBorder="1"/>
    <xf numFmtId="4" fontId="0" fillId="5" borderId="1" xfId="0" applyNumberFormat="1" applyFill="1" applyBorder="1"/>
    <xf numFmtId="2" fontId="0" fillId="5" borderId="1" xfId="0" applyNumberFormat="1" applyFill="1" applyBorder="1"/>
    <xf numFmtId="165" fontId="0" fillId="5" borderId="1" xfId="0" applyNumberFormat="1" applyFill="1" applyBorder="1"/>
    <xf numFmtId="3" fontId="0" fillId="6" borderId="1" xfId="0" applyNumberFormat="1" applyFill="1" applyBorder="1"/>
    <xf numFmtId="4" fontId="0" fillId="6" borderId="1" xfId="0" applyNumberFormat="1" applyFill="1" applyBorder="1"/>
    <xf numFmtId="2" fontId="0" fillId="6" borderId="1" xfId="0" applyNumberFormat="1" applyFill="1" applyBorder="1"/>
    <xf numFmtId="165" fontId="0" fillId="6" borderId="1" xfId="0" applyNumberFormat="1" applyFill="1" applyBorder="1"/>
    <xf numFmtId="1" fontId="0" fillId="0" borderId="1" xfId="0" applyNumberFormat="1" applyBorder="1"/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tabSelected="1" topLeftCell="I1" workbookViewId="0">
      <selection activeCell="O16" sqref="O16"/>
    </sheetView>
  </sheetViews>
  <sheetFormatPr defaultRowHeight="15" x14ac:dyDescent="0.25"/>
  <cols>
    <col min="1" max="1" width="8.28515625" customWidth="1"/>
    <col min="2" max="2" width="9.42578125" customWidth="1"/>
    <col min="3" max="3" width="8.85546875" customWidth="1"/>
    <col min="4" max="4" width="9.7109375" customWidth="1"/>
    <col min="5" max="5" width="8.85546875" customWidth="1"/>
    <col min="6" max="6" width="11.28515625" customWidth="1"/>
    <col min="8" max="8" width="12.5703125" customWidth="1"/>
    <col min="9" max="9" width="14.7109375" customWidth="1"/>
    <col min="10" max="10" width="13.7109375" customWidth="1"/>
    <col min="11" max="11" width="17.140625" customWidth="1"/>
    <col min="12" max="12" width="12" bestFit="1" customWidth="1"/>
    <col min="16" max="16" width="9.5703125" customWidth="1"/>
    <col min="18" max="18" width="12.5703125" customWidth="1"/>
    <col min="19" max="19" width="14.7109375" customWidth="1"/>
    <col min="20" max="20" width="13.7109375" customWidth="1"/>
    <col min="21" max="21" width="17.140625" customWidth="1"/>
  </cols>
  <sheetData>
    <row r="1" spans="1:21" x14ac:dyDescent="0.25">
      <c r="B1" t="s">
        <v>21</v>
      </c>
    </row>
    <row r="2" spans="1:21" x14ac:dyDescent="0.25">
      <c r="A2" s="79" t="s">
        <v>9</v>
      </c>
      <c r="B2" s="81" t="s">
        <v>0</v>
      </c>
      <c r="C2" s="73"/>
      <c r="D2" s="73"/>
      <c r="E2" s="73"/>
      <c r="F2" s="73"/>
      <c r="H2" t="s">
        <v>3</v>
      </c>
      <c r="I2" s="19">
        <v>16</v>
      </c>
      <c r="J2" t="s">
        <v>4</v>
      </c>
      <c r="K2" s="7">
        <f>I2*1000000</f>
        <v>16000000</v>
      </c>
      <c r="L2" t="s">
        <v>7</v>
      </c>
    </row>
    <row r="3" spans="1:21" ht="45" x14ac:dyDescent="0.25">
      <c r="A3" s="79"/>
      <c r="B3" s="81" t="s">
        <v>1</v>
      </c>
      <c r="C3" s="73"/>
      <c r="D3" s="73"/>
      <c r="E3" s="73"/>
      <c r="F3" s="73"/>
      <c r="H3" s="8" t="s">
        <v>8</v>
      </c>
      <c r="I3" s="9" t="s">
        <v>19</v>
      </c>
      <c r="J3" s="9" t="s">
        <v>20</v>
      </c>
      <c r="K3" s="8" t="s">
        <v>5</v>
      </c>
      <c r="R3" s="8" t="s">
        <v>8</v>
      </c>
      <c r="S3" s="9" t="s">
        <v>19</v>
      </c>
      <c r="T3" s="9" t="s">
        <v>20</v>
      </c>
      <c r="U3" s="8" t="s">
        <v>5</v>
      </c>
    </row>
    <row r="4" spans="1:21" x14ac:dyDescent="0.25">
      <c r="A4" s="80"/>
      <c r="B4" s="3">
        <v>1</v>
      </c>
      <c r="C4" s="1">
        <v>8</v>
      </c>
      <c r="D4" s="1">
        <v>64</v>
      </c>
      <c r="E4" s="1">
        <v>256</v>
      </c>
      <c r="F4" s="4">
        <v>1024</v>
      </c>
      <c r="G4" s="10">
        <v>1</v>
      </c>
      <c r="H4" s="14">
        <f>$K$2/K4</f>
        <v>1</v>
      </c>
      <c r="I4" s="30">
        <f t="shared" ref="I4:I22" si="0">100*H4/$K$2</f>
        <v>6.2500000000000003E-6</v>
      </c>
      <c r="J4" s="30">
        <f t="shared" ref="J4:J22" si="1">H4*H4/$K$2</f>
        <v>6.2499999999999997E-8</v>
      </c>
      <c r="K4" s="10">
        <f>ROUND($K$2/G4,0)</f>
        <v>16000000</v>
      </c>
      <c r="N4" t="s">
        <v>31</v>
      </c>
      <c r="O4" t="s">
        <v>23</v>
      </c>
      <c r="Q4" s="10">
        <v>32768</v>
      </c>
      <c r="R4" s="14">
        <f>$K$2/U4</f>
        <v>32786.885245901642</v>
      </c>
      <c r="S4" s="30">
        <f t="shared" ref="S4:S5" si="2">100*R4/$K$2</f>
        <v>0.20491803278688525</v>
      </c>
      <c r="T4" s="71">
        <f>R4*R4/$K$2</f>
        <v>67.186240257995166</v>
      </c>
      <c r="U4" s="10">
        <f>ROUND($K$2/Q4,0)</f>
        <v>488</v>
      </c>
    </row>
    <row r="5" spans="1:21" x14ac:dyDescent="0.25">
      <c r="A5" s="35">
        <v>20</v>
      </c>
      <c r="B5" s="20">
        <f>A5*1000000/POWER(2,8)</f>
        <v>78125</v>
      </c>
      <c r="C5" s="18">
        <f>$B5/C$4</f>
        <v>9765.625</v>
      </c>
      <c r="D5" s="18">
        <f t="shared" ref="D5:F10" si="3">$B5/D$4</f>
        <v>1220.703125</v>
      </c>
      <c r="E5" s="18">
        <f>$B5/E$4</f>
        <v>305.17578125</v>
      </c>
      <c r="F5" s="18">
        <f t="shared" si="3"/>
        <v>76.2939453125</v>
      </c>
      <c r="G5" s="10">
        <v>2</v>
      </c>
      <c r="H5" s="14">
        <f t="shared" ref="H5:H22" si="4">$K$2/K5</f>
        <v>2</v>
      </c>
      <c r="I5" s="30">
        <f t="shared" si="0"/>
        <v>1.2500000000000001E-5</v>
      </c>
      <c r="J5" s="30">
        <f t="shared" si="1"/>
        <v>2.4999999999999999E-7</v>
      </c>
      <c r="K5" s="10">
        <f t="shared" ref="K5:K22" si="5">ROUND($K$2/G5,0)</f>
        <v>8000000</v>
      </c>
      <c r="N5">
        <v>3999</v>
      </c>
      <c r="O5">
        <f>$K$2/N5</f>
        <v>4001.0002500625155</v>
      </c>
      <c r="Q5" s="10">
        <v>40000</v>
      </c>
      <c r="R5" s="14">
        <f t="shared" ref="R5" si="6">$K$2/U5</f>
        <v>40000</v>
      </c>
      <c r="S5" s="30">
        <f t="shared" si="2"/>
        <v>0.25</v>
      </c>
      <c r="T5" s="71">
        <f t="shared" ref="T5" si="7">R5*R5/$K$2</f>
        <v>100</v>
      </c>
      <c r="U5" s="10">
        <f t="shared" ref="U5" si="8">ROUND($K$2/Q5,0)</f>
        <v>400</v>
      </c>
    </row>
    <row r="6" spans="1:21" x14ac:dyDescent="0.25">
      <c r="A6" s="52">
        <v>16</v>
      </c>
      <c r="B6" s="53">
        <f t="shared" ref="B6:B10" si="9">A6*1000000/POWER(2,8)</f>
        <v>62500</v>
      </c>
      <c r="C6" s="54">
        <f t="shared" ref="C6:C10" si="10">$B6/C$4</f>
        <v>7812.5</v>
      </c>
      <c r="D6" s="54">
        <f t="shared" si="3"/>
        <v>976.5625</v>
      </c>
      <c r="E6" s="54">
        <f t="shared" si="3"/>
        <v>244.140625</v>
      </c>
      <c r="F6" s="54">
        <f t="shared" si="3"/>
        <v>61.03515625</v>
      </c>
      <c r="G6" s="10">
        <v>5</v>
      </c>
      <c r="H6" s="14">
        <f t="shared" si="4"/>
        <v>5</v>
      </c>
      <c r="I6" s="30">
        <f t="shared" si="0"/>
        <v>3.1250000000000001E-5</v>
      </c>
      <c r="J6" s="30">
        <f t="shared" si="1"/>
        <v>1.5625000000000001E-6</v>
      </c>
      <c r="K6" s="10">
        <f t="shared" si="5"/>
        <v>3200000</v>
      </c>
      <c r="N6">
        <v>4000</v>
      </c>
      <c r="O6">
        <f>$K$2/N6</f>
        <v>4000</v>
      </c>
      <c r="Q6" s="10">
        <v>65535</v>
      </c>
      <c r="R6" s="14">
        <f>$K$2/U6</f>
        <v>65573.770491803283</v>
      </c>
      <c r="S6" s="30">
        <f t="shared" ref="S6:S7" si="11">100*R6/$K$2</f>
        <v>0.4098360655737705</v>
      </c>
      <c r="T6" s="71">
        <f t="shared" ref="T6:T7" si="12">R6*R6/$K$2</f>
        <v>268.74496103198067</v>
      </c>
      <c r="U6" s="10">
        <f>ROUND($K$2/Q6,0)</f>
        <v>244</v>
      </c>
    </row>
    <row r="7" spans="1:21" x14ac:dyDescent="0.25">
      <c r="A7" s="57">
        <v>8</v>
      </c>
      <c r="B7" s="58">
        <f t="shared" si="9"/>
        <v>31250</v>
      </c>
      <c r="C7" s="59">
        <f t="shared" si="10"/>
        <v>3906.25</v>
      </c>
      <c r="D7" s="59">
        <f t="shared" si="3"/>
        <v>488.28125</v>
      </c>
      <c r="E7" s="59">
        <f t="shared" si="3"/>
        <v>122.0703125</v>
      </c>
      <c r="F7" s="59">
        <f t="shared" si="3"/>
        <v>30.517578125</v>
      </c>
      <c r="G7" s="10">
        <f>G4*10</f>
        <v>10</v>
      </c>
      <c r="H7" s="14">
        <f t="shared" si="4"/>
        <v>10</v>
      </c>
      <c r="I7" s="30">
        <f t="shared" si="0"/>
        <v>6.2500000000000001E-5</v>
      </c>
      <c r="J7" s="30">
        <f t="shared" si="1"/>
        <v>6.2500000000000003E-6</v>
      </c>
      <c r="K7" s="10">
        <f t="shared" si="5"/>
        <v>1600000</v>
      </c>
      <c r="N7">
        <v>4001</v>
      </c>
      <c r="O7">
        <f>$K$2/N7</f>
        <v>3999.0002499375155</v>
      </c>
      <c r="Q7" s="10">
        <v>100000</v>
      </c>
      <c r="R7" s="14">
        <f t="shared" ref="R7" si="13">$K$2/U7</f>
        <v>100000</v>
      </c>
      <c r="S7" s="30">
        <f t="shared" si="11"/>
        <v>0.625</v>
      </c>
      <c r="T7" s="71">
        <f t="shared" si="12"/>
        <v>625</v>
      </c>
      <c r="U7" s="10">
        <f t="shared" ref="U7" si="14">ROUND($K$2/Q7,0)</f>
        <v>160</v>
      </c>
    </row>
    <row r="8" spans="1:21" x14ac:dyDescent="0.25">
      <c r="A8" s="35">
        <v>4</v>
      </c>
      <c r="B8" s="20">
        <f t="shared" si="9"/>
        <v>15625</v>
      </c>
      <c r="C8" s="18">
        <f t="shared" si="10"/>
        <v>1953.125</v>
      </c>
      <c r="D8" s="18">
        <f t="shared" si="3"/>
        <v>244.140625</v>
      </c>
      <c r="E8" s="18">
        <f t="shared" si="3"/>
        <v>61.03515625</v>
      </c>
      <c r="F8" s="18">
        <f t="shared" si="3"/>
        <v>15.2587890625</v>
      </c>
      <c r="G8" s="10">
        <f t="shared" ref="G8:G9" si="15">G5*10</f>
        <v>20</v>
      </c>
      <c r="H8" s="14">
        <f t="shared" si="4"/>
        <v>20</v>
      </c>
      <c r="I8" s="30">
        <f t="shared" si="0"/>
        <v>1.25E-4</v>
      </c>
      <c r="J8" s="30">
        <f t="shared" si="1"/>
        <v>2.5000000000000001E-5</v>
      </c>
      <c r="K8" s="10">
        <f t="shared" si="5"/>
        <v>800000</v>
      </c>
      <c r="N8">
        <v>4121</v>
      </c>
      <c r="O8">
        <f>$K$2/N8</f>
        <v>3882.5527784518322</v>
      </c>
      <c r="Q8" s="10">
        <v>126550</v>
      </c>
      <c r="R8" s="14">
        <f t="shared" ref="R8" si="16">$K$2/U8</f>
        <v>126984.12698412698</v>
      </c>
      <c r="S8" s="30">
        <f t="shared" ref="S8" si="17">100*R8/$K$2</f>
        <v>0.79365079365079361</v>
      </c>
      <c r="T8" s="71">
        <f t="shared" ref="T8" si="18">R8*R8/$K$2</f>
        <v>1007.8105316200555</v>
      </c>
      <c r="U8" s="10">
        <f t="shared" ref="U8" si="19">ROUND($K$2/Q8,0)</f>
        <v>126</v>
      </c>
    </row>
    <row r="9" spans="1:21" x14ac:dyDescent="0.25">
      <c r="A9" s="35">
        <v>2</v>
      </c>
      <c r="B9" s="18">
        <f t="shared" si="9"/>
        <v>7812.5</v>
      </c>
      <c r="C9" s="18">
        <f t="shared" si="10"/>
        <v>976.5625</v>
      </c>
      <c r="D9" s="18">
        <f t="shared" si="3"/>
        <v>122.0703125</v>
      </c>
      <c r="E9" s="18">
        <f t="shared" si="3"/>
        <v>30.517578125</v>
      </c>
      <c r="F9" s="18">
        <f t="shared" si="3"/>
        <v>7.62939453125</v>
      </c>
      <c r="G9" s="10">
        <f t="shared" si="15"/>
        <v>50</v>
      </c>
      <c r="H9" s="14">
        <f t="shared" si="4"/>
        <v>50</v>
      </c>
      <c r="I9" s="30">
        <f t="shared" si="0"/>
        <v>3.1250000000000001E-4</v>
      </c>
      <c r="J9" s="30">
        <f t="shared" si="1"/>
        <v>1.5625E-4</v>
      </c>
      <c r="K9" s="10">
        <f t="shared" si="5"/>
        <v>320000</v>
      </c>
      <c r="N9">
        <v>999</v>
      </c>
      <c r="O9">
        <f>$K$2/N9</f>
        <v>16016.016016016016</v>
      </c>
      <c r="Q9" s="10">
        <v>200000</v>
      </c>
      <c r="R9" s="14">
        <f t="shared" ref="R9" si="20">$K$2/U9</f>
        <v>200000</v>
      </c>
      <c r="S9" s="30">
        <f t="shared" ref="S9" si="21">100*R9/$K$2</f>
        <v>1.25</v>
      </c>
      <c r="T9" s="71">
        <f t="shared" ref="T9" si="22">R9*R9/$K$2</f>
        <v>2500</v>
      </c>
      <c r="U9" s="10">
        <f t="shared" ref="U9" si="23">ROUND($K$2/Q9,0)</f>
        <v>80</v>
      </c>
    </row>
    <row r="10" spans="1:21" x14ac:dyDescent="0.25">
      <c r="A10" s="46">
        <v>1</v>
      </c>
      <c r="B10" s="18">
        <f t="shared" si="9"/>
        <v>3906.25</v>
      </c>
      <c r="C10" s="18">
        <f t="shared" si="10"/>
        <v>488.28125</v>
      </c>
      <c r="D10" s="18">
        <f t="shared" si="3"/>
        <v>61.03515625</v>
      </c>
      <c r="E10" s="18">
        <f t="shared" si="3"/>
        <v>15.2587890625</v>
      </c>
      <c r="F10" s="18">
        <f t="shared" si="3"/>
        <v>3.814697265625</v>
      </c>
      <c r="G10" s="10">
        <f>G7*10</f>
        <v>100</v>
      </c>
      <c r="H10" s="14">
        <f t="shared" si="4"/>
        <v>100</v>
      </c>
      <c r="I10" s="30">
        <f t="shared" si="0"/>
        <v>6.2500000000000001E-4</v>
      </c>
      <c r="J10" s="30">
        <f t="shared" si="1"/>
        <v>6.2500000000000001E-4</v>
      </c>
      <c r="K10" s="10">
        <f t="shared" si="5"/>
        <v>160000</v>
      </c>
      <c r="N10">
        <v>992</v>
      </c>
      <c r="O10">
        <f t="shared" ref="O10:O11" si="24">$K$2/N10</f>
        <v>16129.032258064517</v>
      </c>
      <c r="Q10" s="10">
        <v>400000</v>
      </c>
      <c r="R10" s="14">
        <f t="shared" ref="R10" si="25">$K$2/U10</f>
        <v>400000</v>
      </c>
      <c r="S10" s="30">
        <f t="shared" ref="S10" si="26">100*R10/$K$2</f>
        <v>2.5</v>
      </c>
      <c r="T10" s="71">
        <f t="shared" ref="T10" si="27">R10*R10/$K$2</f>
        <v>10000</v>
      </c>
      <c r="U10" s="10">
        <f t="shared" ref="U10" si="28">ROUND($K$2/Q10,0)</f>
        <v>40</v>
      </c>
    </row>
    <row r="11" spans="1:21" x14ac:dyDescent="0.25">
      <c r="B11" s="11"/>
      <c r="C11" s="11"/>
      <c r="D11" s="11"/>
      <c r="E11" s="11"/>
      <c r="F11" s="11"/>
      <c r="G11" s="10">
        <f>G8*10</f>
        <v>200</v>
      </c>
      <c r="H11" s="14">
        <f t="shared" si="4"/>
        <v>200</v>
      </c>
      <c r="I11" s="12">
        <f t="shared" si="0"/>
        <v>1.25E-3</v>
      </c>
      <c r="J11" s="12">
        <f t="shared" si="1"/>
        <v>2.5000000000000001E-3</v>
      </c>
      <c r="K11" s="10">
        <f t="shared" si="5"/>
        <v>80000</v>
      </c>
      <c r="N11">
        <v>990</v>
      </c>
      <c r="O11">
        <f t="shared" si="24"/>
        <v>16161.616161616161</v>
      </c>
    </row>
    <row r="12" spans="1:21" x14ac:dyDescent="0.25">
      <c r="B12" s="11"/>
      <c r="C12" s="11"/>
      <c r="D12" s="11"/>
      <c r="E12" s="11"/>
      <c r="F12" s="11"/>
      <c r="G12" s="10">
        <f t="shared" ref="G12:G13" si="29">G9*10</f>
        <v>500</v>
      </c>
      <c r="H12" s="14">
        <f t="shared" si="4"/>
        <v>500</v>
      </c>
      <c r="I12" s="12">
        <f t="shared" si="0"/>
        <v>3.1250000000000002E-3</v>
      </c>
      <c r="J12" s="12">
        <f t="shared" si="1"/>
        <v>1.5625E-2</v>
      </c>
      <c r="K12" s="10">
        <f t="shared" si="5"/>
        <v>32000</v>
      </c>
      <c r="N12">
        <v>50</v>
      </c>
      <c r="O12">
        <f t="shared" ref="O12" si="30">$K$2/N12</f>
        <v>320000</v>
      </c>
    </row>
    <row r="13" spans="1:21" x14ac:dyDescent="0.25">
      <c r="A13" s="80" t="s">
        <v>10</v>
      </c>
      <c r="B13" s="81" t="s">
        <v>2</v>
      </c>
      <c r="C13" s="73"/>
      <c r="D13" s="73"/>
      <c r="E13" s="73"/>
      <c r="F13" s="73"/>
      <c r="G13" s="23">
        <f t="shared" si="29"/>
        <v>1000</v>
      </c>
      <c r="H13" s="21">
        <f t="shared" si="4"/>
        <v>1000</v>
      </c>
      <c r="I13" s="22">
        <f t="shared" si="0"/>
        <v>6.2500000000000003E-3</v>
      </c>
      <c r="J13" s="22">
        <f t="shared" si="1"/>
        <v>6.25E-2</v>
      </c>
      <c r="K13" s="23">
        <f t="shared" si="5"/>
        <v>16000</v>
      </c>
      <c r="L13" s="26" t="s">
        <v>12</v>
      </c>
      <c r="N13">
        <v>32</v>
      </c>
      <c r="O13">
        <f t="shared" ref="O13" si="31">$K$2/N13</f>
        <v>500000</v>
      </c>
    </row>
    <row r="14" spans="1:21" x14ac:dyDescent="0.25">
      <c r="A14" s="80"/>
      <c r="B14" s="81" t="s">
        <v>1</v>
      </c>
      <c r="C14" s="73"/>
      <c r="D14" s="73"/>
      <c r="E14" s="73"/>
      <c r="F14" s="73"/>
      <c r="G14" s="10">
        <f>G11*10</f>
        <v>2000</v>
      </c>
      <c r="H14" s="14">
        <f t="shared" si="4"/>
        <v>2000</v>
      </c>
      <c r="I14" s="12">
        <f t="shared" si="0"/>
        <v>1.2500000000000001E-2</v>
      </c>
      <c r="J14" s="12">
        <f t="shared" si="1"/>
        <v>0.25</v>
      </c>
      <c r="K14" s="10">
        <f t="shared" si="5"/>
        <v>8000</v>
      </c>
      <c r="N14">
        <v>25</v>
      </c>
      <c r="O14">
        <f t="shared" ref="O14" si="32">$K$2/N14</f>
        <v>640000</v>
      </c>
    </row>
    <row r="15" spans="1:21" x14ac:dyDescent="0.25">
      <c r="A15" s="80"/>
      <c r="B15" s="3">
        <v>1</v>
      </c>
      <c r="C15" s="1">
        <v>8</v>
      </c>
      <c r="D15" s="1">
        <v>64</v>
      </c>
      <c r="E15" s="1">
        <v>256</v>
      </c>
      <c r="F15" s="4">
        <v>1024</v>
      </c>
      <c r="G15" s="63">
        <f xml:space="preserve"> SQRT($K$2)</f>
        <v>4000</v>
      </c>
      <c r="H15" s="64">
        <f>$K$2/K15</f>
        <v>4000</v>
      </c>
      <c r="I15" s="65">
        <f t="shared" si="0"/>
        <v>2.5000000000000001E-2</v>
      </c>
      <c r="J15" s="66">
        <f t="shared" si="1"/>
        <v>1</v>
      </c>
      <c r="K15" s="63">
        <f t="shared" si="5"/>
        <v>4000</v>
      </c>
    </row>
    <row r="16" spans="1:21" x14ac:dyDescent="0.25">
      <c r="A16" s="35">
        <v>20</v>
      </c>
      <c r="B16" s="5">
        <f>A16*1000000/POWER(2,16)</f>
        <v>305.17578125</v>
      </c>
      <c r="C16" s="5">
        <f>$B16/C$4</f>
        <v>38.14697265625</v>
      </c>
      <c r="D16" s="5">
        <f t="shared" ref="D16:F21" si="33">$B16/D$4</f>
        <v>4.76837158203125</v>
      </c>
      <c r="E16" s="2">
        <f>$B16/E$4</f>
        <v>1.1920928955078125</v>
      </c>
      <c r="F16" s="2">
        <f t="shared" si="33"/>
        <v>0.29802322387695313</v>
      </c>
      <c r="G16" s="67">
        <f xml:space="preserve"> SQRT($K$2)*SQRT(10)</f>
        <v>12649.110640673518</v>
      </c>
      <c r="H16" s="68">
        <f>$K$2/K16</f>
        <v>12648.221343873518</v>
      </c>
      <c r="I16" s="69">
        <f t="shared" si="0"/>
        <v>7.9051383399209488E-2</v>
      </c>
      <c r="J16" s="70">
        <f t="shared" si="1"/>
        <v>9.9985939477260999</v>
      </c>
      <c r="K16" s="67">
        <f t="shared" si="5"/>
        <v>1265</v>
      </c>
      <c r="M16">
        <f>SQRT(10)</f>
        <v>3.1622776601683795</v>
      </c>
    </row>
    <row r="17" spans="1:19" x14ac:dyDescent="0.25">
      <c r="A17" s="52">
        <v>16</v>
      </c>
      <c r="B17" s="55">
        <f>A17*1000000/POWER(2,16)</f>
        <v>244.140625</v>
      </c>
      <c r="C17" s="55">
        <f t="shared" ref="C17:C21" si="34">$B17/C$4</f>
        <v>30.517578125</v>
      </c>
      <c r="D17" s="55">
        <f t="shared" si="33"/>
        <v>3.814697265625</v>
      </c>
      <c r="E17" s="56">
        <f t="shared" si="33"/>
        <v>0.95367431640625</v>
      </c>
      <c r="F17" s="56">
        <f t="shared" si="33"/>
        <v>0.2384185791015625</v>
      </c>
      <c r="G17" s="10">
        <f t="shared" ref="G17" si="35">G14*10</f>
        <v>20000</v>
      </c>
      <c r="H17" s="14">
        <f t="shared" si="4"/>
        <v>20000</v>
      </c>
      <c r="I17" s="16">
        <f t="shared" si="0"/>
        <v>0.125</v>
      </c>
      <c r="J17" s="10">
        <f t="shared" si="1"/>
        <v>25</v>
      </c>
      <c r="K17" s="10">
        <f t="shared" si="5"/>
        <v>800</v>
      </c>
    </row>
    <row r="18" spans="1:19" x14ac:dyDescent="0.25">
      <c r="A18" s="57">
        <v>8</v>
      </c>
      <c r="B18" s="60">
        <f t="shared" ref="B18:B21" si="36">A18*1000000/POWER(2,16)</f>
        <v>122.0703125</v>
      </c>
      <c r="C18" s="60">
        <f t="shared" si="34"/>
        <v>15.2587890625</v>
      </c>
      <c r="D18" s="60">
        <f t="shared" si="33"/>
        <v>1.9073486328125</v>
      </c>
      <c r="E18" s="61">
        <f t="shared" si="33"/>
        <v>0.476837158203125</v>
      </c>
      <c r="F18" s="61">
        <f t="shared" si="33"/>
        <v>0.11920928955078125</v>
      </c>
      <c r="G18" s="63">
        <f>G15*10</f>
        <v>40000</v>
      </c>
      <c r="H18" s="64">
        <f t="shared" si="4"/>
        <v>40000</v>
      </c>
      <c r="I18" s="65">
        <f t="shared" si="0"/>
        <v>0.25</v>
      </c>
      <c r="J18" s="64">
        <f t="shared" si="1"/>
        <v>100</v>
      </c>
      <c r="K18" s="63">
        <f t="shared" si="5"/>
        <v>400</v>
      </c>
    </row>
    <row r="19" spans="1:19" x14ac:dyDescent="0.25">
      <c r="A19" s="35">
        <v>4</v>
      </c>
      <c r="B19" s="5">
        <f t="shared" si="36"/>
        <v>61.03515625</v>
      </c>
      <c r="C19" s="5">
        <f t="shared" si="34"/>
        <v>7.62939453125</v>
      </c>
      <c r="D19" s="5">
        <f t="shared" si="33"/>
        <v>0.95367431640625</v>
      </c>
      <c r="E19" s="2">
        <f t="shared" si="33"/>
        <v>0.2384185791015625</v>
      </c>
      <c r="F19" s="2">
        <f t="shared" si="33"/>
        <v>5.9604644775390625E-2</v>
      </c>
      <c r="G19" s="67">
        <f>G16*10</f>
        <v>126491.10640673518</v>
      </c>
      <c r="H19" s="68">
        <f t="shared" si="4"/>
        <v>126984.12698412698</v>
      </c>
      <c r="I19" s="69">
        <f t="shared" si="0"/>
        <v>0.79365079365079361</v>
      </c>
      <c r="J19" s="67">
        <f t="shared" si="1"/>
        <v>1007.8105316200555</v>
      </c>
      <c r="K19" s="63">
        <f t="shared" si="5"/>
        <v>126</v>
      </c>
    </row>
    <row r="20" spans="1:19" x14ac:dyDescent="0.25">
      <c r="A20" s="35">
        <v>2</v>
      </c>
      <c r="B20" s="5">
        <f t="shared" si="36"/>
        <v>30.517578125</v>
      </c>
      <c r="C20" s="5">
        <f t="shared" si="34"/>
        <v>3.814697265625</v>
      </c>
      <c r="D20" s="5">
        <f t="shared" si="33"/>
        <v>0.476837158203125</v>
      </c>
      <c r="E20" s="2">
        <f t="shared" si="33"/>
        <v>0.11920928955078125</v>
      </c>
      <c r="F20" s="2">
        <f t="shared" si="33"/>
        <v>2.9802322387695313E-2</v>
      </c>
      <c r="G20" s="10">
        <f t="shared" ref="G20:G21" si="37">G17*10</f>
        <v>200000</v>
      </c>
      <c r="H20" s="14">
        <f t="shared" si="4"/>
        <v>200000</v>
      </c>
      <c r="I20" s="16">
        <f t="shared" si="0"/>
        <v>1.25</v>
      </c>
      <c r="J20" s="10">
        <f t="shared" si="1"/>
        <v>2500</v>
      </c>
      <c r="K20" s="10">
        <f t="shared" si="5"/>
        <v>80</v>
      </c>
      <c r="M20" s="77" t="s">
        <v>1</v>
      </c>
      <c r="N20" s="78"/>
      <c r="O20" s="78"/>
      <c r="P20" s="78"/>
      <c r="Q20" s="72"/>
    </row>
    <row r="21" spans="1:19" x14ac:dyDescent="0.25">
      <c r="A21" s="46">
        <v>1</v>
      </c>
      <c r="B21" s="5">
        <f t="shared" si="36"/>
        <v>15.2587890625</v>
      </c>
      <c r="C21" s="5">
        <f t="shared" si="34"/>
        <v>1.9073486328125</v>
      </c>
      <c r="D21" s="5">
        <f t="shared" si="33"/>
        <v>0.2384185791015625</v>
      </c>
      <c r="E21" s="2">
        <f t="shared" si="33"/>
        <v>5.9604644775390625E-2</v>
      </c>
      <c r="F21" s="2">
        <f t="shared" si="33"/>
        <v>1.4901161193847656E-2</v>
      </c>
      <c r="G21" s="63">
        <f t="shared" si="37"/>
        <v>400000</v>
      </c>
      <c r="H21" s="64">
        <f t="shared" si="4"/>
        <v>400000</v>
      </c>
      <c r="I21" s="65">
        <f t="shared" si="0"/>
        <v>2.5</v>
      </c>
      <c r="J21" s="63">
        <f t="shared" si="1"/>
        <v>10000</v>
      </c>
      <c r="K21" s="63">
        <f t="shared" si="5"/>
        <v>40</v>
      </c>
      <c r="M21" s="3">
        <v>1</v>
      </c>
      <c r="N21" s="1">
        <v>8</v>
      </c>
      <c r="O21" s="1">
        <v>64</v>
      </c>
      <c r="P21" s="48">
        <v>256</v>
      </c>
      <c r="Q21" s="49">
        <v>1024</v>
      </c>
    </row>
    <row r="22" spans="1:19" x14ac:dyDescent="0.25">
      <c r="G22" s="67">
        <f>G19*10</f>
        <v>1264911.0640673519</v>
      </c>
      <c r="H22" s="68">
        <f t="shared" si="4"/>
        <v>1230769.2307692308</v>
      </c>
      <c r="I22" s="69">
        <f t="shared" si="0"/>
        <v>7.6923076923076916</v>
      </c>
      <c r="J22" s="67">
        <f t="shared" si="1"/>
        <v>94674.556213017742</v>
      </c>
      <c r="K22" s="63">
        <f t="shared" si="5"/>
        <v>13</v>
      </c>
      <c r="M22" s="77" t="s">
        <v>25</v>
      </c>
      <c r="N22" s="78"/>
      <c r="O22" s="78"/>
      <c r="P22" s="78"/>
      <c r="Q22" s="72"/>
    </row>
    <row r="23" spans="1:19" x14ac:dyDescent="0.25">
      <c r="B23" s="62"/>
      <c r="H23" s="21">
        <f t="shared" ref="H23:H35" si="38">$K$2/$K23</f>
        <v>244.140625</v>
      </c>
      <c r="I23" s="29">
        <f>100*H23/$K$2</f>
        <v>1.52587890625E-3</v>
      </c>
      <c r="J23" s="36">
        <f>H23*H23/$K$2</f>
        <v>3.7252902984619141E-3</v>
      </c>
      <c r="K23" s="31">
        <v>65536</v>
      </c>
      <c r="L23" s="31" t="s">
        <v>14</v>
      </c>
      <c r="M23" s="24">
        <f>$H23/M21</f>
        <v>244.140625</v>
      </c>
      <c r="N23" s="25">
        <f>$H23/N21</f>
        <v>30.517578125</v>
      </c>
      <c r="O23" s="25">
        <f>$H23/O21</f>
        <v>3.814697265625</v>
      </c>
      <c r="P23" s="25">
        <f>$H23/P21</f>
        <v>0.95367431640625</v>
      </c>
      <c r="Q23" s="25">
        <f>$H23/Q21</f>
        <v>0.2384185791015625</v>
      </c>
      <c r="R23" s="1" t="s">
        <v>23</v>
      </c>
      <c r="S23" t="s">
        <v>28</v>
      </c>
    </row>
    <row r="24" spans="1:19" x14ac:dyDescent="0.25">
      <c r="A24" s="74" t="s">
        <v>10</v>
      </c>
      <c r="H24" s="13">
        <f t="shared" si="38"/>
        <v>16000</v>
      </c>
      <c r="I24" s="16">
        <f t="shared" ref="I24:I28" si="39">100*H24/$K$2</f>
        <v>0.1</v>
      </c>
      <c r="J24" s="10">
        <f t="shared" ref="J24" si="40">H24*H24/$K$2</f>
        <v>16</v>
      </c>
      <c r="K24" s="32">
        <v>1000</v>
      </c>
      <c r="L24" s="26" t="s">
        <v>18</v>
      </c>
      <c r="M24" s="47">
        <f>$J23*M21</f>
        <v>3.7252902984619141E-3</v>
      </c>
      <c r="N24" s="47">
        <f>$J23*N21</f>
        <v>2.9802322387695313E-2</v>
      </c>
      <c r="O24" s="47">
        <f>$J23*O21</f>
        <v>0.2384185791015625</v>
      </c>
      <c r="P24" s="47">
        <f>$J23*P21</f>
        <v>0.95367431640625</v>
      </c>
      <c r="Q24" s="47">
        <f>$J23*Q21</f>
        <v>3.814697265625</v>
      </c>
      <c r="R24" s="47" t="s">
        <v>24</v>
      </c>
    </row>
    <row r="25" spans="1:19" x14ac:dyDescent="0.25">
      <c r="A25" s="75"/>
      <c r="H25" s="13">
        <f t="shared" si="38"/>
        <v>62500</v>
      </c>
      <c r="I25" s="17">
        <f t="shared" si="39"/>
        <v>0.390625</v>
      </c>
      <c r="J25" s="10">
        <f t="shared" ref="J25" si="41">H25*H25/$K$2</f>
        <v>244.140625</v>
      </c>
      <c r="K25" s="31">
        <v>256</v>
      </c>
      <c r="L25" s="15" t="s">
        <v>11</v>
      </c>
      <c r="M25" s="77" t="s">
        <v>26</v>
      </c>
      <c r="N25" s="78"/>
      <c r="O25" s="78"/>
      <c r="P25" s="78"/>
      <c r="Q25" s="72"/>
    </row>
    <row r="26" spans="1:19" x14ac:dyDescent="0.25">
      <c r="A26" s="76"/>
      <c r="B26" s="72" t="s">
        <v>32</v>
      </c>
      <c r="C26" s="73"/>
      <c r="D26" s="73"/>
      <c r="E26" s="73"/>
      <c r="F26" s="73"/>
      <c r="H26" s="13">
        <f t="shared" si="38"/>
        <v>160000</v>
      </c>
      <c r="I26" s="16">
        <f t="shared" si="39"/>
        <v>1</v>
      </c>
      <c r="J26" s="10">
        <f t="shared" ref="J26:J28" si="42">H26*H26/$K$2</f>
        <v>1600</v>
      </c>
      <c r="K26" s="32">
        <v>100</v>
      </c>
      <c r="L26" s="26" t="s">
        <v>15</v>
      </c>
      <c r="M26" s="5"/>
      <c r="N26" s="5">
        <f>M23</f>
        <v>244.140625</v>
      </c>
      <c r="O26" s="2">
        <f>N23</f>
        <v>30.517578125</v>
      </c>
      <c r="P26" s="6">
        <f>O23</f>
        <v>3.814697265625</v>
      </c>
      <c r="Q26" s="6">
        <f>P23</f>
        <v>0.95367431640625</v>
      </c>
      <c r="R26" s="1" t="s">
        <v>23</v>
      </c>
    </row>
    <row r="27" spans="1:19" x14ac:dyDescent="0.25">
      <c r="A27" s="35">
        <v>20</v>
      </c>
      <c r="B27" s="11">
        <f>SQRT(A27*1000000)</f>
        <v>4472.1359549995796</v>
      </c>
      <c r="H27" s="13">
        <f t="shared" si="38"/>
        <v>320000</v>
      </c>
      <c r="I27" s="16">
        <f t="shared" si="39"/>
        <v>2</v>
      </c>
      <c r="J27" s="10">
        <f t="shared" si="42"/>
        <v>6400</v>
      </c>
      <c r="K27" s="32">
        <f t="shared" ref="K27" si="43">K26/2</f>
        <v>50</v>
      </c>
      <c r="M27" s="47"/>
      <c r="N27" s="2">
        <f>(N26/N23)*N24</f>
        <v>0.2384185791015625</v>
      </c>
      <c r="O27" s="2">
        <f t="shared" ref="O27:P27" si="44">(O26/O23)*O24</f>
        <v>1.9073486328125</v>
      </c>
      <c r="P27" s="6">
        <f t="shared" si="44"/>
        <v>3.814697265625</v>
      </c>
      <c r="Q27" s="6">
        <f>(Q26/Q23)*Q24</f>
        <v>15.2587890625</v>
      </c>
      <c r="R27" s="47" t="s">
        <v>24</v>
      </c>
    </row>
    <row r="28" spans="1:19" x14ac:dyDescent="0.25">
      <c r="A28" s="52">
        <v>16</v>
      </c>
      <c r="B28" s="11">
        <f t="shared" ref="B28:B32" si="45">SQRT(A28*1000000)</f>
        <v>4000</v>
      </c>
      <c r="H28" s="13">
        <f t="shared" si="38"/>
        <v>800000</v>
      </c>
      <c r="I28" s="16">
        <f t="shared" si="39"/>
        <v>5</v>
      </c>
      <c r="J28" s="10">
        <f t="shared" si="42"/>
        <v>40000</v>
      </c>
      <c r="K28" s="32">
        <v>20</v>
      </c>
      <c r="L28" s="15"/>
      <c r="N28">
        <f>(N23/N26)*65536</f>
        <v>8192</v>
      </c>
      <c r="O28">
        <f>(O23/O26)*65536</f>
        <v>8192</v>
      </c>
      <c r="P28">
        <f>(P23/P26)*65536</f>
        <v>16384</v>
      </c>
      <c r="Q28">
        <f>(Q23/Q26)*65536</f>
        <v>16384</v>
      </c>
      <c r="R28" t="s">
        <v>17</v>
      </c>
    </row>
    <row r="29" spans="1:19" x14ac:dyDescent="0.25">
      <c r="A29" s="57">
        <v>8</v>
      </c>
      <c r="B29" s="11">
        <f t="shared" si="45"/>
        <v>2828.4271247461902</v>
      </c>
      <c r="H29" s="42">
        <f t="shared" si="38"/>
        <v>1600000</v>
      </c>
      <c r="I29" s="43">
        <f t="shared" ref="I29:I35" si="46">100*H29/$K$2</f>
        <v>10</v>
      </c>
      <c r="J29" s="44">
        <f t="shared" ref="J29:J35" si="47">H29*H29/$K$2</f>
        <v>160000</v>
      </c>
      <c r="K29" s="45">
        <v>10</v>
      </c>
      <c r="L29" s="26" t="s">
        <v>16</v>
      </c>
      <c r="N29">
        <f>65536*M21/N21</f>
        <v>8192</v>
      </c>
      <c r="O29">
        <f t="shared" ref="O29:Q29" si="48">65536*N21/O21</f>
        <v>8192</v>
      </c>
      <c r="P29">
        <f t="shared" si="48"/>
        <v>16384</v>
      </c>
      <c r="Q29">
        <f t="shared" si="48"/>
        <v>16384</v>
      </c>
    </row>
    <row r="30" spans="1:19" x14ac:dyDescent="0.25">
      <c r="A30" s="35">
        <v>4</v>
      </c>
      <c r="B30" s="11">
        <f t="shared" si="45"/>
        <v>2000</v>
      </c>
      <c r="H30" s="13">
        <f>$K$2/$K30</f>
        <v>1777777.7777777778</v>
      </c>
      <c r="I30" s="40">
        <f t="shared" si="46"/>
        <v>11.111111111111111</v>
      </c>
      <c r="J30" s="13">
        <f t="shared" si="47"/>
        <v>197530.86419753084</v>
      </c>
      <c r="K30" s="32">
        <v>9</v>
      </c>
    </row>
    <row r="31" spans="1:19" x14ac:dyDescent="0.25">
      <c r="A31" s="35">
        <v>2</v>
      </c>
      <c r="B31" s="11">
        <f t="shared" si="45"/>
        <v>1414.2135623730951</v>
      </c>
      <c r="H31" s="13">
        <f t="shared" si="38"/>
        <v>2000000</v>
      </c>
      <c r="I31" s="40">
        <f t="shared" si="46"/>
        <v>12.5</v>
      </c>
      <c r="J31" s="13">
        <f t="shared" si="47"/>
        <v>250000</v>
      </c>
      <c r="K31" s="32">
        <v>8</v>
      </c>
    </row>
    <row r="32" spans="1:19" x14ac:dyDescent="0.25">
      <c r="A32" s="46">
        <v>1</v>
      </c>
      <c r="B32" s="11">
        <f t="shared" si="45"/>
        <v>1000</v>
      </c>
      <c r="H32" s="13">
        <f t="shared" si="38"/>
        <v>2285714.2857142859</v>
      </c>
      <c r="I32" s="40">
        <f t="shared" si="46"/>
        <v>14.285714285714286</v>
      </c>
      <c r="J32" s="13">
        <f t="shared" si="47"/>
        <v>326530.61224489799</v>
      </c>
      <c r="K32" s="32">
        <v>7</v>
      </c>
    </row>
    <row r="33" spans="8:12" x14ac:dyDescent="0.25">
      <c r="H33" s="13">
        <f t="shared" si="38"/>
        <v>2666666.6666666665</v>
      </c>
      <c r="I33" s="40">
        <f t="shared" si="46"/>
        <v>16.666666666666664</v>
      </c>
      <c r="J33" s="13">
        <f t="shared" si="47"/>
        <v>444444.44444444438</v>
      </c>
      <c r="K33" s="32">
        <v>6</v>
      </c>
    </row>
    <row r="34" spans="8:12" x14ac:dyDescent="0.25">
      <c r="H34" s="13">
        <f t="shared" si="38"/>
        <v>3200000</v>
      </c>
      <c r="I34" s="16">
        <f t="shared" si="46"/>
        <v>20</v>
      </c>
      <c r="J34" s="10">
        <f t="shared" si="47"/>
        <v>640000</v>
      </c>
      <c r="K34" s="32">
        <v>5</v>
      </c>
    </row>
    <row r="35" spans="8:12" x14ac:dyDescent="0.25">
      <c r="H35" s="39">
        <f t="shared" si="38"/>
        <v>4000000</v>
      </c>
      <c r="I35" s="41">
        <f t="shared" si="46"/>
        <v>25</v>
      </c>
      <c r="J35" s="39">
        <f t="shared" si="47"/>
        <v>1000000</v>
      </c>
      <c r="K35" s="38">
        <v>4</v>
      </c>
      <c r="L35" s="37" t="s">
        <v>13</v>
      </c>
    </row>
    <row r="36" spans="8:12" x14ac:dyDescent="0.25">
      <c r="H36" t="s">
        <v>22</v>
      </c>
      <c r="I36" s="33"/>
      <c r="J36" s="33"/>
      <c r="K36" s="27"/>
    </row>
    <row r="37" spans="8:12" x14ac:dyDescent="0.25">
      <c r="H37" s="7" t="s">
        <v>6</v>
      </c>
      <c r="I37" s="33"/>
      <c r="J37" s="33"/>
      <c r="K37" s="27"/>
    </row>
    <row r="38" spans="8:12" x14ac:dyDescent="0.25">
      <c r="H38" s="28" t="s">
        <v>27</v>
      </c>
      <c r="I38" s="33"/>
      <c r="J38" s="33"/>
      <c r="K38" s="27"/>
    </row>
    <row r="39" spans="8:12" x14ac:dyDescent="0.25">
      <c r="H39" s="34"/>
      <c r="I39" s="34"/>
      <c r="J39" s="34"/>
      <c r="K39" s="34"/>
    </row>
    <row r="40" spans="8:12" x14ac:dyDescent="0.25">
      <c r="H40" s="13">
        <f>$K$2/$K40</f>
        <v>158415.84158415842</v>
      </c>
      <c r="I40" s="16">
        <f>100*H40/$K$2</f>
        <v>0.9900990099009902</v>
      </c>
      <c r="J40" s="10">
        <f>H40*H40/$K$2</f>
        <v>1568.4736790510735</v>
      </c>
      <c r="K40" s="11">
        <v>101</v>
      </c>
    </row>
    <row r="41" spans="8:12" x14ac:dyDescent="0.25">
      <c r="H41" s="13">
        <f>$K$2/$K41</f>
        <v>160000</v>
      </c>
      <c r="I41" s="16">
        <f>100*H41/$K$2</f>
        <v>1</v>
      </c>
      <c r="J41" s="10">
        <f t="shared" ref="J41:J42" si="49">H41*H41/$K$2</f>
        <v>1600</v>
      </c>
      <c r="K41" s="11">
        <v>100</v>
      </c>
    </row>
    <row r="42" spans="8:12" x14ac:dyDescent="0.25">
      <c r="H42" s="13">
        <f>$K$2/$K42</f>
        <v>161616.16161616161</v>
      </c>
      <c r="I42" s="16">
        <f>100*H42/$K$2</f>
        <v>1.0101010101010102</v>
      </c>
      <c r="J42" s="10">
        <f t="shared" si="49"/>
        <v>1632.4864809713295</v>
      </c>
      <c r="K42" s="11">
        <v>99</v>
      </c>
    </row>
    <row r="73" spans="8:11" x14ac:dyDescent="0.25">
      <c r="H73" s="34"/>
      <c r="I73" s="34"/>
      <c r="J73" s="34"/>
      <c r="K73" s="34"/>
    </row>
    <row r="74" spans="8:11" x14ac:dyDescent="0.25">
      <c r="H74" s="34"/>
      <c r="I74" s="34"/>
      <c r="J74" s="34"/>
      <c r="K74" s="34"/>
    </row>
  </sheetData>
  <mergeCells count="11">
    <mergeCell ref="A2:A4"/>
    <mergeCell ref="B2:F2"/>
    <mergeCell ref="B3:F3"/>
    <mergeCell ref="A13:A15"/>
    <mergeCell ref="B13:F13"/>
    <mergeCell ref="B14:F14"/>
    <mergeCell ref="B26:F26"/>
    <mergeCell ref="A24:A26"/>
    <mergeCell ref="M20:Q20"/>
    <mergeCell ref="M25:Q25"/>
    <mergeCell ref="M22:Q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3" sqref="H3"/>
    </sheetView>
  </sheetViews>
  <sheetFormatPr defaultRowHeight="15" x14ac:dyDescent="0.25"/>
  <cols>
    <col min="1" max="1" width="12.5703125" customWidth="1"/>
    <col min="2" max="3" width="17.140625" customWidth="1"/>
  </cols>
  <sheetData>
    <row r="1" spans="1:8" x14ac:dyDescent="0.25">
      <c r="D1" t="s">
        <v>3</v>
      </c>
      <c r="E1" s="19">
        <v>8</v>
      </c>
      <c r="F1" t="s">
        <v>4</v>
      </c>
      <c r="G1" s="7">
        <f>E1*1000000</f>
        <v>8000000</v>
      </c>
      <c r="H1" t="s">
        <v>7</v>
      </c>
    </row>
    <row r="3" spans="1:8" ht="45" x14ac:dyDescent="0.25">
      <c r="A3" s="8" t="s">
        <v>8</v>
      </c>
      <c r="B3" s="8" t="s">
        <v>5</v>
      </c>
      <c r="C3" s="8" t="s">
        <v>30</v>
      </c>
    </row>
    <row r="4" spans="1:8" x14ac:dyDescent="0.25">
      <c r="A4">
        <v>123</v>
      </c>
      <c r="B4" s="50">
        <f>$G$1/A4</f>
        <v>65040.650406504064</v>
      </c>
      <c r="C4" s="51">
        <f>G$1/(A4*A4)</f>
        <v>528.78577566263471</v>
      </c>
    </row>
    <row r="5" spans="1:8" x14ac:dyDescent="0.25">
      <c r="A5">
        <v>130</v>
      </c>
      <c r="B5" s="50">
        <f t="shared" ref="B5:B11" si="0">$G$1/A5</f>
        <v>61538.461538461539</v>
      </c>
      <c r="C5" s="51">
        <f t="shared" ref="C5:C6" si="1">G$1/(A5*A5)</f>
        <v>473.37278106508876</v>
      </c>
      <c r="G5" s="50"/>
    </row>
    <row r="6" spans="1:8" x14ac:dyDescent="0.25">
      <c r="A6">
        <v>131</v>
      </c>
      <c r="B6" s="50">
        <f t="shared" si="0"/>
        <v>61068.702290076333</v>
      </c>
      <c r="C6" s="51">
        <f t="shared" si="1"/>
        <v>466.17329992424686</v>
      </c>
    </row>
    <row r="7" spans="1:8" x14ac:dyDescent="0.25">
      <c r="A7">
        <v>200</v>
      </c>
      <c r="B7" s="50">
        <f t="shared" si="0"/>
        <v>40000</v>
      </c>
      <c r="C7" s="51">
        <f t="shared" ref="C7:C12" si="2">G$1/(A7*A7)</f>
        <v>200</v>
      </c>
    </row>
    <row r="8" spans="1:8" x14ac:dyDescent="0.25">
      <c r="A8">
        <v>201</v>
      </c>
      <c r="B8" s="50">
        <f t="shared" si="0"/>
        <v>39800.995024875621</v>
      </c>
      <c r="C8" s="51">
        <f t="shared" si="2"/>
        <v>198.01490062127175</v>
      </c>
    </row>
    <row r="9" spans="1:8" x14ac:dyDescent="0.25">
      <c r="A9">
        <v>500</v>
      </c>
      <c r="B9" s="50">
        <f t="shared" si="0"/>
        <v>16000</v>
      </c>
      <c r="C9" s="51">
        <f t="shared" si="2"/>
        <v>32</v>
      </c>
    </row>
    <row r="10" spans="1:8" x14ac:dyDescent="0.25">
      <c r="A10">
        <v>1000</v>
      </c>
      <c r="B10" s="50">
        <f t="shared" si="0"/>
        <v>8000</v>
      </c>
      <c r="C10" s="51">
        <f t="shared" si="2"/>
        <v>8</v>
      </c>
    </row>
    <row r="11" spans="1:8" x14ac:dyDescent="0.25">
      <c r="A11">
        <v>2000</v>
      </c>
      <c r="B11" s="50">
        <f t="shared" si="0"/>
        <v>4000</v>
      </c>
      <c r="C11" s="51">
        <f t="shared" si="2"/>
        <v>2</v>
      </c>
    </row>
    <row r="12" spans="1:8" x14ac:dyDescent="0.25">
      <c r="A12">
        <v>2828</v>
      </c>
      <c r="B12" s="50">
        <f>$G$1/A12</f>
        <v>2828.8543140028287</v>
      </c>
      <c r="C12" s="51">
        <f t="shared" si="2"/>
        <v>1.0003020912315519</v>
      </c>
    </row>
    <row r="13" spans="1:8" x14ac:dyDescent="0.25">
      <c r="A13">
        <v>3000</v>
      </c>
      <c r="B13" s="50">
        <f>$G$1/A13</f>
        <v>2666.6666666666665</v>
      </c>
      <c r="C13" s="51">
        <f>G$1/(A13*A13)</f>
        <v>0.88888888888888884</v>
      </c>
    </row>
    <row r="14" spans="1:8" x14ac:dyDescent="0.25">
      <c r="A14">
        <f>G1/100</f>
        <v>80000</v>
      </c>
      <c r="D1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2018-11-24T12:10:29Z</dcterms:created>
  <dcterms:modified xsi:type="dcterms:W3CDTF">2022-09-22T08:12:52Z</dcterms:modified>
</cp:coreProperties>
</file>